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tabRatio="672" activeTab="1"/>
  </bookViews>
  <sheets>
    <sheet name="shareholder" sheetId="5" r:id="rId1"/>
    <sheet name="shareInfo" sheetId="6" r:id="rId2"/>
    <sheet name="payment" sheetId="13" r:id="rId3"/>
    <sheet name="agent" sheetId="7" r:id="rId4"/>
    <sheet name="representative" sheetId="8" r:id="rId5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<sst xmlns="http://schemas.openxmlformats.org/spreadsheetml/2006/main" count="49927" uniqueCount="17007">
  <si>
    <t>ID</t>
  </si>
  <si>
    <t>Full Name</t>
  </si>
  <si>
    <t>ሙሉ ስም</t>
  </si>
  <si>
    <t>phone</t>
  </si>
  <si>
    <t>Address</t>
  </si>
  <si>
    <t>E- Address</t>
  </si>
  <si>
    <t>0001</t>
  </si>
  <si>
    <t>A/biya A/fita /Ato/</t>
  </si>
  <si>
    <t>አ/ቢያ አ/ፊጣ /አቶ/</t>
  </si>
  <si>
    <t>Oromia</t>
  </si>
  <si>
    <t>0002</t>
  </si>
  <si>
    <t>A/biya A/gujam /Ato/</t>
  </si>
  <si>
    <t>አ/ቢያ አ/ጉጃም /አቶ/</t>
  </si>
  <si>
    <t>oromia</t>
  </si>
  <si>
    <t>0003</t>
  </si>
  <si>
    <t>A/biya A/jabal A/godu  /Ato/</t>
  </si>
  <si>
    <t>አ/ቢያ አ/ጀባል አ/ጉዱ /አቶ/</t>
  </si>
  <si>
    <t>0980-367277</t>
  </si>
  <si>
    <t>0004</t>
  </si>
  <si>
    <t xml:space="preserve">A/biyo A/Dura </t>
  </si>
  <si>
    <t>አ/ቢዮ አ/ዱራ</t>
  </si>
  <si>
    <t>0005</t>
  </si>
  <si>
    <t>A/Faji  A/Diga /Ato/</t>
  </si>
  <si>
    <t>አባፋጂ አባዳጋ /አቶ/</t>
  </si>
  <si>
    <t>0006</t>
  </si>
  <si>
    <t>A/fira A/fita A/dika /Ato/</t>
  </si>
  <si>
    <t>አ/ፊራ አ/ፊታ አ/ዲካ /አቶ/</t>
  </si>
  <si>
    <t>0977-236236</t>
  </si>
  <si>
    <t>0007</t>
  </si>
  <si>
    <t>A/jabel A/gero /Ato/</t>
  </si>
  <si>
    <t>አ/ጀበል አ/ጌሮ /አቶ/</t>
  </si>
  <si>
    <t>0929-876652</t>
  </si>
  <si>
    <t>Oromiya</t>
  </si>
  <si>
    <t>0008</t>
  </si>
  <si>
    <t>A/Jebal A/Gojem /Ato/</t>
  </si>
  <si>
    <t>አ/ጅባል አ/ጎጀም /አቶ/</t>
  </si>
  <si>
    <t>0939-499506</t>
  </si>
  <si>
    <t>0009</t>
  </si>
  <si>
    <t>A/jihad A/bor/Ato/</t>
  </si>
  <si>
    <t>አ/ጂሃድ አ/ቦር/አቶ/</t>
  </si>
  <si>
    <t>0938-842117</t>
  </si>
  <si>
    <t>0010</t>
  </si>
  <si>
    <t>A/Jihad A/Gero /Ato/</t>
  </si>
  <si>
    <t>ጂሃድ አ/ግሮ /አቶ/</t>
  </si>
  <si>
    <t>0984-846468</t>
  </si>
  <si>
    <t>5007</t>
  </si>
  <si>
    <t>A/jihad A/gero /Ato/</t>
  </si>
  <si>
    <t>አ/ጂሃድ አ/ጌሮ /አቶ/</t>
  </si>
  <si>
    <t>0011</t>
  </si>
  <si>
    <t>A/jihad A/gero A/waji /Ato/</t>
  </si>
  <si>
    <t>0012</t>
  </si>
  <si>
    <t>A/Mecha A/Lulessa /Ato/</t>
  </si>
  <si>
    <t>አ/መቻ አ/ሉልሳ /አቶ/</t>
  </si>
  <si>
    <t>0933-346494</t>
  </si>
  <si>
    <t>0013</t>
  </si>
  <si>
    <t>A/Nega A/Jebel /Ato/</t>
  </si>
  <si>
    <t>አ/ነጋ አ/ጀበል /አቶ/</t>
  </si>
  <si>
    <t>0976-640769</t>
  </si>
  <si>
    <t xml:space="preserve">Amhara </t>
  </si>
  <si>
    <t>0014</t>
  </si>
  <si>
    <t>A/Neim A/Dura /Ato/</t>
  </si>
  <si>
    <t>አ/ኒም  አ/ዱራ /አቶ/</t>
  </si>
  <si>
    <t>0917-990982</t>
  </si>
  <si>
    <t>0015</t>
  </si>
  <si>
    <t>A/Oli A/Megal /Ato/</t>
  </si>
  <si>
    <t>አባኦሊ አባመጋል /አቶ/</t>
  </si>
  <si>
    <t>0992-503219</t>
  </si>
  <si>
    <t>0016</t>
  </si>
  <si>
    <t>A/Raya A/bor /Ato/</t>
  </si>
  <si>
    <t>አ/ራያ አ/ቦር /አቶ/</t>
  </si>
  <si>
    <t>0017</t>
  </si>
  <si>
    <t>A/raya A/garo /Ato/</t>
  </si>
  <si>
    <t>አ/ራያ አ/ጋሮ /አቶ/</t>
  </si>
  <si>
    <t>0018</t>
  </si>
  <si>
    <t>A/Rezak Adi Burka /Ato/</t>
  </si>
  <si>
    <t>አ/ረዛቀ አዲ ቡርካ /አቶ/</t>
  </si>
  <si>
    <t>0921-496888</t>
  </si>
  <si>
    <t>0019</t>
  </si>
  <si>
    <t>A/rijal A/bulgu /Ato/</t>
  </si>
  <si>
    <t>አ/ሪጃል አ/ቡልጉ/አቶ/</t>
  </si>
  <si>
    <t>0910-715444</t>
  </si>
  <si>
    <t>0020</t>
  </si>
  <si>
    <t>A/Sharef A/Diga /Ato/</t>
  </si>
  <si>
    <t>አ/ሻረፍ አ/ዲጋ /አቶ/</t>
  </si>
  <si>
    <t>Oromo</t>
  </si>
  <si>
    <t>0021</t>
  </si>
  <si>
    <t>A/wudad A/dura /Ato/</t>
  </si>
  <si>
    <t>አ/ዉዳድ አ/ዱራ /አቶ/</t>
  </si>
  <si>
    <t>0022</t>
  </si>
  <si>
    <t>Aaron Mulugeta Fesseha /Ato/</t>
  </si>
  <si>
    <t>አሮን ሙሉጌታ ፍሰሐ /አቶ/</t>
  </si>
  <si>
    <t>0954-751059</t>
  </si>
  <si>
    <t>Ethiopia</t>
  </si>
  <si>
    <t>0023</t>
  </si>
  <si>
    <t>Aaron Tesfaye Temesgen /Ato/</t>
  </si>
  <si>
    <t>አሮን ተስፋዬ ተመስገን /አቶ/</t>
  </si>
  <si>
    <t>0911-512806</t>
  </si>
  <si>
    <t>0024</t>
  </si>
  <si>
    <t>Aasfa Bekalu /Ato/</t>
  </si>
  <si>
    <t>አስፋ በቃሉ /አቶ/</t>
  </si>
  <si>
    <t>0974-455535</t>
  </si>
  <si>
    <t>0025</t>
  </si>
  <si>
    <t>Aba Amelaku Tezazu/Ato/</t>
  </si>
  <si>
    <t>አባ አምላኩ ትዛዙ/አቶ/</t>
  </si>
  <si>
    <t>Amhara</t>
  </si>
  <si>
    <t>0026</t>
  </si>
  <si>
    <t>Aba Firdie Derbie /Aba /</t>
  </si>
  <si>
    <t>ፈረደ ደርቤ ተ/ወልድ  /አባ /</t>
  </si>
  <si>
    <t>0027</t>
  </si>
  <si>
    <t>Aba Moga Aba Fogi /Ato/</t>
  </si>
  <si>
    <t>አባ ሞጋ አባ ፎጊ /አቶ/</t>
  </si>
  <si>
    <t>oromo</t>
  </si>
  <si>
    <t>0028</t>
  </si>
  <si>
    <t>Ababiya Abam /Ato</t>
  </si>
  <si>
    <t>አባቢያ አባም /አቶ/</t>
  </si>
  <si>
    <t>0924-828155</t>
  </si>
  <si>
    <t>0029</t>
  </si>
  <si>
    <t>Ababiya Tafesse /Dr/ and/or Baye Temesgen /Dr./</t>
  </si>
  <si>
    <t>አባቢያ ታፈሰ ረጋሳ /ዶ/ር/ እና/ወይም ባዬ ተመስገን /ዶ/ር/</t>
  </si>
  <si>
    <t>0985-400216/0932-178677</t>
  </si>
  <si>
    <t>Omo</t>
  </si>
  <si>
    <t>negashosman@gmail.com</t>
  </si>
  <si>
    <t>0030</t>
  </si>
  <si>
    <t>Ababu Abate  /Ato/</t>
  </si>
  <si>
    <t>አባቡ አባተ /አቶ/</t>
  </si>
  <si>
    <t>amara</t>
  </si>
  <si>
    <t>0031</t>
  </si>
  <si>
    <t xml:space="preserve">Ababu Biyazin Melese </t>
  </si>
  <si>
    <t>አባቡ ቢያዝን መለሰ   /አቶ/</t>
  </si>
  <si>
    <t>0032</t>
  </si>
  <si>
    <t>Ababu Ejigu Anteneh    /Ato/</t>
  </si>
  <si>
    <t>አባቡ እጅጉ አንተነህ   /አቶ/</t>
  </si>
  <si>
    <t>0033</t>
  </si>
  <si>
    <t>Ababu Yirga Yigzu /Ato/</t>
  </si>
  <si>
    <t xml:space="preserve">አባቡ   ይርጋ   ይገዙ  /አቶ/                     </t>
  </si>
  <si>
    <t>0034</t>
  </si>
  <si>
    <t>Abadulbasit Imam /Ato/</t>
  </si>
  <si>
    <t>አባዱልባስት ኢማም /አቶ/</t>
  </si>
  <si>
    <t>0978-044225</t>
  </si>
  <si>
    <t>0035</t>
  </si>
  <si>
    <t>Abagaro Abadura /Ato/</t>
  </si>
  <si>
    <t>አባጋሮ አባዱራ /አቶ/</t>
  </si>
  <si>
    <t>0979-170739</t>
  </si>
  <si>
    <t>0036</t>
  </si>
  <si>
    <t>Abagidi Abamilki /Ato/</t>
  </si>
  <si>
    <t>አባጊዲ አባሚልክ /አቶ/</t>
  </si>
  <si>
    <t>0995-546563</t>
  </si>
  <si>
    <t>0037</t>
  </si>
  <si>
    <t>Abajihad  Abadhiba /Ato/</t>
  </si>
  <si>
    <t>አባጂሃድ አባድሂባ /አቶ/</t>
  </si>
  <si>
    <t>0948-948060</t>
  </si>
  <si>
    <t>0038</t>
  </si>
  <si>
    <t>Abamecha Abafogi A/bulgu /Ato/</t>
  </si>
  <si>
    <t>አባመጫ አባፎጊ አ/ቡልጉ /አቶ/</t>
  </si>
  <si>
    <t>0942-289101</t>
  </si>
  <si>
    <t>0039</t>
  </si>
  <si>
    <t>Abanaga Abagojam /Ato/</t>
  </si>
  <si>
    <t>አ/ነጋ  አ/ጎጃም /አቶ/</t>
  </si>
  <si>
    <t>0040</t>
  </si>
  <si>
    <t>Abanch Sunam (Ato)</t>
  </si>
  <si>
    <t>ኦባንች ሱናም /አቶ/</t>
  </si>
  <si>
    <t>Wolayta</t>
  </si>
  <si>
    <t>0041</t>
  </si>
  <si>
    <t>Abaneega Abafogi /Ato/</t>
  </si>
  <si>
    <t>አባንጋ አባፎጋ /አቶ/</t>
  </si>
  <si>
    <t>0042</t>
  </si>
  <si>
    <t>Abanega abagojam /Ato/</t>
  </si>
  <si>
    <t>አባነጋ አባጎጃም /አቶ/</t>
  </si>
  <si>
    <t>917-053833</t>
  </si>
  <si>
    <t xml:space="preserve">Ormia </t>
  </si>
  <si>
    <t>0043</t>
  </si>
  <si>
    <t>Abanega Abatemam /Ato/</t>
  </si>
  <si>
    <t>አባነጋ ኣባተማም /እቶ/</t>
  </si>
  <si>
    <t>0915-586770</t>
  </si>
  <si>
    <t>0044</t>
  </si>
  <si>
    <t>Abaoli Sheabdorhaman /Ato/</t>
  </si>
  <si>
    <t>አባኦሊ ሺአብዶርሀማን/አቶ/</t>
  </si>
  <si>
    <t>0045</t>
  </si>
  <si>
    <t>Abara Demisse Dana /Ato/</t>
  </si>
  <si>
    <t>አባራ ደምሴ ዳና /አቶ/</t>
  </si>
  <si>
    <t>0928-708010</t>
  </si>
  <si>
    <t>Debube</t>
  </si>
  <si>
    <t>0046</t>
  </si>
  <si>
    <t>Abare Tasew /Ato/</t>
  </si>
  <si>
    <t>አበሬ ጠሰው /አቶ/</t>
  </si>
  <si>
    <t>0901-812172</t>
  </si>
  <si>
    <t xml:space="preserve">Debub </t>
  </si>
  <si>
    <t>0047</t>
  </si>
  <si>
    <t>Abas Ahmed Shenuredin /Ato/</t>
  </si>
  <si>
    <t>አባስ አህመድ ሽኑረዲን /አቶ/</t>
  </si>
  <si>
    <t>0936-008236</t>
  </si>
  <si>
    <t>0048</t>
  </si>
  <si>
    <t>Abashifa Ababultuma /Ato/</t>
  </si>
  <si>
    <t>አባሻፋ አባቡልቱማ /አቶ/</t>
  </si>
  <si>
    <t>0940-266344</t>
  </si>
  <si>
    <t>0049</t>
  </si>
  <si>
    <t>Abat Kebede /Ato/</t>
  </si>
  <si>
    <t>አባት ከበደ /አቶ/</t>
  </si>
  <si>
    <t>0050</t>
  </si>
  <si>
    <t>Abat Mengist /Ato/</t>
  </si>
  <si>
    <t>አባት መንግስት /አቶ/</t>
  </si>
  <si>
    <t>0911-588559</t>
  </si>
  <si>
    <t>Amahara</t>
  </si>
  <si>
    <t>0051</t>
  </si>
  <si>
    <t>Abatamam Abagaro /Ato/</t>
  </si>
  <si>
    <t>አባታማም አባጋሮ /አቶ/</t>
  </si>
  <si>
    <t>0917-962756</t>
  </si>
  <si>
    <t>0052</t>
  </si>
  <si>
    <t>Abate Arusa Dakiero /Ato/</t>
  </si>
  <si>
    <t>አባተ ሩሳ ዳኪሮ /አቶ/</t>
  </si>
  <si>
    <t>0943-012299</t>
  </si>
  <si>
    <t>Sidama</t>
  </si>
  <si>
    <t>0053</t>
  </si>
  <si>
    <t>Abate Asegie Chekol /Ato/</t>
  </si>
  <si>
    <t>አባተ አስጌ ቸኮል /አቶ/</t>
  </si>
  <si>
    <t>0922-242289</t>
  </si>
  <si>
    <t>አማራ</t>
  </si>
  <si>
    <t>0054</t>
  </si>
  <si>
    <t>Abate Bashoro /Ato/</t>
  </si>
  <si>
    <t>አባተ ባሾሮ /አቶ/</t>
  </si>
  <si>
    <t>0055</t>
  </si>
  <si>
    <t>Abate Ferede Mengesha    /Ato/</t>
  </si>
  <si>
    <t>አባተ ፈረደ መንገሻ   /አቶ/</t>
  </si>
  <si>
    <t>0056</t>
  </si>
  <si>
    <t>Abate Fola Chema /Ato/</t>
  </si>
  <si>
    <t xml:space="preserve"> አባታ ፎላ ጫማ /አቶ/</t>
  </si>
  <si>
    <t>0057</t>
  </si>
  <si>
    <t>Abate Jelo Maga /Ato/</t>
  </si>
  <si>
    <t>አባተ ጂሎ ማጋ /አቶ/</t>
  </si>
  <si>
    <t>0058</t>
  </si>
  <si>
    <t>Abate Kasse Workineh /Ato/</t>
  </si>
  <si>
    <t>አባት ካሴ ወረቅነህ /አቶ/</t>
  </si>
  <si>
    <t>Amahera</t>
  </si>
  <si>
    <t>0059</t>
  </si>
  <si>
    <t>Abate Negusa Emeru / Ato/</t>
  </si>
  <si>
    <t>አባተ ንጉሴ እምሩ /አቶ/</t>
  </si>
  <si>
    <t>0060</t>
  </si>
  <si>
    <t>Abate Shibabie Tesfa /Ato/</t>
  </si>
  <si>
    <t>አባተ ሸባቤ ተስፋ /አቶ/</t>
  </si>
  <si>
    <t>0061</t>
  </si>
  <si>
    <t>Abate Sorasa /Ato/</t>
  </si>
  <si>
    <t>አባቴ ሶራሰ /አቶ/</t>
  </si>
  <si>
    <t>0919-658340</t>
  </si>
  <si>
    <t>Debub</t>
  </si>
  <si>
    <t>0062</t>
  </si>
  <si>
    <t>Abate Teshale /Ato/</t>
  </si>
  <si>
    <t>አባቴ ተሻለ /አቶ/</t>
  </si>
  <si>
    <t>0063</t>
  </si>
  <si>
    <t>Abate Wale Yirdaw/Ato/</t>
  </si>
  <si>
    <t>አባተ ዋለ ይርዳው/አቶ/</t>
  </si>
  <si>
    <t>0064</t>
  </si>
  <si>
    <t>Abate Wondiyifraw /Ato/</t>
  </si>
  <si>
    <t>አባተ ወንድይፍራው /አቶ/</t>
  </si>
  <si>
    <t>Amara</t>
  </si>
  <si>
    <t>0065</t>
  </si>
  <si>
    <t>Abate Yasabu /Ato/</t>
  </si>
  <si>
    <t>አባት ያሳቡ አታላይ /አቶ/</t>
  </si>
  <si>
    <t>0066</t>
  </si>
  <si>
    <t>Abatemam Ah/Abdulkadir /Ato/</t>
  </si>
  <si>
    <t>አባተማም  ሽ/አብዱልቃድር /አቶ/</t>
  </si>
  <si>
    <t>0965-818377</t>
  </si>
  <si>
    <t>0067</t>
  </si>
  <si>
    <t>Abateneh Geresu Dinku /Ato/</t>
  </si>
  <si>
    <t>አባቴነህ ገረሱ ድንቁ /አቶ/</t>
  </si>
  <si>
    <t>0068</t>
  </si>
  <si>
    <t>Abateneh Zewudie Kasa/Ato/</t>
  </si>
  <si>
    <t>አባቴነህ ዘውዴ ካሳ /አቶ /</t>
  </si>
  <si>
    <t>0069</t>
  </si>
  <si>
    <t>Abatenh Beleki Ayele /Ato/</t>
  </si>
  <si>
    <t>አባተንህ በለጠ አየለ /አቶ/</t>
  </si>
  <si>
    <t>0070</t>
  </si>
  <si>
    <t>Abatenh Mekuriyaw Checol /Ato/</t>
  </si>
  <si>
    <t>አባተንህ መኩሪያው ቸኮል /አቶ/</t>
  </si>
  <si>
    <t xml:space="preserve">Amhara  </t>
  </si>
  <si>
    <t>0071</t>
  </si>
  <si>
    <t>Abatie Alemayehu Ambo /Ato/</t>
  </si>
  <si>
    <t>አባቴ አለማየሁ አምቦ /አቶ/</t>
  </si>
  <si>
    <t>0072</t>
  </si>
  <si>
    <t>Abatineh Belay/Ato/</t>
  </si>
  <si>
    <t>አባትነህ በላይ ጌትነት /አቶ/</t>
  </si>
  <si>
    <t>0073</t>
  </si>
  <si>
    <t>Abatinhe Agumoas Aschale /Ato/</t>
  </si>
  <si>
    <t>አባትነህ አጉማስ አስቻለ /አቶ/</t>
  </si>
  <si>
    <t>0948-150507</t>
  </si>
  <si>
    <t>0074</t>
  </si>
  <si>
    <t xml:space="preserve">Abatneh Base Alemu   /Ato/ </t>
  </si>
  <si>
    <t>አባትነህ ባሴ አለሙ   /አቶ/</t>
  </si>
  <si>
    <t>0075</t>
  </si>
  <si>
    <t>Abatneh Demisie Tibeb/Ato/</t>
  </si>
  <si>
    <t>አባትነህ ደምሴ ጥበብ /አቶ/</t>
  </si>
  <si>
    <t>0076</t>
  </si>
  <si>
    <t>Abatneh Getachew Atenafu /Ato/</t>
  </si>
  <si>
    <t>አባትነህ ጌታቸው አጥናፍ /አቶ/</t>
  </si>
  <si>
    <t>0077</t>
  </si>
  <si>
    <t>Abatneh Zelalem Getnet /Ato/</t>
  </si>
  <si>
    <t>አበባትነህ ዘላለም ጌትነት /አቶ/</t>
  </si>
  <si>
    <t>0078</t>
  </si>
  <si>
    <t>Abatnew Derib Workie /Ato/</t>
  </si>
  <si>
    <t>አባትነው ደርብ ወርቄ /አቶ/</t>
  </si>
  <si>
    <t>0920-750764</t>
  </si>
  <si>
    <t>0079</t>
  </si>
  <si>
    <t>Abaw  Kebede Tessema /Ato/</t>
  </si>
  <si>
    <t>አባው ከበደ ተሰማ /አቶ/</t>
  </si>
  <si>
    <t>0080</t>
  </si>
  <si>
    <t>Abaw Asaye Abiye /Ato/</t>
  </si>
  <si>
    <t>አባው አሳዬ አቢዬ /አቶ/</t>
  </si>
  <si>
    <t>0081</t>
  </si>
  <si>
    <t>Abaw Mire Kassa /Ato/</t>
  </si>
  <si>
    <t>አባው መሬ ካሳ /አቶ/</t>
  </si>
  <si>
    <t>0904-428599</t>
  </si>
  <si>
    <t xml:space="preserve">Sidama </t>
  </si>
  <si>
    <t>0082</t>
  </si>
  <si>
    <t>Abaw Tadele Wagaw /Ato/</t>
  </si>
  <si>
    <t>አባወ ታደለ ዋጋው /አቶ/</t>
  </si>
  <si>
    <t>0083</t>
  </si>
  <si>
    <t>Abawe Gashaw Mesfin /Ato/</t>
  </si>
  <si>
    <t>አባዌ ጋሻው መስፍን /አቶ/</t>
  </si>
  <si>
    <t>0968-586640</t>
  </si>
  <si>
    <t>0084</t>
  </si>
  <si>
    <t>Abay Abebaw /Ato/</t>
  </si>
  <si>
    <t>አባይ አበባው /አቶ/</t>
  </si>
  <si>
    <t>0085</t>
  </si>
  <si>
    <t>Abay Ali Guangul /Ato/</t>
  </si>
  <si>
    <t>አባይ አሊ ጓንጉል /አቶ/</t>
  </si>
  <si>
    <t>0913-295875</t>
  </si>
  <si>
    <t>0086</t>
  </si>
  <si>
    <t>Abay Awoke Mengistu /Ato/</t>
  </si>
  <si>
    <t>አባይ አወቀ መንግስቱ /አቶ/</t>
  </si>
  <si>
    <t>0087</t>
  </si>
  <si>
    <t>Abay Awugachew Mulugeta /Ato/</t>
  </si>
  <si>
    <t>አባይ አዉግቸዉ ሙሉጌታ /አቶ/</t>
  </si>
  <si>
    <t>0088</t>
  </si>
  <si>
    <t>Abay Derbie Fetene /Ato/</t>
  </si>
  <si>
    <t>አባይ ደርቤ ፈጠነ /አቶ/</t>
  </si>
  <si>
    <t>0089</t>
  </si>
  <si>
    <t>Abay H/Mariam Takle /Ato/</t>
  </si>
  <si>
    <t>አባይ ሀ/ማሪያም ተከሌ /አቶ/</t>
  </si>
  <si>
    <t>0949-266565</t>
  </si>
  <si>
    <t>0090</t>
  </si>
  <si>
    <t>Abay Mola Belayneh /Ato/</t>
  </si>
  <si>
    <t>አባይ ሞላ በላይነህ /አቶ/</t>
  </si>
  <si>
    <t>0091</t>
  </si>
  <si>
    <t>Abay Wassie  Tegegn /Ato/</t>
  </si>
  <si>
    <t>አባይ ዋሴ ተገኘ /አቶ/</t>
  </si>
  <si>
    <t>0092</t>
  </si>
  <si>
    <t>Abay Yeshidanga Tilahun /Ato/</t>
  </si>
  <si>
    <t>አባይ የሺዳኛ ጥላሁን /አቶ/</t>
  </si>
  <si>
    <t>0925-500771</t>
  </si>
  <si>
    <t>0093</t>
  </si>
  <si>
    <t>Abaye Hajito Haleto /Ato/</t>
  </si>
  <si>
    <t>አባይ ሐጂቶ ሃለቶ /አቶ/</t>
  </si>
  <si>
    <t xml:space="preserve">Bonga </t>
  </si>
  <si>
    <t>0094</t>
  </si>
  <si>
    <t>Abayeneh Abebe /Ato/</t>
  </si>
  <si>
    <t>አባይነህ አበበ /አቶ/</t>
  </si>
  <si>
    <t>0939-52-11-61</t>
  </si>
  <si>
    <t>0095</t>
  </si>
  <si>
    <t>Abayeneh Badego /Ato/</t>
  </si>
  <si>
    <t>አባይነህ ባደጎ /አቶ/</t>
  </si>
  <si>
    <t>0901-37-59-68</t>
  </si>
  <si>
    <t>0096</t>
  </si>
  <si>
    <t xml:space="preserve">Abayenesh Yanda Sorato /W/O/ </t>
  </si>
  <si>
    <t>አባይነሽ ያንዳ ሶራቶ /አቶ/</t>
  </si>
  <si>
    <t>0097</t>
  </si>
  <si>
    <t>Abayenesh Zewide /W/o/ And/Or Serkadis Zewide /W/o/</t>
  </si>
  <si>
    <t>አባይነሽ ዘዉዴ /ወ/ሮ/ እና/ወይም ሠርክአዲስ ዘዉዴ /ወ/ሮ/</t>
  </si>
  <si>
    <t>0098</t>
  </si>
  <si>
    <t>Abayineh Lensamo Fechie /Ato/</t>
  </si>
  <si>
    <t>አባይነህ ለንሣሞ ፍቼ /አቶ/</t>
  </si>
  <si>
    <t>0909-901842</t>
  </si>
  <si>
    <t>0099</t>
  </si>
  <si>
    <t>Abayneh Adisu Litaso /Ato/</t>
  </si>
  <si>
    <t>አባይነህ አድሱ ልማሰ /አቶ/</t>
  </si>
  <si>
    <t>0100</t>
  </si>
  <si>
    <t>Abayneh Asnake Kebe /Ato/</t>
  </si>
  <si>
    <t>አባይነህ አስናቀ ከበ /አቶ/</t>
  </si>
  <si>
    <t>0101</t>
  </si>
  <si>
    <t>Abayneh Baffa Barata /Ato/</t>
  </si>
  <si>
    <t>አባይነህ ባፍ ባራታ /አቶ/</t>
  </si>
  <si>
    <t>0994-295115</t>
  </si>
  <si>
    <t>0102</t>
  </si>
  <si>
    <t>Abayneh Bihonegn   (Ato)</t>
  </si>
  <si>
    <t>አበይነህ ብሆነኝ  /አቶ/</t>
  </si>
  <si>
    <t>0103</t>
  </si>
  <si>
    <t>Abayneh Dure Delano /Ato/</t>
  </si>
  <si>
    <t>አባይነህ ዱር ዱላኖ /አቶ/</t>
  </si>
  <si>
    <t>0947-680566</t>
  </si>
  <si>
    <t>0104</t>
  </si>
  <si>
    <t>Abayneh Getaneh Awelachew /Ato/</t>
  </si>
  <si>
    <t>አባይነህ  ጌታነህ አውላቸው /አቶ/</t>
  </si>
  <si>
    <t>0914-490307</t>
  </si>
  <si>
    <t>0105</t>
  </si>
  <si>
    <t>Abayneh Gezahegne Tasew /Ato /</t>
  </si>
  <si>
    <t>አብባይንህ ገዛኸኝ ጣሰው /አቶ/</t>
  </si>
  <si>
    <t>0106</t>
  </si>
  <si>
    <t>Abayneh Gizachew Melese /Ato/</t>
  </si>
  <si>
    <t>አባይነህ ግዛቸው መለሰ /አቶ/</t>
  </si>
  <si>
    <t>0107</t>
  </si>
  <si>
    <t>Abayneh Goshu Tarekegn /Ato/</t>
  </si>
  <si>
    <t>አባይነህ ጎሹ ታረቀኝ /አቶ/</t>
  </si>
  <si>
    <t>0912-390266</t>
  </si>
  <si>
    <t>gugsa_cake@yahoo.com</t>
  </si>
  <si>
    <t>0108</t>
  </si>
  <si>
    <t>Abayneh Mekonnen /Ato/</t>
  </si>
  <si>
    <t>አባይነህ መኮንን /አቶ/</t>
  </si>
  <si>
    <t>0913-443925</t>
  </si>
  <si>
    <t>0109</t>
  </si>
  <si>
    <t xml:space="preserve">Abayneh Temesgen Tereda </t>
  </si>
  <si>
    <t>አባይነህ ተመሰገን ተረዳ /አቶ/</t>
  </si>
  <si>
    <t>0911-172042</t>
  </si>
  <si>
    <t>abaynehtemesgen17@gmail.com</t>
  </si>
  <si>
    <t>0110</t>
  </si>
  <si>
    <t>Abayneh Wondie /Ato/</t>
  </si>
  <si>
    <t>አባይነህ ወንዴ /አቶ/</t>
  </si>
  <si>
    <t>0977-780730</t>
  </si>
  <si>
    <t>0111</t>
  </si>
  <si>
    <t>0112</t>
  </si>
  <si>
    <t>Abayneh Yibas Babso /Ato/</t>
  </si>
  <si>
    <t>አባይነህ ይባስ ባሴቦ /አቶ/</t>
  </si>
  <si>
    <t>0912-970131</t>
  </si>
  <si>
    <t>0113</t>
  </si>
  <si>
    <t>Abaynesh Abota Ano /W/O/</t>
  </si>
  <si>
    <t>አባይነሽ አቦታ አኖ /ወ/ሮ/</t>
  </si>
  <si>
    <t>0114</t>
  </si>
  <si>
    <t>Abaynesh Alemu Moreka /Ato/</t>
  </si>
  <si>
    <t>አባይነሽ አለሙ ሞርካ /አቶ/</t>
  </si>
  <si>
    <t>0986-058934</t>
  </si>
  <si>
    <t>0115</t>
  </si>
  <si>
    <t>Abaynesh Anjulo Ashe /W/o/</t>
  </si>
  <si>
    <t>አባይነሸ አንጁሎ አሻ /ወ/ሮ/</t>
  </si>
  <si>
    <t>0116</t>
  </si>
  <si>
    <t>Abaynesh Fekadu Zegider /W/o/</t>
  </si>
  <si>
    <t>አባይነሽ ፈቃዱ ዘጊደር /ወ/ሮ/</t>
  </si>
  <si>
    <t>0117</t>
  </si>
  <si>
    <t>Abaynesh Funara Denegato /Ato/</t>
  </si>
  <si>
    <t>አበይነህ ፉናሬ ደንጋቶ /አቶ/</t>
  </si>
  <si>
    <t>ስዳማ</t>
  </si>
  <si>
    <t>0118</t>
  </si>
  <si>
    <t>Abaynesh Gashaw /W/o/</t>
  </si>
  <si>
    <t>አባይነሽ ጋሻው /ወ/ሮ/</t>
  </si>
  <si>
    <t>0975-092086/00417-634-886-89</t>
  </si>
  <si>
    <t>hanna@haylaccountingpro.com</t>
  </si>
  <si>
    <t>0119</t>
  </si>
  <si>
    <t>Abaynesh Kassa Haile /W/o/</t>
  </si>
  <si>
    <t>አባይነሽ ካሳ ሃይሌ /ወ/ሮ/</t>
  </si>
  <si>
    <t>1-780-200-8643</t>
  </si>
  <si>
    <t>abay8kassa@gmail.com</t>
  </si>
  <si>
    <t>0120</t>
  </si>
  <si>
    <t>Abaynesh Tadesse Demesse /W/o/</t>
  </si>
  <si>
    <t>አባይነሽ ታደሰ ደምሴ /ወ/ሮ/</t>
  </si>
  <si>
    <t>0911-165609</t>
  </si>
  <si>
    <t>khalidsalhe@gmail.com</t>
  </si>
  <si>
    <t>0121</t>
  </si>
  <si>
    <t>Abaynesh Takile Dabaro /Ato/</t>
  </si>
  <si>
    <t>አባይነሽ ታኪለ ዳባሮ /አቶ/</t>
  </si>
  <si>
    <t>0122</t>
  </si>
  <si>
    <t>Abaynesh Tekle Demisse /W/o/</t>
  </si>
  <si>
    <t>አባይነሽ ተክሌ ደምሴ /ወ/ሮ/</t>
  </si>
  <si>
    <t>0123</t>
  </si>
  <si>
    <t>Abaynesh Zewdie Zeru  /W/o/</t>
  </si>
  <si>
    <t>አባይነሽ ዘዉዴ ዘሩ /ወ/ሮ/</t>
  </si>
  <si>
    <t>0911-087357</t>
  </si>
  <si>
    <t>0124</t>
  </si>
  <si>
    <t>Abaynew Shemu Tesema /Ato/</t>
  </si>
  <si>
    <t>አባይነህ ሹሜ ተሰማ /አቶ/</t>
  </si>
  <si>
    <t>0125</t>
  </si>
  <si>
    <t>Abdallah Haji  A/garo /Ato/</t>
  </si>
  <si>
    <t>አብደላህ ሀጂ አ/ጋሮ /አቶ/</t>
  </si>
  <si>
    <t>0917-014628</t>
  </si>
  <si>
    <t>0126</t>
  </si>
  <si>
    <t>Abdallah Shekeder /Ato/</t>
  </si>
  <si>
    <t>አብደላህ ሸከደር /አቶ/</t>
  </si>
  <si>
    <t>0127</t>
  </si>
  <si>
    <t>Abdela Bulcha A/Jiru /Ato/</t>
  </si>
  <si>
    <t>አበድላ ቡለቻ አ/ጀሩ /አቶ/</t>
  </si>
  <si>
    <t>0904-578520</t>
  </si>
  <si>
    <t>0128</t>
  </si>
  <si>
    <t>Abdela Kadu /Ato/</t>
  </si>
  <si>
    <t>አበድላ ካዱ /አቶ/</t>
  </si>
  <si>
    <t xml:space="preserve">Oromia </t>
  </si>
  <si>
    <t>0129</t>
  </si>
  <si>
    <t>Abdi Abagidi /Ato/</t>
  </si>
  <si>
    <t>አብዲ አባጊዲ /አቶ/</t>
  </si>
  <si>
    <t>0936-485115</t>
  </si>
  <si>
    <t>0130</t>
  </si>
  <si>
    <t>Abdi Abjabal /Ato/</t>
  </si>
  <si>
    <t>አብዲ አብጀባል /አቶ/</t>
  </si>
  <si>
    <t>0131</t>
  </si>
  <si>
    <t>Abdi Ahmed /Ato/ For Eman Abdi /Minor</t>
  </si>
  <si>
    <t>አብዲ አህመድ /አቶ/ ለህፃን ኢማን አብድ</t>
  </si>
  <si>
    <t>0942-384363</t>
  </si>
  <si>
    <t>0132</t>
  </si>
  <si>
    <t>Abdi Feyisa Gerbaba /Ato/</t>
  </si>
  <si>
    <t>አብዲ ፈይሳ ገርባባ /አቶ/</t>
  </si>
  <si>
    <t>0133</t>
  </si>
  <si>
    <t>Abdi Ganishu Burka /Ato/</t>
  </si>
  <si>
    <t>አበዲ ጋንሹ ቡረካ /አቶ/</t>
  </si>
  <si>
    <t>Oromioa</t>
  </si>
  <si>
    <t>0134</t>
  </si>
  <si>
    <t>Abdi Kader Abamuras /Ato/</t>
  </si>
  <si>
    <t>አብዲ ካድር አባሙራስ /አቶ/</t>
  </si>
  <si>
    <t>0911-151372</t>
  </si>
  <si>
    <t>France</t>
  </si>
  <si>
    <t>fraceabdi08@gmail.com</t>
  </si>
  <si>
    <t>0135</t>
  </si>
  <si>
    <t>Abdi Kitata Etefa /Ato/</t>
  </si>
  <si>
    <t>አብዲ ቂጣታ ኢተፋ /አቶ/</t>
  </si>
  <si>
    <t>0913-046826</t>
  </si>
  <si>
    <t>0136</t>
  </si>
  <si>
    <t>Abdi Mohammed Hussein /Ato/</t>
  </si>
  <si>
    <t>አብዲ መሐመድ ሁሴን /አቶ/</t>
  </si>
  <si>
    <t>0920-887281</t>
  </si>
  <si>
    <t>0137</t>
  </si>
  <si>
    <t>Abdi Mustefa /Ato/</t>
  </si>
  <si>
    <t>አብዲ ሙስጠፋ /አቶ/</t>
  </si>
  <si>
    <t>0138</t>
  </si>
  <si>
    <t>Abdi Sabiqo A/mecha /Ato/</t>
  </si>
  <si>
    <t>አብዲ ሳቢቆ አ/ሜቻ /አቶ/</t>
  </si>
  <si>
    <t>0139</t>
  </si>
  <si>
    <t>Abdi Sharafudin /Ato/</t>
  </si>
  <si>
    <t>አብዲ  ሸረፉዲን /አቶ/</t>
  </si>
  <si>
    <t>0941-185762</t>
  </si>
  <si>
    <t>0140</t>
  </si>
  <si>
    <t>Abdirazak Shifa /Ato/ For Fiker Abdirazak /Minor/</t>
  </si>
  <si>
    <t>አብድረዛቅ ሽፋ /አቶ/ ለፍቅር አብድረዛቅ /ህጻን/</t>
  </si>
  <si>
    <t>0927-914124</t>
  </si>
  <si>
    <t>0141</t>
  </si>
  <si>
    <t>Abdirazak Shifa /Ato/ For Yishak Abdirazak /Minor/</t>
  </si>
  <si>
    <t>አብድረዛቅ ሽፋ /አቶ/ ለይስሀቅ አብድረዛቅ /ህጻን/</t>
  </si>
  <si>
    <t>0913-058404</t>
  </si>
  <si>
    <t>0142</t>
  </si>
  <si>
    <t>Abdisa Ambasso Muhammed/Ato/</t>
  </si>
  <si>
    <t>አብዲሳ አምባሶ መሐመድ/አቶ/</t>
  </si>
  <si>
    <t>0143</t>
  </si>
  <si>
    <t>0144</t>
  </si>
  <si>
    <t>Abdisa Shibiru /Ato/</t>
  </si>
  <si>
    <t>አብዲሳ ሽብሩ /አቶ/</t>
  </si>
  <si>
    <t>0935-072441/0925-897125</t>
  </si>
  <si>
    <t>0145</t>
  </si>
  <si>
    <t>Abdisa Sime Asefa /Ato/</t>
  </si>
  <si>
    <t>አብዲሳ ስሜ አሰፋ /አቶ/</t>
  </si>
  <si>
    <t>0146</t>
  </si>
  <si>
    <t>0147</t>
  </si>
  <si>
    <t>Abdlkerim Kedir Umer /Ato/</t>
  </si>
  <si>
    <t>አብድልከሪም ከድር ዑመር /አቶ/</t>
  </si>
  <si>
    <t>0967-826611</t>
  </si>
  <si>
    <t>0148</t>
  </si>
  <si>
    <t>Abdo A/gojam /Ato/</t>
  </si>
  <si>
    <t>አብዶ አ/ጎጃም /አቶ/</t>
  </si>
  <si>
    <t>0149</t>
  </si>
  <si>
    <t>Abdo A/Gojem /Ato/</t>
  </si>
  <si>
    <t>አበዶ አ/ጎጀም /አቶ/</t>
  </si>
  <si>
    <t>0917-414531</t>
  </si>
  <si>
    <t>0150</t>
  </si>
  <si>
    <t>Abdo A/jobil /Ato/</t>
  </si>
  <si>
    <t>አብዶ አ/ጆቢል /አቶ/</t>
  </si>
  <si>
    <t>0927-592426</t>
  </si>
  <si>
    <t>0151</t>
  </si>
  <si>
    <t>Abdo Aba fogi /Ato/</t>
  </si>
  <si>
    <t>አብዶ አባ ፎጊ /አቶ/</t>
  </si>
  <si>
    <t>0917-208014</t>
  </si>
  <si>
    <t xml:space="preserve">Oromiya </t>
  </si>
  <si>
    <t>0152</t>
  </si>
  <si>
    <t>Abdo Abajabil Ababoru /Ato/</t>
  </si>
  <si>
    <t>አብዶ አባጃቢል አባቦሩ /አቶ/</t>
  </si>
  <si>
    <t>0944-668569</t>
  </si>
  <si>
    <t>0153</t>
  </si>
  <si>
    <t>Abdo Dhaba Shuramu /Ato/</t>
  </si>
  <si>
    <t>አብዶ ዳባ ሹራሙ /አቶ/</t>
  </si>
  <si>
    <t>0154</t>
  </si>
  <si>
    <t>Abdo Haji /Ato/</t>
  </si>
  <si>
    <t>አብዶ ሃጂ /አቶ/</t>
  </si>
  <si>
    <t>0961-207499</t>
  </si>
  <si>
    <t>0155</t>
  </si>
  <si>
    <t>0156</t>
  </si>
  <si>
    <t>Abdo Shekadir /Ato/</t>
  </si>
  <si>
    <t>አብዶ ሸቃድር /አቶ/</t>
  </si>
  <si>
    <t>0907-090768</t>
  </si>
  <si>
    <t>0157</t>
  </si>
  <si>
    <t>Abdrehman Usman Hamid /Ato/</t>
  </si>
  <si>
    <t>አብድረህማን ኡስማን ሀሚድ /አቶ/</t>
  </si>
  <si>
    <t>0158</t>
  </si>
  <si>
    <t>Abdrezak Mubarek Awel /Ato/</t>
  </si>
  <si>
    <t>አብድረዛቅ ሙባሪክ አወል /አቶ/</t>
  </si>
  <si>
    <t>0159</t>
  </si>
  <si>
    <t>Abdu Abarago /Ato/</t>
  </si>
  <si>
    <t>አበዱ አባራጎ /አቶ/</t>
  </si>
  <si>
    <t>0931-152101</t>
  </si>
  <si>
    <t>0160</t>
  </si>
  <si>
    <t>Abdu Ali Mohammed /Ato/</t>
  </si>
  <si>
    <t>አብዱ አሊ መሐመድ /አቶ/</t>
  </si>
  <si>
    <t>0910-320713</t>
  </si>
  <si>
    <t>dawitb462@gmail.com</t>
  </si>
  <si>
    <t>0161</t>
  </si>
  <si>
    <t>0162</t>
  </si>
  <si>
    <t>Abdu Awol Yasein /Ato/</t>
  </si>
  <si>
    <t>አበዱ አዎለ ያሲን /አቶ/</t>
  </si>
  <si>
    <t>0976-062390</t>
  </si>
  <si>
    <t>0163</t>
  </si>
  <si>
    <t>Abdu Habib Kedir /Ato/</t>
  </si>
  <si>
    <t>አብዱ ሀቢብ ከድር /አቶ/</t>
  </si>
  <si>
    <t>0164</t>
  </si>
  <si>
    <t>Abdu Jemal /Ato/</t>
  </si>
  <si>
    <t>አብዱ ጀማል /አቶ/</t>
  </si>
  <si>
    <t>0904-155632/0920-696566</t>
  </si>
  <si>
    <t>USA</t>
  </si>
  <si>
    <t>abduh9350@gmail.com</t>
  </si>
  <si>
    <t>0165</t>
  </si>
  <si>
    <t>Abdu Mohamed Hamza /Ato/</t>
  </si>
  <si>
    <t>አብዱ መሀመድ ሀምዛ /አቶ/</t>
  </si>
  <si>
    <t>0166</t>
  </si>
  <si>
    <t>Abdu Sh/Nura Gammada /Ato/</t>
  </si>
  <si>
    <t>አበዱ ሸ/ኑራ ጋማዳ /አቶ/</t>
  </si>
  <si>
    <t>0917-546792</t>
  </si>
  <si>
    <t>0167</t>
  </si>
  <si>
    <t>Abdulahi A/Jihad /Ato/</t>
  </si>
  <si>
    <t>አብዱላሂ አ/ጂሃድ /አቶ/</t>
  </si>
  <si>
    <t>0917-338205</t>
  </si>
  <si>
    <t>0168</t>
  </si>
  <si>
    <t>Abdulaziz A/Jebal A/Temam /Ato/</t>
  </si>
  <si>
    <t>አብዱላዚዝ አ/ጀባል አ/ተማም  /አቶ/</t>
  </si>
  <si>
    <t>0169</t>
  </si>
  <si>
    <t>Abdulaziz Adem Robera /Ato/</t>
  </si>
  <si>
    <t>አብዱላዚዝ አደም ሮበራ /አቶ/</t>
  </si>
  <si>
    <t>0917-960570</t>
  </si>
  <si>
    <t>0170</t>
  </si>
  <si>
    <t>Abdulaziz Hassen Abtew /Ato/</t>
  </si>
  <si>
    <t>አብዱልአዚዝ ሀሰን አብተዉ /አቶ/</t>
  </si>
  <si>
    <t>0171</t>
  </si>
  <si>
    <t>Abdulaziz Mohammed Wereta /Ato/</t>
  </si>
  <si>
    <t>አብዱላዚዝ መሀመድ ወረታ /አቶ/</t>
  </si>
  <si>
    <t>0931-313181</t>
  </si>
  <si>
    <t>Swizerland</t>
  </si>
  <si>
    <t>wereta0101@gmail.com</t>
  </si>
  <si>
    <t>0172</t>
  </si>
  <si>
    <t>Abdulekarim Hamid /Ato/</t>
  </si>
  <si>
    <t>አብዱልከሪም ሀሚድ /አቶ/</t>
  </si>
  <si>
    <t>0173</t>
  </si>
  <si>
    <t>Abduletif Ahimed A/Dura /Ato/</t>
  </si>
  <si>
    <t>አብዱለጢፍ አህመድ አ/ዱራ /አቶ/</t>
  </si>
  <si>
    <t>0174</t>
  </si>
  <si>
    <t>Abdulfeta Dino Jemal /Ato/</t>
  </si>
  <si>
    <t>አብዱልፈታ ዲኖ ጀማል /አቶ/</t>
  </si>
  <si>
    <t>0175</t>
  </si>
  <si>
    <t>Abdulfeta Ture Kedir /Ato/</t>
  </si>
  <si>
    <t>አብዱልፈታ ቱሬ ከድር /አቶ/</t>
  </si>
  <si>
    <t>0176</t>
  </si>
  <si>
    <t>Abdulhafis Adam Mohammed /Ato/</t>
  </si>
  <si>
    <t>አብዱልሃፊስ አዳም መሃመድ /አቶ/</t>
  </si>
  <si>
    <t>0177</t>
  </si>
  <si>
    <t>Abdulhafiz Akber Nassir /Ato/</t>
  </si>
  <si>
    <t>አብዱልሀፊዝ አክበር ናስር /አቶ/</t>
  </si>
  <si>
    <t>0178</t>
  </si>
  <si>
    <t>Abdulhakim Mohammed A/Gisa /Ato/</t>
  </si>
  <si>
    <t>አብዱልሃኪም መሃመድ አ/ጊሳ /አቶ/</t>
  </si>
  <si>
    <t>0179</t>
  </si>
  <si>
    <t>Abdulhakim Mohammed Mudeser /Ato/</t>
  </si>
  <si>
    <t>አብዱልሀኪም መሀመድ ሙደሲር /አቶ/</t>
  </si>
  <si>
    <t>0913-681666</t>
  </si>
  <si>
    <t>0180</t>
  </si>
  <si>
    <t>Abdulhakim Rebi Mudesir /Ato/</t>
  </si>
  <si>
    <t>አብዱልሐኪም ረቢ ሙደሲር /አቶ/</t>
  </si>
  <si>
    <t>0181</t>
  </si>
  <si>
    <t>Abdulhakim Tedese /Ato/</t>
  </si>
  <si>
    <t>አ/ሃኪም ታድስ /አቶ/</t>
  </si>
  <si>
    <t>0182</t>
  </si>
  <si>
    <t>Abdulhamid Jemal Asefa /Ato/</t>
  </si>
  <si>
    <t>አብዱልሀሚድ ጀማል አሰፋ /አቶ/</t>
  </si>
  <si>
    <t>0912-730592</t>
  </si>
  <si>
    <t>0183</t>
  </si>
  <si>
    <t>Abdulhamid Musema Hassen /Ato/</t>
  </si>
  <si>
    <t>አብዱልሀሚድ ሙሰማ ሀሰን /አቶ/</t>
  </si>
  <si>
    <t>0994-280517</t>
  </si>
  <si>
    <t>0184</t>
  </si>
  <si>
    <t>0185</t>
  </si>
  <si>
    <t>Abdulkadem Mohammed /Ato/</t>
  </si>
  <si>
    <t>አብዱልቀደም መሃመድ /አቶ/</t>
  </si>
  <si>
    <t>0911-79-17-37</t>
  </si>
  <si>
    <t>Jimma</t>
  </si>
  <si>
    <t>0186</t>
  </si>
  <si>
    <t>Abdulkader Mussa Emam /Ato/</t>
  </si>
  <si>
    <t>አብዱልቃድር ሙሣ ኢማም /አቶ/</t>
  </si>
  <si>
    <t>0911-439924</t>
  </si>
  <si>
    <t>mwblackd@gmail.com</t>
  </si>
  <si>
    <t>0188</t>
  </si>
  <si>
    <t>Abdulkadir Hassen A/basign /Ato/</t>
  </si>
  <si>
    <t>አብድልቃድር ሐሰን አብደልባሲጥ /አቶ/</t>
  </si>
  <si>
    <t>0189</t>
  </si>
  <si>
    <t>Abdulkadir Kemal Haji /Ato/</t>
  </si>
  <si>
    <t>አብዱልቃድር ከማል ሀጂ /አቶ/</t>
  </si>
  <si>
    <t>0911-207824</t>
  </si>
  <si>
    <t>Addis Ababa</t>
  </si>
  <si>
    <t>0190</t>
  </si>
  <si>
    <t>0191</t>
  </si>
  <si>
    <t>Abdulkedir Awol Ebrahim /Ato/</t>
  </si>
  <si>
    <t>አብዱለቀድር አወል ኢብራሂም /አቶ/</t>
  </si>
  <si>
    <t>0923-653971</t>
  </si>
  <si>
    <t>0192</t>
  </si>
  <si>
    <t>Abdulkerim Abdela Surur /Ato/</t>
  </si>
  <si>
    <t>አብዱልከሪም አብደላ ስሩር አቶ/</t>
  </si>
  <si>
    <t>0948- 245266</t>
  </si>
  <si>
    <t>A.A.</t>
  </si>
  <si>
    <t>0193</t>
  </si>
  <si>
    <t>Abdulkerim Abo Goro A/Jabir /Ato/</t>
  </si>
  <si>
    <t>አብዱልቀሪም አ/ጎሮ አ/ጃብሪ /አቶ/</t>
  </si>
  <si>
    <t>0917-80-96-29</t>
  </si>
  <si>
    <t>Seka Mekersa</t>
  </si>
  <si>
    <t>0194</t>
  </si>
  <si>
    <t>Abdulkerim Mohammed Yassin /Ato/</t>
  </si>
  <si>
    <t>አብዱልከሪም መሀመድ ያሲን /አቶ/</t>
  </si>
  <si>
    <t>0911-247404</t>
  </si>
  <si>
    <t>lewitebebe@gmail.com/ yaredabera14@gmail.com</t>
  </si>
  <si>
    <t>0195</t>
  </si>
  <si>
    <t>Abdulmajid Abatmam /Ato/</t>
  </si>
  <si>
    <t>አብዱልመጂድ አባተማም /አቶ/</t>
  </si>
  <si>
    <t xml:space="preserve">ኦሮሚያ </t>
  </si>
  <si>
    <t>0196</t>
  </si>
  <si>
    <t>Abdulmenan Beshir Omer /Ato/</t>
  </si>
  <si>
    <t>አብዱልመዳን በሽር ኡመር /አቶ/</t>
  </si>
  <si>
    <t>0913-947569</t>
  </si>
  <si>
    <t>0197</t>
  </si>
  <si>
    <t>Abdulqadder Seid Berhe /Ato/</t>
  </si>
  <si>
    <t>አብዱልቃድር ሰዒድ በርሄ /አቶ/</t>
  </si>
  <si>
    <t>0911-249820</t>
  </si>
  <si>
    <t>0198</t>
  </si>
  <si>
    <t>Abdulrazaq Husen /Ato/</t>
  </si>
  <si>
    <t>አብዱልራዛቅ ሁሴን /አቶ/</t>
  </si>
  <si>
    <t>0913-238827</t>
  </si>
  <si>
    <t>0199</t>
  </si>
  <si>
    <t>Abdulreuf Abduljelil /Ato/ For Amraa Abdulreuf /Minor/</t>
  </si>
  <si>
    <t>አብዱልረዑፍ  አብዱልጀሊል ለ አምራ አብዱልረዑፍ /ህፃን/</t>
  </si>
  <si>
    <t>0918-707776</t>
  </si>
  <si>
    <t>0200</t>
  </si>
  <si>
    <t>Abdulreuf Abduljelil /Ato/ For Marken Abdulreuf /Minor/</t>
  </si>
  <si>
    <t>አብዱልረዑፍ  አብዱልጀሊል ለ ማርካን አብዱልረዑፍ</t>
  </si>
  <si>
    <t>0993-508816</t>
  </si>
  <si>
    <t>0201</t>
  </si>
  <si>
    <t>Abdulsalam A/Temam A/Foggi /Ato/</t>
  </si>
  <si>
    <t>አብዱሰላም አ/ተማም አ/ፎጊ /አቶ/</t>
  </si>
  <si>
    <t>0202</t>
  </si>
  <si>
    <t>Abdulselam Merjan Yesuf /Ato</t>
  </si>
  <si>
    <t>አብዱልሰላም መርጃን የሱፍ /አቶ/</t>
  </si>
  <si>
    <t>0912-023434</t>
  </si>
  <si>
    <t>0203</t>
  </si>
  <si>
    <t>Abdulwahab Mohamed /Ato/</t>
  </si>
  <si>
    <t>አበድልዋሃደ መሀመድ /አቶ/</t>
  </si>
  <si>
    <t>0917-787874</t>
  </si>
  <si>
    <t>0204</t>
  </si>
  <si>
    <t>Abdulwahib Zenu /Ato/</t>
  </si>
  <si>
    <t>አበዱዋሂቢ ዘኑ /አቶ/</t>
  </si>
  <si>
    <t>0946-513044</t>
  </si>
  <si>
    <t>0205</t>
  </si>
  <si>
    <t>Abdulwahid Hassen Abdulbasit /Ato/</t>
  </si>
  <si>
    <t>አብዱልዋሂድ ሀሰን አብዱልባሲጥ</t>
  </si>
  <si>
    <t>0911-302143</t>
  </si>
  <si>
    <t>afeworklove12@gmail.com</t>
  </si>
  <si>
    <t>0206</t>
  </si>
  <si>
    <t>Abdulwahid Ibrahim Suleyman /Ato/</t>
  </si>
  <si>
    <t>አብዱልዋሂድ ኢብራሂም ሱሌይማን /አቶ/</t>
  </si>
  <si>
    <t>0913-589165</t>
  </si>
  <si>
    <t>hussetmeansjoy2000@gmail.com</t>
  </si>
  <si>
    <t>0207</t>
  </si>
  <si>
    <t>Abdulwasi Usmail Yousuf /Ato/</t>
  </si>
  <si>
    <t>አብዱልዋሲ ኡስማኢል ዩሱፍ /አቶ/</t>
  </si>
  <si>
    <t>0911-523669</t>
  </si>
  <si>
    <t>argawz@yahoo.com</t>
  </si>
  <si>
    <t>0208</t>
  </si>
  <si>
    <t>Abdurahan A/Boor A/Galan /Ato/</t>
  </si>
  <si>
    <t>አብዱረሀማን አ/ቦሩ አ/ጋላን /አቶ/</t>
  </si>
  <si>
    <t>0924-815561</t>
  </si>
  <si>
    <t>0209</t>
  </si>
  <si>
    <t>Abdurahim Beshir Yesuf /Ato/</t>
  </si>
  <si>
    <t>አብዱረሂም በሽር የሱፍ /አቶ/</t>
  </si>
  <si>
    <t>0912-136477</t>
  </si>
  <si>
    <t>0210</t>
  </si>
  <si>
    <t>Abdurahim Mohamed Sh/Hasen /Ato/</t>
  </si>
  <si>
    <t>አብዱራሂም መሀመድ ሼህ ሀሰን /አቶ/</t>
  </si>
  <si>
    <t>0211</t>
  </si>
  <si>
    <t>Abduraman Qasim Yuyya/Ato/</t>
  </si>
  <si>
    <t>አብዱራሀማን ቃሲም  ዩያ /አቶ/</t>
  </si>
  <si>
    <t>0212</t>
  </si>
  <si>
    <t>Abdurhahman Menur /Ato/ For Rukya Abdurhahman /Minor/</t>
  </si>
  <si>
    <t>አብዱራህማን መኑር /አቶ/ ለሩቅያ አብዱራህማን /ህፃን/</t>
  </si>
  <si>
    <t>0213</t>
  </si>
  <si>
    <t xml:space="preserve">Abdurhahman Menur Beshir /Ato/ </t>
  </si>
  <si>
    <t>አብዱራህማን መኑር /አቶ/</t>
  </si>
  <si>
    <t>0214</t>
  </si>
  <si>
    <t>Abdurhaman Menur /Ato/ For Zefran Abdurhaman /Minor/</t>
  </si>
  <si>
    <t>አብድራህማን መኑር /አቶ/ ለዘፍራን አብድራህማን /ህፃን/</t>
  </si>
  <si>
    <t>0215</t>
  </si>
  <si>
    <t>Abduro Hamad Dube /Ato/</t>
  </si>
  <si>
    <t>አበዱሮ ሃማደ ዱቤ /አቶ/</t>
  </si>
  <si>
    <t>0913-588022</t>
  </si>
  <si>
    <t>0216</t>
  </si>
  <si>
    <t>Abduro Shanko /Ato/</t>
  </si>
  <si>
    <t>አብዱሮ ሻንኮ /አቶ/</t>
  </si>
  <si>
    <t>0217</t>
  </si>
  <si>
    <t>Abdurohman Mohammed Yimam /Ato/</t>
  </si>
  <si>
    <t>አብዱሮህማን መሀመድ ይማም /አቶ/</t>
  </si>
  <si>
    <t>0218</t>
  </si>
  <si>
    <t>Abduselam Abazinab A/Ruksie /Ato/</t>
  </si>
  <si>
    <t>አብዱሰላም አ/ዝናብ አ/ሩክሲ /አቶ/</t>
  </si>
  <si>
    <t>0219</t>
  </si>
  <si>
    <t>Abduselam Hassen /Ato/</t>
  </si>
  <si>
    <t>አብዱሰላም ሀሰን /አቶ/</t>
  </si>
  <si>
    <t>0220</t>
  </si>
  <si>
    <t>Abduselam Johar Junda /Ato/</t>
  </si>
  <si>
    <t>አብዱሰላም ጁሀር ጁንዳ /አቶ/</t>
  </si>
  <si>
    <t>0221</t>
  </si>
  <si>
    <t>Abduselam Nassir Yishak /Ato/</t>
  </si>
  <si>
    <t>አብዱሰላም ናስር ይስሀቅ /አቶ/</t>
  </si>
  <si>
    <t>0913-556155</t>
  </si>
  <si>
    <t>0222</t>
  </si>
  <si>
    <t>Abe Kadu /Ato/</t>
  </si>
  <si>
    <t>አበ ካዱ /አቶ/</t>
  </si>
  <si>
    <t>0223</t>
  </si>
  <si>
    <t>Abe Meseret Alemu /Ato/</t>
  </si>
  <si>
    <t>አበ መሰረት አለሙ /አቶ/</t>
  </si>
  <si>
    <t>0224</t>
  </si>
  <si>
    <t>Abeba Aklilu Akalewold /W/o/</t>
  </si>
  <si>
    <t>አበባ  አክሊሉ አካለወልድ /ወ/ሮ/</t>
  </si>
  <si>
    <t>0225</t>
  </si>
  <si>
    <t>Abeba Amare Tiruneh /Ato/</t>
  </si>
  <si>
    <t>አበበ አማረ ጥሩነህ /አቶ/</t>
  </si>
  <si>
    <t>0226</t>
  </si>
  <si>
    <t>Abeba Ayele Zegeye /W/o/</t>
  </si>
  <si>
    <t>አበባ አየለ ዘገየ /ወ/ሮ/</t>
  </si>
  <si>
    <t>0911-428232</t>
  </si>
  <si>
    <t>0227</t>
  </si>
  <si>
    <t>Abeba Debebe Beyene /W/O/</t>
  </si>
  <si>
    <t xml:space="preserve">አበባ ደበብ በየነ /ወ/ሮ/ </t>
  </si>
  <si>
    <t>0228</t>
  </si>
  <si>
    <t>Abeba Debebe Hundie /W/o/</t>
  </si>
  <si>
    <t>አበባ ደበበ ሁንዴ /ወ/ሮ/</t>
  </si>
  <si>
    <t>0229</t>
  </si>
  <si>
    <t>Abeba Demise Agazi /W/o/</t>
  </si>
  <si>
    <t>አበባ ደምሴ አጋዥ /ወ/ሮ/</t>
  </si>
  <si>
    <t>0230</t>
  </si>
  <si>
    <t>Abeba Demissie /W/o/</t>
  </si>
  <si>
    <t>አበባ ደምሴ አሞኙ /ወ/ሮ/</t>
  </si>
  <si>
    <t>0906-101505/951-640-8409</t>
  </si>
  <si>
    <t>0231</t>
  </si>
  <si>
    <t>Abeba Desalegn Agaze /Ato/</t>
  </si>
  <si>
    <t>አበበ ደሳለኝ አጋዥ /አቶ/</t>
  </si>
  <si>
    <t>0913-054905</t>
  </si>
  <si>
    <t>0232</t>
  </si>
  <si>
    <t>Abeba Desta Mekonnen /W/o/</t>
  </si>
  <si>
    <t>አበባ ደስታ መኮንን /ወ/ሮ/</t>
  </si>
  <si>
    <t>0911-843405/4915-754658279</t>
  </si>
  <si>
    <t>mdestat@gmail.com</t>
  </si>
  <si>
    <t>0233</t>
  </si>
  <si>
    <t>Abeba Edale /W/o/ For Semehal Semere Kebede /Minor/</t>
  </si>
  <si>
    <t>አበባ እንዳለ /ወሮ/ ለ ሰማሀል ሰመረ ከበደ /ህፃን/</t>
  </si>
  <si>
    <t>0234</t>
  </si>
  <si>
    <t>Abeba Edale /W/o/ For Winta Semere Kebede /Minor/</t>
  </si>
  <si>
    <t>አበባ እንዳለ /ወሮ/ ለ ዊንታ ሰመረ ከበደ /ህፃን/</t>
  </si>
  <si>
    <t>0235</t>
  </si>
  <si>
    <t>0236</t>
  </si>
  <si>
    <t>Abeba Getachew Sahle /W/o/</t>
  </si>
  <si>
    <t>አበባ ጌታቸዉ ሣህሌ /ወ/ሮ/</t>
  </si>
  <si>
    <t>0237</t>
  </si>
  <si>
    <t>Abeba Mekonenn /W/o/ And/or Kedest Zelealem /W/o/</t>
  </si>
  <si>
    <t>አበባ መኮንን /ወ/ሮ/ እና/ወይም ቅድስት ዘለዓለም /ወ/ሮ/</t>
  </si>
  <si>
    <t>0238</t>
  </si>
  <si>
    <t>Abeba Sisay G/Michael /Ato/</t>
  </si>
  <si>
    <t>አበበ ሲሳይ ገ/ሚካኤል /አቶ/</t>
  </si>
  <si>
    <t>0912-193860</t>
  </si>
  <si>
    <t>0239</t>
  </si>
  <si>
    <t>Abeba Tilahun Manyazewal /W/o/</t>
  </si>
  <si>
    <t>አበባ ጥላሁን ማንያዘዋል /ወ/ሮ/</t>
  </si>
  <si>
    <t>0900-010566</t>
  </si>
  <si>
    <t>0240</t>
  </si>
  <si>
    <t>Abeba Worku Alemneh /W/o/</t>
  </si>
  <si>
    <t>አበባ ወርቁ አለምነህ /ወ/ሮ/</t>
  </si>
  <si>
    <t>0241</t>
  </si>
  <si>
    <t>Abeba Yigezu Moges /W/o/</t>
  </si>
  <si>
    <t>አበባ ይገዙ ሞገስ /ወ/ሮ/</t>
  </si>
  <si>
    <t>0242</t>
  </si>
  <si>
    <t>Abeba Zeru Yimer /W/o/</t>
  </si>
  <si>
    <t>አበባ ዘሩ ይመር /ወ/ሮ/</t>
  </si>
  <si>
    <t>0911-119274</t>
  </si>
  <si>
    <t>0243</t>
  </si>
  <si>
    <t>0244</t>
  </si>
  <si>
    <t>Abebaw Addisu Meku /Ato/</t>
  </si>
  <si>
    <t>አበባው አዲሱ መኩ /አቶ/</t>
  </si>
  <si>
    <t>0953-317625</t>
  </si>
  <si>
    <t>0245</t>
  </si>
  <si>
    <t>Abebaw Alefe Mekete/Ato/</t>
  </si>
  <si>
    <t>አበባው አለፈ መከተ /አቶ/</t>
  </si>
  <si>
    <t>0246</t>
  </si>
  <si>
    <t>Abebaw Anbaneh Meselu  /Ato/</t>
  </si>
  <si>
    <t>አበባው አንባነህ መሰሉ   /አቶ/</t>
  </si>
  <si>
    <t>0247</t>
  </si>
  <si>
    <t>Abebaw Anibaw Kasa  /Ato/</t>
  </si>
  <si>
    <t>አበባው አንባው ካሳ /አቶ/</t>
  </si>
  <si>
    <t>0975-147151</t>
  </si>
  <si>
    <t>0248</t>
  </si>
  <si>
    <t>Abebaw Asemare Abeje /Ato/</t>
  </si>
  <si>
    <t>አበባው አሰማረ አበጀ /አቶ/</t>
  </si>
  <si>
    <t>0249</t>
  </si>
  <si>
    <t>Abebaw Ayalew Alemu /Ato/</t>
  </si>
  <si>
    <t>አበባው አያሌው አለሙ /አቶ/</t>
  </si>
  <si>
    <t>0941-464285</t>
  </si>
  <si>
    <t>0250</t>
  </si>
  <si>
    <t>Abebaw Ayalew Feleke /Ato/</t>
  </si>
  <si>
    <t>አበባው አያሌው ፈለቀ /አቶ/</t>
  </si>
  <si>
    <t>0251</t>
  </si>
  <si>
    <t>Abebaw Birhan Mengistu /Ato/</t>
  </si>
  <si>
    <t>አበባው ብርሀን መንግስቱ /አቶ/</t>
  </si>
  <si>
    <t>0938-878600</t>
  </si>
  <si>
    <t>0252</t>
  </si>
  <si>
    <t>Abebaw Dejen Kibret /Ato/</t>
  </si>
  <si>
    <t>አበባው ደጀን ክብረት /አቶ/</t>
  </si>
  <si>
    <t>0927-712789</t>
  </si>
  <si>
    <t>0253</t>
  </si>
  <si>
    <t>Abebaw Eniyew /Ato/</t>
  </si>
  <si>
    <t xml:space="preserve">አበባው እንየው /አቶ/ </t>
  </si>
  <si>
    <t>0254</t>
  </si>
  <si>
    <t>Abebaw Fenta Worku /Ato/</t>
  </si>
  <si>
    <t>አበባው ፈንታ ወርቁ /አቶ/</t>
  </si>
  <si>
    <t>0255</t>
  </si>
  <si>
    <t>Abebaw Getaneh Alemu /Ato/</t>
  </si>
  <si>
    <t>አበባው ጌታነህ አለሙ /አቶ/</t>
  </si>
  <si>
    <t>0987-876927</t>
  </si>
  <si>
    <t>0256</t>
  </si>
  <si>
    <t>Abebaw Getie Mitku /Ato/</t>
  </si>
  <si>
    <t>አበባው ጌጤ ምትኩ /አቶ/</t>
  </si>
  <si>
    <t>0257</t>
  </si>
  <si>
    <t>Abebaw Jegnie /Ato/</t>
  </si>
  <si>
    <t>አበባው ጀገኔ /አቶ/</t>
  </si>
  <si>
    <t>0258</t>
  </si>
  <si>
    <t>Abebaw Kassahun Frew /Ato/</t>
  </si>
  <si>
    <t xml:space="preserve">አበባዉ ካሳሁን ፍሬው /አቶ/ </t>
  </si>
  <si>
    <t>0259</t>
  </si>
  <si>
    <t>Abebaw Kemaw Cherenet /Ato/</t>
  </si>
  <si>
    <t>አበባው ቀማው ቸርነት /አቶ/</t>
  </si>
  <si>
    <t>0937-464096</t>
  </si>
  <si>
    <t>0260</t>
  </si>
  <si>
    <t>Abebaw Mamo Mitke /Ato</t>
  </si>
  <si>
    <t>አበባው ማሞ ምትኩ /አቶ/</t>
  </si>
  <si>
    <t>0989-070364</t>
  </si>
  <si>
    <t>0261</t>
  </si>
  <si>
    <t>Abebaw Manaze Azebete /Ato/</t>
  </si>
  <si>
    <t>አበባው ማናዜ አዝብጤ /አቶ/</t>
  </si>
  <si>
    <t>0262</t>
  </si>
  <si>
    <t>Abebaw Mazengiyaw Mengistu /Ato/</t>
  </si>
  <si>
    <t>አበባው ማዘንጊያው መንግስቱ /አቶ/</t>
  </si>
  <si>
    <t>0263</t>
  </si>
  <si>
    <t>Abebaw Mekonen Moges /Ato/</t>
  </si>
  <si>
    <t>አበባው መኮንን ሞገስ /አቶ/</t>
  </si>
  <si>
    <t>0924-533392</t>
  </si>
  <si>
    <t>0264</t>
  </si>
  <si>
    <t>Abebaw Mekonnen Dessie /Ato/</t>
  </si>
  <si>
    <t>አበባው መኮንን ደሴ /አቶ/</t>
  </si>
  <si>
    <t>0265</t>
  </si>
  <si>
    <t>Abebaw Melese Goshu /Ato/</t>
  </si>
  <si>
    <t>አበባው መለሰ ጎሹ /አቶ/</t>
  </si>
  <si>
    <t>0266</t>
  </si>
  <si>
    <t>Abebaw Menbre Getie /Ato/</t>
  </si>
  <si>
    <t>አበባው መንበረ ጌቴ /አቶ/</t>
  </si>
  <si>
    <t>0910-424048</t>
  </si>
  <si>
    <t>0267</t>
  </si>
  <si>
    <t>Abebaw Mengistie Gesesse /Ato/</t>
  </si>
  <si>
    <t>አበባው መንግስቴ ገሰሰ /አቶ/</t>
  </si>
  <si>
    <t>0914603043
0911703043</t>
  </si>
  <si>
    <t>0268</t>
  </si>
  <si>
    <t>Abebaw Miherete W/Eyesus /Ato/</t>
  </si>
  <si>
    <t>አበባው ምህረቴ ወ/እየሱስ /አቶ/</t>
  </si>
  <si>
    <t xml:space="preserve">Amara </t>
  </si>
  <si>
    <t>0269</t>
  </si>
  <si>
    <t>Abebaw Mitiku Addisu /Ato/</t>
  </si>
  <si>
    <t>አበባዉ ምትኩ   /አቶ/</t>
  </si>
  <si>
    <t>0270</t>
  </si>
  <si>
    <t>Abebaw Nguse Galie /Ato/</t>
  </si>
  <si>
    <t>አበባው ንጉሴ ጋሊ /አቶ/</t>
  </si>
  <si>
    <t>0271</t>
  </si>
  <si>
    <t>Abebaw Nibret Tekele /Ato/</t>
  </si>
  <si>
    <t>አበባው ንብረት ተከለ /አቶ/</t>
  </si>
  <si>
    <t>0934-668634</t>
  </si>
  <si>
    <t>0272</t>
  </si>
  <si>
    <t>Abebaw Sinshaw /Ato/</t>
  </si>
  <si>
    <t>አበባው ስንሻው /አቶ/</t>
  </si>
  <si>
    <t>0273</t>
  </si>
  <si>
    <t>Abebaw Tade Alemayehu /Ato/</t>
  </si>
  <si>
    <t>አበባው ታዴ አለማየሁ /አቶ/</t>
  </si>
  <si>
    <t>0274</t>
  </si>
  <si>
    <t>Abebaw Tadesse /Ato/</t>
  </si>
  <si>
    <t>አበባው ታደሰ /አቶ/</t>
  </si>
  <si>
    <t>D/M</t>
  </si>
  <si>
    <t>0275</t>
  </si>
  <si>
    <t>Abebaw Tekeba Belay /Ato/</t>
  </si>
  <si>
    <t>›uv¨&lt; }kv uLÃ /›„/</t>
  </si>
  <si>
    <t>0911-223758</t>
  </si>
  <si>
    <t>0276</t>
  </si>
  <si>
    <t>አበባው ተቀባ በላይ /አቶ/</t>
  </si>
  <si>
    <t>abexbelay9@gmail.com</t>
  </si>
  <si>
    <t>0277</t>
  </si>
  <si>
    <t>Abebaw Wedu Mareye   /Ato/</t>
  </si>
  <si>
    <t>አበባው ውዱ ማርየ   /አቶ/</t>
  </si>
  <si>
    <t>0278</t>
  </si>
  <si>
    <t>Abebaw Wubie Mereche /Ato/</t>
  </si>
  <si>
    <t>አበባው ውቤ መረጨ /አቶ/</t>
  </si>
  <si>
    <t>0279</t>
  </si>
  <si>
    <t>Abebaye Beza Asefa /W/o/</t>
  </si>
  <si>
    <t>አበባዬ በዙ አሰፋ /ወ/ሮ/</t>
  </si>
  <si>
    <t>0928-329424</t>
  </si>
  <si>
    <t>0280</t>
  </si>
  <si>
    <t>Abebaye Kassa Ibrahim /W/</t>
  </si>
  <si>
    <t>አበባዬ ካሳ ኢብራሂም /ወ/</t>
  </si>
  <si>
    <t>0911-481995</t>
  </si>
  <si>
    <t>0281</t>
  </si>
  <si>
    <t>Abebayehu Alangne Ayde /Ato/</t>
  </si>
  <si>
    <t>አበባየሁ አላንጌ አይዴ /አቶ/</t>
  </si>
  <si>
    <t>0916-687435</t>
  </si>
  <si>
    <t>0282</t>
  </si>
  <si>
    <t>Abebayehu Demisse Wendemu /Ato/</t>
  </si>
  <si>
    <t>አበባየሁ ደምሴ ወንድሙ /አቶ/</t>
  </si>
  <si>
    <t>0283</t>
  </si>
  <si>
    <t>Abebayehu Didena Goa /W/O/</t>
  </si>
  <si>
    <t>አበባየሁ ዲዴና ጎአ /ወ/ሮ/</t>
  </si>
  <si>
    <t>0937-308163</t>
  </si>
  <si>
    <t>0284</t>
  </si>
  <si>
    <t>Abebayehu Feyssa Alo /Ato/</t>
  </si>
  <si>
    <t>አበባየሁ ፈይሳ አሎ /አቶ/</t>
  </si>
  <si>
    <t>0911-232163</t>
  </si>
  <si>
    <t>0285</t>
  </si>
  <si>
    <t>Abebayehu Molla Tona /W/o/</t>
  </si>
  <si>
    <t>አበባየሁ ሞላ ጦና /ወ/ሮ/</t>
  </si>
  <si>
    <t>0286</t>
  </si>
  <si>
    <t>Abebayehu Takele Zegeye /Ato/</t>
  </si>
  <si>
    <t>አበባየሁ ታከለ ዘገዬ /አቶ/</t>
  </si>
  <si>
    <t>0287</t>
  </si>
  <si>
    <t>Abebayehu Temesgen Mena /Ato/</t>
  </si>
  <si>
    <t>አበባየዉ ተመስገን መና /አቶ/</t>
  </si>
  <si>
    <t>0933-017538</t>
  </si>
  <si>
    <t>0288</t>
  </si>
  <si>
    <t>Abebayehu Wosin T/amin /Ato/</t>
  </si>
  <si>
    <t>አበባየው ወስን ተ/አሚን /አቶ/</t>
  </si>
  <si>
    <t>0289</t>
  </si>
  <si>
    <t>Abebayehu Yayeh/Ato/</t>
  </si>
  <si>
    <t>አበባው ያየህ እርታ /አቶ/</t>
  </si>
  <si>
    <t>0290</t>
  </si>
  <si>
    <t>Abebe Abatineh Yemer /Ato/</t>
  </si>
  <si>
    <t>አበበ አባትነህ ይመር /አቶ/</t>
  </si>
  <si>
    <t>0291</t>
  </si>
  <si>
    <t>Abebe Abelneh /Ato/</t>
  </si>
  <si>
    <t>አበበ አቤልነህ /አቶ/</t>
  </si>
  <si>
    <t>0948-782247</t>
  </si>
  <si>
    <t>0292</t>
  </si>
  <si>
    <t xml:space="preserve">Abebe Adane  /Ato/ </t>
  </si>
  <si>
    <t>አበበ አደና /አቶ/</t>
  </si>
  <si>
    <t>0918-391134</t>
  </si>
  <si>
    <t>0293</t>
  </si>
  <si>
    <t>Abebe Adimasu Mengist /Ato/</t>
  </si>
  <si>
    <t>አበበ አድማሱ መንግስቴ /አቶ/</t>
  </si>
  <si>
    <t>0922-203325</t>
  </si>
  <si>
    <t>0294</t>
  </si>
  <si>
    <t>Abebe Adugna Negash /Ato/</t>
  </si>
  <si>
    <t>አበበ አዱኛ ነጋሸ /አቶ/</t>
  </si>
  <si>
    <t>0295</t>
  </si>
  <si>
    <t>Abebe Adugnaw Tadesse /Ato/</t>
  </si>
  <si>
    <t>አበበ አዱኛዉ ታደሰ /አቶ/</t>
  </si>
  <si>
    <t>0296</t>
  </si>
  <si>
    <t>Abebe Akalu Mskier /Ato/</t>
  </si>
  <si>
    <t>አበበ አካሉ ምስክር /አቶ/</t>
  </si>
  <si>
    <t>0297</t>
  </si>
  <si>
    <t>Abebe Akilil /Ato/</t>
  </si>
  <si>
    <t>አበበ አክሊሉ  /አቶ/</t>
  </si>
  <si>
    <t>0298</t>
  </si>
  <si>
    <t>Abebe Akuro Bashene /Ato/</t>
  </si>
  <si>
    <t>አበበ አኩሮ ባሻኔ /አቶ/</t>
  </si>
  <si>
    <t>0299</t>
  </si>
  <si>
    <t>Abebe Alamrew Feleke /Ato/</t>
  </si>
  <si>
    <t>አበበ አላምረው ፈለቀ /አቶ/</t>
  </si>
  <si>
    <t>0948-741970</t>
  </si>
  <si>
    <t>0300</t>
  </si>
  <si>
    <t>Abebe Alaro  /Ato/</t>
  </si>
  <si>
    <t>አበበ አላሮ /አቶ/</t>
  </si>
  <si>
    <t>0301</t>
  </si>
  <si>
    <t>Abebe Alaro /Ato/</t>
  </si>
  <si>
    <t>0932-798290</t>
  </si>
  <si>
    <t>0302</t>
  </si>
  <si>
    <t>Abebe Alaro Arishato /Ato/</t>
  </si>
  <si>
    <t xml:space="preserve"> አበበ አላሮ አርሻቶ  /አቶ/</t>
  </si>
  <si>
    <t>0303</t>
  </si>
  <si>
    <t>Abebe Alebo /Ato/</t>
  </si>
  <si>
    <t>አበበ አሌቦ /አቶ/</t>
  </si>
  <si>
    <t>0934-602329</t>
  </si>
  <si>
    <t>0304</t>
  </si>
  <si>
    <t>Abebe Alem Yizenge /Ato/</t>
  </si>
  <si>
    <t>አበበ አለም ይዘንጌ /አቶ/</t>
  </si>
  <si>
    <t>0305</t>
  </si>
  <si>
    <t>Abebe Alemayehu Anley /Ato/</t>
  </si>
  <si>
    <t>አበበ አለማየሁ አንለይ /አቶ/</t>
  </si>
  <si>
    <t>0986-911301</t>
  </si>
  <si>
    <t>0306</t>
  </si>
  <si>
    <t>Abebe Alemneh Bogale /Kes/</t>
  </si>
  <si>
    <t>አበበ አለምነህ ቦጋለ /ቄስ/</t>
  </si>
  <si>
    <t>0946-280242</t>
  </si>
  <si>
    <t>0307</t>
  </si>
  <si>
    <t>Abebe Alemu Belay /R/A/</t>
  </si>
  <si>
    <t>አበበ አለሙ በላይ /አቶ/</t>
  </si>
  <si>
    <t>0913-342606</t>
  </si>
  <si>
    <t>0308</t>
  </si>
  <si>
    <t>Abebe Alemu W/meskel /Shambel/</t>
  </si>
  <si>
    <t>አበበ አለሙ ወ/መስቀል /ሻንበል/</t>
  </si>
  <si>
    <t>0913-043139</t>
  </si>
  <si>
    <t>0309</t>
  </si>
  <si>
    <t>Abebe Alemu Wachalo /Ato/</t>
  </si>
  <si>
    <t>አበበ አለሙ ዋጫሎ /አቶ/</t>
  </si>
  <si>
    <t>0310</t>
  </si>
  <si>
    <t>Abebe Aman Aregata /Ato/</t>
  </si>
  <si>
    <t>አበበ አማን አረጋታ /አቶ/</t>
  </si>
  <si>
    <t>0993-647324</t>
  </si>
  <si>
    <t>0311</t>
  </si>
  <si>
    <t>Abebe Amdae Tirfae /Ato/</t>
  </si>
  <si>
    <t>አበበ አምዴ ትርፌ /አቶ/</t>
  </si>
  <si>
    <t>9037-936799</t>
  </si>
  <si>
    <t>0312</t>
  </si>
  <si>
    <t>Abebe Andarge Lakew /Ato/</t>
  </si>
  <si>
    <t>አበበ አዳርግ ላቀው /አቶ/</t>
  </si>
  <si>
    <t>0918-603406</t>
  </si>
  <si>
    <t>0313</t>
  </si>
  <si>
    <t>Abebe Andarge Tariku /Ato/</t>
  </si>
  <si>
    <t>አበበ አንዳርጌ ታርኩ /አቶ/</t>
  </si>
  <si>
    <t>0314</t>
  </si>
  <si>
    <t>Abebe Anjilo Bulo /Ato/</t>
  </si>
  <si>
    <t>አበበ አንጂሎ ቡሎ /አቶ/</t>
  </si>
  <si>
    <t>0911-418392</t>
  </si>
  <si>
    <t>0315</t>
  </si>
  <si>
    <t>Abebe Aregahegn W/Hanna/Ato/</t>
  </si>
  <si>
    <t>አበበ አረጋኸኝ ወ/ሃና /አቶ/</t>
  </si>
  <si>
    <t>0920-119743</t>
  </si>
  <si>
    <t>0316</t>
  </si>
  <si>
    <t>Abebe Asefi Belay /Ato/</t>
  </si>
  <si>
    <t>አበበ አሰፊ በላይ /አቶ/</t>
  </si>
  <si>
    <t>0317</t>
  </si>
  <si>
    <t>Abebe Aseres Checole /Ato/</t>
  </si>
  <si>
    <t>አበበ አሰረስ ቸኮሌ /አቶ/</t>
  </si>
  <si>
    <t>0975-128344</t>
  </si>
  <si>
    <t>0318</t>
  </si>
  <si>
    <t>Abebe Ashenafi Demisu  (Ato)</t>
  </si>
  <si>
    <t xml:space="preserve">አበበ አሸናፊ ደሚሱ  /አቶ/  </t>
  </si>
  <si>
    <t>923717309</t>
  </si>
  <si>
    <t>0319</t>
  </si>
  <si>
    <t>Abebe Ashenef Ayenew /Ato/</t>
  </si>
  <si>
    <t>አበበ አሸንፍ አየነው /አቶ/</t>
  </si>
  <si>
    <t>0320</t>
  </si>
  <si>
    <t xml:space="preserve">Abebe Atilaw W/silase /Ato/ </t>
  </si>
  <si>
    <t>አበበ አጥላው ወ/ስላሴ /አቶ/</t>
  </si>
  <si>
    <t>0321</t>
  </si>
  <si>
    <t>Abebe Aweke /Ato/</t>
  </si>
  <si>
    <t>አበበ አወቀ /አቶ/</t>
  </si>
  <si>
    <t>0322</t>
  </si>
  <si>
    <t>Abebe Ayiza Alanbo /Ato/</t>
  </si>
  <si>
    <t>አበበ አይዛ አላንቦ /አቶ/</t>
  </si>
  <si>
    <t>0923-098475</t>
  </si>
  <si>
    <t>0323</t>
  </si>
  <si>
    <t>Abebe Ayka Anka /Ato/</t>
  </si>
  <si>
    <t>አበበ አይካ አንካ /አቶ/</t>
  </si>
  <si>
    <t>0920-361153</t>
  </si>
  <si>
    <t>0324</t>
  </si>
  <si>
    <t>Abebe Bale Banqursa /Ato/</t>
  </si>
  <si>
    <t xml:space="preserve"> አበበ ባሌ ባንቁርስ /አቶ/</t>
  </si>
  <si>
    <t>0325</t>
  </si>
  <si>
    <t>Abebe Balew Nigashe /Ato/</t>
  </si>
  <si>
    <t>አበበ ባለው ነጋሸ /አቶ/</t>
  </si>
  <si>
    <t>0970-947686</t>
  </si>
  <si>
    <t>0326</t>
  </si>
  <si>
    <t>Abebe Baye Damtew /Ato/</t>
  </si>
  <si>
    <t>አበበ ባየ ዳምጠው /አቶ/</t>
  </si>
  <si>
    <t>0960-023819</t>
  </si>
  <si>
    <t>0327</t>
  </si>
  <si>
    <t>Abebe Begashaw Awgchew /Ato/</t>
  </si>
  <si>
    <t>አበበ በጋሻው አውግቸው /አቶ/</t>
  </si>
  <si>
    <t>0941-224148</t>
  </si>
  <si>
    <t>0328</t>
  </si>
  <si>
    <t xml:space="preserve">Abebe Bekele Dedo /Ato/ </t>
  </si>
  <si>
    <t>አበበ በቀለ ድዶ /አቶ/</t>
  </si>
  <si>
    <t>0919-410510/0919410510</t>
  </si>
  <si>
    <t>0329</t>
  </si>
  <si>
    <t>Abebe Berihun Gobeze /Dr/</t>
  </si>
  <si>
    <t>አበበ በሪሁን ጎበዜ /ዶ/ር/</t>
  </si>
  <si>
    <t>0931-581360</t>
  </si>
  <si>
    <t>nigusezana33@gmail.com</t>
  </si>
  <si>
    <t>0330</t>
  </si>
  <si>
    <t>Abebe Birhanu /Ato/</t>
  </si>
  <si>
    <t>አበበ ብርሀኑ /አቶ/</t>
  </si>
  <si>
    <t>0331</t>
  </si>
  <si>
    <t>Abebe Birhanu Dejen /Ato/</t>
  </si>
  <si>
    <t>አበበ ብርሃኑ ደጀን /አቶ/</t>
  </si>
  <si>
    <t>0943-721809</t>
  </si>
  <si>
    <t>0332</t>
  </si>
  <si>
    <t>Abebe Birhanu Nigatu /Ato/</t>
  </si>
  <si>
    <t>አበበ ብርሃኑ ንጋቱ /አቶ/</t>
  </si>
  <si>
    <t>0333</t>
  </si>
  <si>
    <t>Abebe Biru Yalew /Ato/</t>
  </si>
  <si>
    <t>አበበ ብሩ ያለው /አቶ/</t>
  </si>
  <si>
    <t>0948-618507</t>
  </si>
  <si>
    <t>0334</t>
  </si>
  <si>
    <t>Abebe Bizie Kemiela /Ato/</t>
  </si>
  <si>
    <t>አበበ ብዜ ክሜላ /አቶ/</t>
  </si>
  <si>
    <t>0965-919192</t>
  </si>
  <si>
    <t>0335</t>
  </si>
  <si>
    <t>Abebe Bogale /Ato/</t>
  </si>
  <si>
    <t>አበበ ቦጋለ /አቶ/</t>
  </si>
  <si>
    <t>0336</t>
  </si>
  <si>
    <t>Abebe Bogale Gizaw /Ato/</t>
  </si>
  <si>
    <t>አበበ ቦጋለ ግዛው /አቶ/</t>
  </si>
  <si>
    <t>0927-369316</t>
  </si>
  <si>
    <t>0337</t>
  </si>
  <si>
    <t>Abebe Butasha Gata /Ato/</t>
  </si>
  <si>
    <t>አበበ ቡጣሻ ጋጣ /አቶ/</t>
  </si>
  <si>
    <t>0949-661353</t>
  </si>
  <si>
    <t>0338</t>
  </si>
  <si>
    <t>Abebe Dana Wosano (Ato)</t>
  </si>
  <si>
    <t>አበበ ዳና ዎሳኖ /አቶ/</t>
  </si>
  <si>
    <t>0964082884</t>
  </si>
  <si>
    <t>ደቡብ</t>
  </si>
  <si>
    <t>0339</t>
  </si>
  <si>
    <t>Abebe Data /Ato/</t>
  </si>
  <si>
    <t>አበበ ዲታ /አቶ/</t>
  </si>
  <si>
    <t>0926-085831</t>
  </si>
  <si>
    <t>0340</t>
  </si>
  <si>
    <t>Abebe Debalkie Mekonnen /Ato/</t>
  </si>
  <si>
    <t>አበበ ደባልቄ መኮንን /አቶ/</t>
  </si>
  <si>
    <t>0341</t>
  </si>
  <si>
    <t>Abebe Demelash Baye /Ato/</t>
  </si>
  <si>
    <t>አበበ ደመላሸ ባየ /አቶ/</t>
  </si>
  <si>
    <t>0342</t>
  </si>
  <si>
    <t>Abebe Demisse Zewudie /Ato/</t>
  </si>
  <si>
    <t>አበበ ደምሴ ዘውዴ /አቶ/</t>
  </si>
  <si>
    <t>0343</t>
  </si>
  <si>
    <t>Abebe Dessie Getahun /Ato/</t>
  </si>
  <si>
    <t>አበበ ደሴ ጌታሁን /አቶ/</t>
  </si>
  <si>
    <t>0982-393791</t>
  </si>
  <si>
    <t>0344</t>
  </si>
  <si>
    <t>Abebe Digasa /Ato/</t>
  </si>
  <si>
    <t>አበበ ድጋሳ /አቶ/</t>
  </si>
  <si>
    <t>0345</t>
  </si>
  <si>
    <t>Abebe Dore Erisa /Ato/</t>
  </si>
  <si>
    <t>አበበ ዶሬ እርሳ  /አቶ/</t>
  </si>
  <si>
    <t>0346</t>
  </si>
  <si>
    <t>Abebe Ejigu Gessesse /Ato/</t>
  </si>
  <si>
    <t>አበበ እጅጉ ገሠሠ /አቶ/</t>
  </si>
  <si>
    <t>0347</t>
  </si>
  <si>
    <t>Abebe Enyew Akalu /Ato/</t>
  </si>
  <si>
    <t>አበበ እንየው አካሉ /አቶ/</t>
  </si>
  <si>
    <t>0348</t>
  </si>
  <si>
    <t>Abebe Eshete Amenu /Ato/</t>
  </si>
  <si>
    <t>አበበ እሸቴ አመኑ /አቶ/</t>
  </si>
  <si>
    <t>0349</t>
  </si>
  <si>
    <t>Abebe Fanta Eneyew /Ato/</t>
  </si>
  <si>
    <t>አበበ ፋንታ እንየው/አቶ/</t>
  </si>
  <si>
    <t>0350</t>
  </si>
  <si>
    <t>Abebe Fentie Mersha /Ato/</t>
  </si>
  <si>
    <t>አበበ ፈንቴ መርሻ /አቶ/</t>
  </si>
  <si>
    <t>0351</t>
  </si>
  <si>
    <t>Abebe Fikre Tilahun /Ato/</t>
  </si>
  <si>
    <t>አበበ ፍቅረ ጥላሁን /አቶ/</t>
  </si>
  <si>
    <t>0910-688553</t>
  </si>
  <si>
    <t>0352</t>
  </si>
  <si>
    <t>Abebe G/Silase Ema /Ato/</t>
  </si>
  <si>
    <t>አበበ ገ/ሰላሴ እም /አቶ/</t>
  </si>
  <si>
    <t>0353</t>
  </si>
  <si>
    <t>Abebe Gadere /Ato/</t>
  </si>
  <si>
    <t>አበበ ጋደሬ /አቶ/</t>
  </si>
  <si>
    <t>0354</t>
  </si>
  <si>
    <t>Abebe Gele /Ato/</t>
  </si>
  <si>
    <t>አበበ ገሌ /አቶ/</t>
  </si>
  <si>
    <t>0355</t>
  </si>
  <si>
    <t>Abebe Giya Geto /Ato/</t>
  </si>
  <si>
    <t>አበበ ጊያ ጌቱ /አቶ/</t>
  </si>
  <si>
    <t>0356</t>
  </si>
  <si>
    <t>Abebe Guta /Ato/</t>
  </si>
  <si>
    <t>አበበ ጉታ /አቶ/</t>
  </si>
  <si>
    <t>0920-008252</t>
  </si>
  <si>
    <t>0357</t>
  </si>
  <si>
    <t>Abebe Haile Ade /Ato/</t>
  </si>
  <si>
    <t>አበበ ሀይሌ አደ /አቶ/</t>
  </si>
  <si>
    <t>0961-169687</t>
  </si>
  <si>
    <t xml:space="preserve">Debube </t>
  </si>
  <si>
    <t>0358</t>
  </si>
  <si>
    <t>Abebe Hailu Desta /Ato/</t>
  </si>
  <si>
    <t>አበበ ሐይሉ ደስታው /አቶ/</t>
  </si>
  <si>
    <t>0911-751587</t>
  </si>
  <si>
    <t>addisu.tiruneh@gmail.com</t>
  </si>
  <si>
    <t>0359</t>
  </si>
  <si>
    <t>Abebe Hayimanot Wubineh /Ato/</t>
  </si>
  <si>
    <t>አበበ ሀይማኖት ውብነህ /አቶ/</t>
  </si>
  <si>
    <t>0946-160026</t>
  </si>
  <si>
    <t>0360</t>
  </si>
  <si>
    <t xml:space="preserve">Abebe Kase Desta /Ato/ </t>
  </si>
  <si>
    <t>አበበ ካሴ ደስታ   /አቶ/</t>
  </si>
  <si>
    <t>0361</t>
  </si>
  <si>
    <t>Abebe Kassa Alemu /Ato/</t>
  </si>
  <si>
    <t>አበበ ካሳ አለሙ /አቶ/</t>
  </si>
  <si>
    <t>0362</t>
  </si>
  <si>
    <t>Abebe Kassahun Nigussie /Ato/</t>
  </si>
  <si>
    <t>አበበ ካሳሁን ንጉሴ /አቶ/</t>
  </si>
  <si>
    <t>0911-096351</t>
  </si>
  <si>
    <t>Abiynegussie@gmail.com</t>
  </si>
  <si>
    <t>0363</t>
  </si>
  <si>
    <t>Abebe Kasse Kefyalew /Ato/</t>
  </si>
  <si>
    <t>አበበ ካሴ ከፍያለው /አቶ/</t>
  </si>
  <si>
    <t>0993-707273</t>
  </si>
  <si>
    <t>0364</t>
  </si>
  <si>
    <t>Abebe Kawato /Ato/</t>
  </si>
  <si>
    <t>አበበ ቃዋቶ /አቶ/</t>
  </si>
  <si>
    <t>0365</t>
  </si>
  <si>
    <t>Abebe Kebede  (Ato)</t>
  </si>
  <si>
    <t>አበበ ከበደ በርሴ /አቶ/</t>
  </si>
  <si>
    <t>0366</t>
  </si>
  <si>
    <t>Abebe Kefie Bayche/Ato/</t>
  </si>
  <si>
    <t>አበበ ከፌ ባይጨ /አቶ/</t>
  </si>
  <si>
    <t>0367</t>
  </si>
  <si>
    <t>0368</t>
  </si>
  <si>
    <t>Abebe Kifle Tekelie /Ato/</t>
  </si>
  <si>
    <t>አበበ ክፍሌ ተክሌ /አቶ/</t>
  </si>
  <si>
    <t>0369</t>
  </si>
  <si>
    <t>Abebe Ledamo /Ato/</t>
  </si>
  <si>
    <t xml:space="preserve">አበበ ሌዳሞ  /አቶ/ </t>
  </si>
  <si>
    <t>0370</t>
  </si>
  <si>
    <t>Abebe Liyew Belew /Ato/</t>
  </si>
  <si>
    <t>አበበ ልየዉ በለዉ /አቶ/</t>
  </si>
  <si>
    <t>0371</t>
  </si>
  <si>
    <t>Abebe Lulie Ademasu /Ato/</t>
  </si>
  <si>
    <t>አበበ ሉሌ አድማሱ /አቶ/</t>
  </si>
  <si>
    <t>0932-724785</t>
  </si>
  <si>
    <t>0372</t>
  </si>
  <si>
    <t>Abebe Manaye Shiferaw  /Ato/</t>
  </si>
  <si>
    <t>አበበ ማናየ ሽፈራው   /አቶ/</t>
  </si>
  <si>
    <t>0373</t>
  </si>
  <si>
    <t>Abebe Mandfro Hamlew /Ato/</t>
  </si>
  <si>
    <t>አበበ ማንደፍሮ ሐምሌው /አቶ/</t>
  </si>
  <si>
    <t>0911-953506</t>
  </si>
  <si>
    <t>0374</t>
  </si>
  <si>
    <t>Abebe Melese Alemu /Ato/</t>
  </si>
  <si>
    <t>አበበ መለሰ አለሙ /አቶ/</t>
  </si>
  <si>
    <t>0375</t>
  </si>
  <si>
    <t>Abebe Melese Tayachew /Ato/</t>
  </si>
  <si>
    <t>አበበ መለሰ ታያቸው /አቶ/</t>
  </si>
  <si>
    <t>0376</t>
  </si>
  <si>
    <t>Abebe Mengistu Ayalew /Ato/</t>
  </si>
  <si>
    <t>አበበ መንግሰቱ አያሌወ /አቶ/</t>
  </si>
  <si>
    <t>0973-502528</t>
  </si>
  <si>
    <t>0377</t>
  </si>
  <si>
    <t>Abebe Mengste Yemolawe /Ato/</t>
  </si>
  <si>
    <t>አበበ መንግሰቴ የሞላው /አቶ/</t>
  </si>
  <si>
    <t>0920-259910</t>
  </si>
  <si>
    <t>0378</t>
  </si>
  <si>
    <t>Abebe Mesganew Tarikgn /Ato/</t>
  </si>
  <si>
    <t>አበበ ምሰጋነው ታርቀኝ /አቶ/</t>
  </si>
  <si>
    <t>0379</t>
  </si>
  <si>
    <t>Abebe Mihretie Belay /Ato/</t>
  </si>
  <si>
    <t>አበበ ምህረቴ በላይ /አቶ/</t>
  </si>
  <si>
    <t>0921-290255</t>
  </si>
  <si>
    <t>0380</t>
  </si>
  <si>
    <t>Abebe Mindaye /Ato/</t>
  </si>
  <si>
    <t>አበበ ምንዳዬ ጠንፋ /አቶ/</t>
  </si>
  <si>
    <t>0381</t>
  </si>
  <si>
    <t>Abebe Miniye Workneh /Ato/</t>
  </si>
  <si>
    <t>አበበ ምንየ ወርቅነህ /አቶ/</t>
  </si>
  <si>
    <t>0915-851084</t>
  </si>
  <si>
    <t>0382</t>
  </si>
  <si>
    <t>Abebe Mulu /Ato/</t>
  </si>
  <si>
    <t>አበበ ሙሉ /አቶ/</t>
  </si>
  <si>
    <t>0383</t>
  </si>
  <si>
    <t>Abebe Mulugeta Tikel /Ato/</t>
  </si>
  <si>
    <t>አበበ ሙሉጌታ ተክለ /አቶ/</t>
  </si>
  <si>
    <t>0384</t>
  </si>
  <si>
    <t>Abebe Nigus W/semayat /Ato/</t>
  </si>
  <si>
    <t>አበበ ንጉስ ወ/ሰማያት /አቶ/</t>
  </si>
  <si>
    <t>0911-576055</t>
  </si>
  <si>
    <t>millymengisteab@gmail.com</t>
  </si>
  <si>
    <t>0385</t>
  </si>
  <si>
    <t>Abebe Noe Tula /Ato/</t>
  </si>
  <si>
    <t>አበበ ቦኤ ቱላ /አቶ/</t>
  </si>
  <si>
    <t>0386</t>
  </si>
  <si>
    <t>Abebe Oyida Alebo /Ato/</t>
  </si>
  <si>
    <t>አበበ ኦይዳ /አቶ/</t>
  </si>
  <si>
    <t>0387</t>
  </si>
  <si>
    <t>Abebe Sendekie /Kes/</t>
  </si>
  <si>
    <t xml:space="preserve"> አበበ ሰንደቄ /ቄስ/</t>
  </si>
  <si>
    <t>0388</t>
  </si>
  <si>
    <t xml:space="preserve">Abebe Setarge Asefa /Ato/ </t>
  </si>
  <si>
    <t>አበበ ሰጣአርጌ አሰፋ    /አቶ/</t>
  </si>
  <si>
    <t>0923070784</t>
  </si>
  <si>
    <t>0389</t>
  </si>
  <si>
    <t>Abebe Shumete Abera /Ato/</t>
  </si>
  <si>
    <t>አበበ ሹመቴ አበራ /አቶ/</t>
  </si>
  <si>
    <t>0390</t>
  </si>
  <si>
    <t>Abebe Sinishaw Tegegne /Ato/</t>
  </si>
  <si>
    <t>አበበ ስንሻው ተገኘ /አቶ/</t>
  </si>
  <si>
    <t>0943-438796</t>
  </si>
  <si>
    <t xml:space="preserve">ሲዳማ </t>
  </si>
  <si>
    <t>0391</t>
  </si>
  <si>
    <t>Abebe Tadesse /Ato/</t>
  </si>
  <si>
    <t>አበበ ታደሰ /አቶ/</t>
  </si>
  <si>
    <t>0392</t>
  </si>
  <si>
    <t>Abebe Takele Mekonnen/ Ato/</t>
  </si>
  <si>
    <t>አበበ ታከለ መኮንን /አቶ/</t>
  </si>
  <si>
    <t>0393</t>
  </si>
  <si>
    <t>Abebe Tamere Gesese /Ato/</t>
  </si>
  <si>
    <t>አበበ ታምሬ ገስስ /አቶ/</t>
  </si>
  <si>
    <t>0394</t>
  </si>
  <si>
    <t>Abebe Tamiru Werek /Ato/</t>
  </si>
  <si>
    <t>አበበ ታምሩ ወርቄ</t>
  </si>
  <si>
    <t>0395</t>
  </si>
  <si>
    <t>Abebe Tasew Shewarega /Ato/</t>
  </si>
  <si>
    <t>አበበ ጣሰው ሸዋረጋ /አቶ/</t>
  </si>
  <si>
    <t>0396</t>
  </si>
  <si>
    <t>Abebe Tefera Tesso /Ato/</t>
  </si>
  <si>
    <t>አበበ ተፈራ ቴሶ /አቶ/</t>
  </si>
  <si>
    <t>0397</t>
  </si>
  <si>
    <t>Abebe Tegegne Akale /Ato/</t>
  </si>
  <si>
    <t>አበበ ተገኘ አከለ /አቶ</t>
  </si>
  <si>
    <t>0398</t>
  </si>
  <si>
    <t>Abebe Tesalaneh (Ato)</t>
  </si>
  <si>
    <t>አበበ  ጻላህ ጫምአ  (አቶ)</t>
  </si>
  <si>
    <t>0399</t>
  </si>
  <si>
    <t>Abebe Teshom Takel /Ato/</t>
  </si>
  <si>
    <t>አበበ ተሸመ ታከለ /አቶ/</t>
  </si>
  <si>
    <t>0400</t>
  </si>
  <si>
    <t>Abebe Teshome Dagnaw /Ato/</t>
  </si>
  <si>
    <t>አበበ ተሾመ ዳኛው /አቶ/</t>
  </si>
  <si>
    <t>0994-531395</t>
  </si>
  <si>
    <t>0401</t>
  </si>
  <si>
    <t>Abebe Tilahun Kasa /Ato/</t>
  </si>
  <si>
    <t>አበበ ጥላሁን ካሳ /አቶ/</t>
  </si>
  <si>
    <t>0402</t>
  </si>
  <si>
    <t>Abebe Toga Balango /Ato/</t>
  </si>
  <si>
    <t>አበበ ቶጋ ባላንጎ /አቶ/</t>
  </si>
  <si>
    <t>0403</t>
  </si>
  <si>
    <t>Abebe Tsegaye Menigistie /Ato/</t>
  </si>
  <si>
    <t>አበበ ፀጋዬ መንግስቴ /አቶ/</t>
  </si>
  <si>
    <t>0941-810505</t>
  </si>
  <si>
    <t>0404</t>
  </si>
  <si>
    <t>Abebe Ugamo /Ato/</t>
  </si>
  <si>
    <t>አበበ አጋሞ /አቶ/</t>
  </si>
  <si>
    <t>0916-45-24-05</t>
  </si>
  <si>
    <t>0405</t>
  </si>
  <si>
    <t>Abebe Wale Yirdaw/Ato/</t>
  </si>
  <si>
    <t>አበበ ዋለ ይርዳው/አቶ/</t>
  </si>
  <si>
    <t>0406</t>
  </si>
  <si>
    <t>Abebe Wega Salo /Ato/</t>
  </si>
  <si>
    <t>አበበ ወጋ ሳሎ /አቶ/</t>
  </si>
  <si>
    <t>0916-482267</t>
  </si>
  <si>
    <t>0407</t>
  </si>
  <si>
    <t>Abebe Wesenyeleh Aboye (Ato)</t>
  </si>
  <si>
    <t>አበበ ወሠንየለህ አቦየ  /አቶ/</t>
  </si>
  <si>
    <t>0408</t>
  </si>
  <si>
    <t>Abebe Worku/Ato/</t>
  </si>
  <si>
    <t>አበበ ወርቄ /አቶ/</t>
  </si>
  <si>
    <t>0409</t>
  </si>
  <si>
    <t>Abebe Worsa Adamu /Ato/</t>
  </si>
  <si>
    <t>አበበ ወረሳ አዳሙ /አቶ/</t>
  </si>
  <si>
    <t>0912-638037</t>
  </si>
  <si>
    <t>abebekeba@yahoo.com</t>
  </si>
  <si>
    <t>0410</t>
  </si>
  <si>
    <t>Abebe Yeka Dneka /Ato/</t>
  </si>
  <si>
    <t>አበበ የካ ደንቃ/አቶ/</t>
  </si>
  <si>
    <t>0973-667329</t>
  </si>
  <si>
    <t>0411</t>
  </si>
  <si>
    <t>Abebe Yena /Ato/</t>
  </si>
  <si>
    <t>አበበ የና /አቶ/</t>
  </si>
  <si>
    <t>0916-31-36-22</t>
  </si>
  <si>
    <t>0412</t>
  </si>
  <si>
    <t>Abebe Yeyehyirad Belay   /Ato/</t>
  </si>
  <si>
    <t>አበበ ያየህይራድ በላይ /አቶ/</t>
  </si>
  <si>
    <t>0918-121695</t>
  </si>
  <si>
    <t>dagmawig89@gmail.com</t>
  </si>
  <si>
    <t>0413</t>
  </si>
  <si>
    <t>Abebe Yibeltal Belaye /Ato/</t>
  </si>
  <si>
    <t>አበበ ይበልጣል በላይ /አቶ/</t>
  </si>
  <si>
    <t>0414</t>
  </si>
  <si>
    <t>Abebe Yigrem Ayele /Ato/</t>
  </si>
  <si>
    <t>አበበ ይግረም አየለ /አቶ/</t>
  </si>
  <si>
    <t>0415</t>
  </si>
  <si>
    <t>Abebe Yilma Alemu /Ato/</t>
  </si>
  <si>
    <t>አበበ ይልማ አለሙ /አቶ/</t>
  </si>
  <si>
    <t>0416</t>
  </si>
  <si>
    <t>Abebe Zewdie Workneh /Ato/</t>
  </si>
  <si>
    <t>አበበ ዘውዴ ወርቅነህ /አቶ/</t>
  </si>
  <si>
    <t>0417</t>
  </si>
  <si>
    <t>Abebeaw Mengiste Mengesha /Ato/</t>
  </si>
  <si>
    <t>አበበው መንግስቴ መንገሻ /አቶ/</t>
  </si>
  <si>
    <t>0418</t>
  </si>
  <si>
    <t>Abebech Abuhay Aslake /W/o/</t>
  </si>
  <si>
    <t>አበበች አቡሃይ አስላከ /ወ/ሮ/</t>
  </si>
  <si>
    <t>0419</t>
  </si>
  <si>
    <t>Abebech Ade Bija /W/O/</t>
  </si>
  <si>
    <t>አበበች አደ ብጃ /ወ/ሮ/</t>
  </si>
  <si>
    <t>0420</t>
  </si>
  <si>
    <t>Abebech Alemu Negash /W/O/</t>
  </si>
  <si>
    <t>አበበች አለሙ ነጋሸ /ወ/ሮ/</t>
  </si>
  <si>
    <t>0925-176704</t>
  </si>
  <si>
    <t>0421</t>
  </si>
  <si>
    <t>Abebech Anjulo (W/O)</t>
  </si>
  <si>
    <t>አበበች አንጁሎ /ወ/ሮ/</t>
  </si>
  <si>
    <t>0422</t>
  </si>
  <si>
    <t>Abebech Assefa Haile /W/o/</t>
  </si>
  <si>
    <t>አበበች አሰፋ ሀይሌ /ወ/ሮ/</t>
  </si>
  <si>
    <t>0423</t>
  </si>
  <si>
    <t>Abebech Bale Bankursa /W/O/</t>
  </si>
  <si>
    <t xml:space="preserve"> አበበች ባሌ ባንቁረሳ /ወ/ሮ/</t>
  </si>
  <si>
    <t>0424</t>
  </si>
  <si>
    <t>Abebech Berhanu Altaseb /W/o/</t>
  </si>
  <si>
    <t>አበበች ብርሃኑ አልታሰብ /ወ/ሮ/</t>
  </si>
  <si>
    <t>0922-972371</t>
  </si>
  <si>
    <t>0425</t>
  </si>
  <si>
    <t>Abebech Dansa Melkam /W/o/</t>
  </si>
  <si>
    <t>አበበች ደንሣ መልካሙ /ወ/ሮ/</t>
  </si>
  <si>
    <t>0925-149210</t>
  </si>
  <si>
    <t>0426</t>
  </si>
  <si>
    <t>Abebech Demo /W/</t>
  </si>
  <si>
    <t>አበበች ደሞ /ወ/</t>
  </si>
  <si>
    <t>0935-913835</t>
  </si>
  <si>
    <t>0427</t>
  </si>
  <si>
    <t>Abebech Demo Benti /W/o/</t>
  </si>
  <si>
    <t>አበበች ደሞ በንቲ /ወ/ሮ/</t>
  </si>
  <si>
    <t>0428</t>
  </si>
  <si>
    <t>Abebech Dita Dimore /W/O/</t>
  </si>
  <si>
    <t>አበበች ዲታ ድምሬ /ወ/ሮ/</t>
  </si>
  <si>
    <t>0916-482758</t>
  </si>
  <si>
    <t>0429</t>
  </si>
  <si>
    <t>0430</t>
  </si>
  <si>
    <t>Abebech G/silase Ginedo /W/o/</t>
  </si>
  <si>
    <t>አበበች ገ/ስላሴ ጊኔዶ /ወ/ኦ/</t>
  </si>
  <si>
    <t>0431</t>
  </si>
  <si>
    <t>0432</t>
  </si>
  <si>
    <t>Abebech Jote Bohie /W/o/</t>
  </si>
  <si>
    <t>አበበች ጆቴ ቦሼ /ወ/ሮ/</t>
  </si>
  <si>
    <t>0911-638704</t>
  </si>
  <si>
    <t>felemazee88@gmail.com</t>
  </si>
  <si>
    <t>0433</t>
  </si>
  <si>
    <t>Abebech Malako Kurka /W/O/</t>
  </si>
  <si>
    <t>አበበች ማላቆ ኩርካ /ወ/ሮ/</t>
  </si>
  <si>
    <t>0934-808811</t>
  </si>
  <si>
    <t>0434</t>
  </si>
  <si>
    <t>Abebech Sefu Wakayo /W/T/</t>
  </si>
  <si>
    <t>አበበች ስፉ ዋቃዬ /ወ/ሮ/</t>
  </si>
  <si>
    <t>0977-811314</t>
  </si>
  <si>
    <t>0435</t>
  </si>
  <si>
    <t>Abebech Shachamo /W/o/</t>
  </si>
  <si>
    <t>አበበች ሻቻሞ /ወ/ኦ/</t>
  </si>
  <si>
    <t>0436</t>
  </si>
  <si>
    <t>Abebech Teka  /W/o/ For Nahom Pawlos /Minor/</t>
  </si>
  <si>
    <t>አበበች ተካ ደጀኔ /ወ/ሮ/ ለናሆም ጳዉሎስ ተፈራ /ህፃን/</t>
  </si>
  <si>
    <t>0911-615021</t>
  </si>
  <si>
    <t>0437</t>
  </si>
  <si>
    <t>Abebech Teka (W/O)</t>
  </si>
  <si>
    <t>አበበች ተካ /ወ/ሮ/</t>
  </si>
  <si>
    <t>0438</t>
  </si>
  <si>
    <t xml:space="preserve">Abebech Teka /W/o/ For Haset Pawlos Tefera /Minor/ </t>
  </si>
  <si>
    <t>አበበች ተካ /ወ/ሮ/ ለሐሴት ጳዉሎስ ተፈራ /ህፃን/</t>
  </si>
  <si>
    <t>0953-372916</t>
  </si>
  <si>
    <t>0439</t>
  </si>
  <si>
    <t>Abebech Teka Dejene /W/o/</t>
  </si>
  <si>
    <t>አበበች ተካ ደጀኔ /ወ/ሮ/</t>
  </si>
  <si>
    <t>0911-967001</t>
  </si>
  <si>
    <t>0440</t>
  </si>
  <si>
    <t>Abebech Tesfaye /W/o/ For Eyob Alemayehu /Minor/</t>
  </si>
  <si>
    <t>አበበች ተስፋዬ /ወ/ሮ/ ለኢዮብ አለማየሁ /ህጻን/</t>
  </si>
  <si>
    <t>0441</t>
  </si>
  <si>
    <t>Abebech Tesfaye Tsegaye /W/o/</t>
  </si>
  <si>
    <t>አበበች ተስፋዬ ፀጋዬ /ወ/ሮ/</t>
  </si>
  <si>
    <t>0442</t>
  </si>
  <si>
    <t>Abebech Tibo /W/O</t>
  </si>
  <si>
    <t>አበበች ቲቦ /ወ/ሮ/</t>
  </si>
  <si>
    <t>0443</t>
  </si>
  <si>
    <t>Abebech Wadlo /Wo/</t>
  </si>
  <si>
    <t>አበበች ዋድሎ /ወሮ/</t>
  </si>
  <si>
    <t>0444</t>
  </si>
  <si>
    <t>Abebeche Lema Sagaye /W/O/</t>
  </si>
  <si>
    <t>አበበች ለማ ሳጋየ /ወ/ሮ/</t>
  </si>
  <si>
    <t>0961-279084</t>
  </si>
  <si>
    <t>0445</t>
  </si>
  <si>
    <t>Abebechi Telahun Mekuriya /W/o/</t>
  </si>
  <si>
    <t>አበበች ጥላሁን መኩሪያ /ወ/ሮ/</t>
  </si>
  <si>
    <t>0911-237763</t>
  </si>
  <si>
    <t>abitynaty12@gmail.com</t>
  </si>
  <si>
    <t>0446</t>
  </si>
  <si>
    <t>Abebew Lejelem Mengistu /Ato/</t>
  </si>
  <si>
    <t>አበበው ለጀለም መንግስቱ /አቶ/</t>
  </si>
  <si>
    <t>0922-270412</t>
  </si>
  <si>
    <t>0447</t>
  </si>
  <si>
    <t>Abebew Walle Wase /Ato/</t>
  </si>
  <si>
    <t>አበበው ዋለ ዋሴ /አቶ/</t>
  </si>
  <si>
    <t>0935-707814</t>
  </si>
  <si>
    <t>0448</t>
  </si>
  <si>
    <t>Abebey Mihret Getahun /Kes/</t>
  </si>
  <si>
    <t>እበባይ ምህርት ጌታሁን /ቄስ/</t>
  </si>
  <si>
    <t>0936-325199</t>
  </si>
  <si>
    <t>0449</t>
  </si>
  <si>
    <t>Abebu Alemayehu Kassa /W/o/</t>
  </si>
  <si>
    <t>አበቡ አለማየሁ ካሳ /ወ/ሮ/</t>
  </si>
  <si>
    <t>0911-456372</t>
  </si>
  <si>
    <t>kassahunzeleke1@gmail.com</t>
  </si>
  <si>
    <t>0450</t>
  </si>
  <si>
    <t>Abebu Atnaf Alemu /Wo/</t>
  </si>
  <si>
    <t>አበቡ አጥናፍ አለሙ /ወሮ/</t>
  </si>
  <si>
    <t>0451</t>
  </si>
  <si>
    <t>Abebu Chure  //</t>
  </si>
  <si>
    <t>አበቡ ቹሬ ቡንካ /ወ/ሮ/</t>
  </si>
  <si>
    <t>0941-939397</t>
  </si>
  <si>
    <t>0452</t>
  </si>
  <si>
    <t>Abebu Manye Abateneh /W/o/</t>
  </si>
  <si>
    <t>አበቡ ማናየ አባትነህ /አቶ/</t>
  </si>
  <si>
    <t>0975-144938</t>
  </si>
  <si>
    <t>0453</t>
  </si>
  <si>
    <t>Abebu Nega Asres /Ato/</t>
  </si>
  <si>
    <t>አበቡ ነጋ አስረስ /ወሮ/</t>
  </si>
  <si>
    <t>0454</t>
  </si>
  <si>
    <t>Abebu Tazebi /W/O/</t>
  </si>
  <si>
    <t>አበቡ ታዘብ ወ/ሮ/</t>
  </si>
  <si>
    <t>0455</t>
  </si>
  <si>
    <t>Abebu Teklu Hagos /W/o/</t>
  </si>
  <si>
    <t>አበቡ ተክሉ ሃጎስ /ወ/ሮ/</t>
  </si>
  <si>
    <t>0920-887844</t>
  </si>
  <si>
    <t>0456</t>
  </si>
  <si>
    <t>Abedela Beriso /Ato/</t>
  </si>
  <si>
    <t>አበደ በሪሶ /አቶ/</t>
  </si>
  <si>
    <t>0915-847318</t>
  </si>
  <si>
    <t>0457</t>
  </si>
  <si>
    <t>Abedelkadir Haji Aman /Ato/</t>
  </si>
  <si>
    <t>አብዱልቃድር ሀጂ አማን /አቶ/</t>
  </si>
  <si>
    <t>0913-147187</t>
  </si>
  <si>
    <t>0458</t>
  </si>
  <si>
    <t>Abedla Mado Geta /Ato/</t>
  </si>
  <si>
    <t>አብድላ ማዶ ጌታ /አቶ/</t>
  </si>
  <si>
    <t>0459</t>
  </si>
  <si>
    <t>Abedlahi A/raya /Ato/</t>
  </si>
  <si>
    <t>አብደላህ አ/ራያ /አቶ/</t>
  </si>
  <si>
    <t>0942-408019</t>
  </si>
  <si>
    <t>0460</t>
  </si>
  <si>
    <t>Abedu Mohammed Haji /Ato/</t>
  </si>
  <si>
    <t>አብቶ መሀመድ ሃጂ /አቶ/</t>
  </si>
  <si>
    <t>0909-721145</t>
  </si>
  <si>
    <t>0461</t>
  </si>
  <si>
    <t>Abedu Muheye Adem /Ato/</t>
  </si>
  <si>
    <t>አብዱ ሙህዬ አደም /አቶ/</t>
  </si>
  <si>
    <t>0910-126610</t>
  </si>
  <si>
    <t>0462</t>
  </si>
  <si>
    <t>Abeduselam Amino /Ato/</t>
  </si>
  <si>
    <t>አብዱሰላም አሚኖ /አቶ/</t>
  </si>
  <si>
    <t>0902-217617</t>
  </si>
  <si>
    <t>0463</t>
  </si>
  <si>
    <t>Abeje Alanbo /Ato/</t>
  </si>
  <si>
    <t>አበጄ አልንቦ /አቶ/</t>
  </si>
  <si>
    <t>0464</t>
  </si>
  <si>
    <t>Abeje Alene Terefe  /Ato/</t>
  </si>
  <si>
    <t>አበጅ አለነ ተረፈ /አቶ/</t>
  </si>
  <si>
    <t>0465</t>
  </si>
  <si>
    <t>Abeje Asimamaw Ateneh /Ato/</t>
  </si>
  <si>
    <t>አበጀ አስማማው አንተነህ /አቶ/</t>
  </si>
  <si>
    <t>0918-587723</t>
  </si>
  <si>
    <t>0466</t>
  </si>
  <si>
    <t>Abeje Asres Ereta /Ato/</t>
  </si>
  <si>
    <t>አበጀ አስረስ እረታ /አቶ/</t>
  </si>
  <si>
    <t>0947-204734</t>
  </si>
  <si>
    <t>0467</t>
  </si>
  <si>
    <t>Abeje Fenta Mazenga /Ato/</t>
  </si>
  <si>
    <t>አበጀ ፈንታ ማዘንጊያ /አቶ/</t>
  </si>
  <si>
    <t>0468</t>
  </si>
  <si>
    <t>Abeje Kindie Belay /Ato/</t>
  </si>
  <si>
    <t>አበጀ ክንዴ በላይ /አቶ/</t>
  </si>
  <si>
    <t>0469</t>
  </si>
  <si>
    <t>Abeje Malede Kassa /Ato/</t>
  </si>
  <si>
    <t>አበጀ ማለደ ካሳ /አቶ/</t>
  </si>
  <si>
    <t>0470</t>
  </si>
  <si>
    <t>Abeje Mola Meteku /Ato/</t>
  </si>
  <si>
    <t>አበጀ ሞላ ምትኩ /አቶ/</t>
  </si>
  <si>
    <t>0471</t>
  </si>
  <si>
    <t>Abeje Shefra Abeche /Ato/</t>
  </si>
  <si>
    <t>አበጀ ሽፈራ አብቼ /አቶ/</t>
  </si>
  <si>
    <t>0983-557182</t>
  </si>
  <si>
    <t>0472</t>
  </si>
  <si>
    <t>Abeje Tayachew Birhanie  /Ato/</t>
  </si>
  <si>
    <t>አበጀ ታያችው ብርህኔ   /አቶ/</t>
  </si>
  <si>
    <t>0473</t>
  </si>
  <si>
    <t>Abeje Tesfaye Beyene /Ato/</t>
  </si>
  <si>
    <t>አበጀ ተስፋዬ በየነ /አቶ/</t>
  </si>
  <si>
    <t>0474</t>
  </si>
  <si>
    <t>Abeje Teshager Jemberu /Ato/</t>
  </si>
  <si>
    <t>አበጀ ተሻገር ጀምበሩ /አቶ/</t>
  </si>
  <si>
    <t>0475</t>
  </si>
  <si>
    <t>Abejie Workie /Ato/</t>
  </si>
  <si>
    <t>አበጀ ወርቄ /አቶ/</t>
  </si>
  <si>
    <t>0928-207202</t>
  </si>
  <si>
    <t>0476</t>
  </si>
  <si>
    <t>Abeka Abera Ayenalem /Ato/</t>
  </si>
  <si>
    <t>አበቃ አበራ አይናለም /አቶ/</t>
  </si>
  <si>
    <t>0925-235335</t>
  </si>
  <si>
    <t>0477</t>
  </si>
  <si>
    <t>Abel Acha Tesfaye /Ato/</t>
  </si>
  <si>
    <t>አቤል አጫ ተስፋዬ /አቶ/</t>
  </si>
  <si>
    <t>0478</t>
  </si>
  <si>
    <t>Abel Adera Beyene /Ato/</t>
  </si>
  <si>
    <t>አቤል አደራ በየነ /አቶ/</t>
  </si>
  <si>
    <t>0911-225526</t>
  </si>
  <si>
    <t>Arbaminch</t>
  </si>
  <si>
    <t>tikwfikir1@gmail.com</t>
  </si>
  <si>
    <t>0479</t>
  </si>
  <si>
    <t>Abel Adus Ahmed /Ato/</t>
  </si>
  <si>
    <t>አቤል አዲሱ አህመድ /አቶ/</t>
  </si>
  <si>
    <t>0480</t>
  </si>
  <si>
    <t>Abel Afework Fetwi /Ato/</t>
  </si>
  <si>
    <t>አቤል አፈወርቅ ፍትዊ /አቶ/</t>
  </si>
  <si>
    <t>0911-403476</t>
  </si>
  <si>
    <t>0481</t>
  </si>
  <si>
    <t>Abel Alemayehu Kebede /Ato/</t>
  </si>
  <si>
    <t>አቤል አለማየሁ ከበደ /አቶ/</t>
  </si>
  <si>
    <t>0482</t>
  </si>
  <si>
    <t>Abel Ameha Worku /Ato/</t>
  </si>
  <si>
    <t>አቤል አምሐ ወርቁ /አቶ/</t>
  </si>
  <si>
    <t>0483</t>
  </si>
  <si>
    <t>Abel Andualem Kebede</t>
  </si>
  <si>
    <t>አቤል አንዷለም ከበደ /አቶ/</t>
  </si>
  <si>
    <t>0484</t>
  </si>
  <si>
    <t>Abel Awlachew Admasu /Ato/</t>
  </si>
  <si>
    <t>አቤል አውላቸው አድማሱ /አቶ/</t>
  </si>
  <si>
    <t>0941-537531</t>
  </si>
  <si>
    <t>0485</t>
  </si>
  <si>
    <t>Abel Bekele Kassa /Ato/</t>
  </si>
  <si>
    <t>አቤል በቀለ ካሣ /አቶ/</t>
  </si>
  <si>
    <t>0486</t>
  </si>
  <si>
    <t>Abel Bodi /Ato/</t>
  </si>
  <si>
    <t>አቤል ቦዲ /አቶ/</t>
  </si>
  <si>
    <t>0993-902849</t>
  </si>
  <si>
    <t>0487</t>
  </si>
  <si>
    <t>Abel Chuilal Amba /Ato/</t>
  </si>
  <si>
    <t>አቤል ጩይላ አምባ /አቶ/</t>
  </si>
  <si>
    <t>0913-283855</t>
  </si>
  <si>
    <t>0488</t>
  </si>
  <si>
    <t>Abel Desalegn Belayneh /Ato/</t>
  </si>
  <si>
    <t>አቤል ደሳለኝ በላይነህ /አቶ/</t>
  </si>
  <si>
    <t>0489</t>
  </si>
  <si>
    <t>Abel Esubalew W/Gebreil /Ato/</t>
  </si>
  <si>
    <t>አቤል እሱባለው ወ/ገብርኤል /አቶ/</t>
  </si>
  <si>
    <t>0916-344899</t>
  </si>
  <si>
    <t>0490</t>
  </si>
  <si>
    <t>Abel Fikadu /Ato/ For Leul Abel /Minor/</t>
  </si>
  <si>
    <t>አቤል ፍቃዱ /አቶ/ ለልዑል አቤል /ህጻን/</t>
  </si>
  <si>
    <t>0491</t>
  </si>
  <si>
    <t>Abel Fikadu Melese /Ato/</t>
  </si>
  <si>
    <t>አቤል ፈቃዱ መለሰ /አቶ/</t>
  </si>
  <si>
    <t>0492</t>
  </si>
  <si>
    <t>Abel Gashu Alemu /Ato/</t>
  </si>
  <si>
    <t>አቤል ጋሹ ዓለሙ /አቶ/</t>
  </si>
  <si>
    <t>0914-718226</t>
  </si>
  <si>
    <t>0493</t>
  </si>
  <si>
    <t>0494</t>
  </si>
  <si>
    <t>Abel Gezahegn Kebede /Ato/</t>
  </si>
  <si>
    <t>አቤል ገዛኸኝ ከበደ /አቶ/</t>
  </si>
  <si>
    <t>0495</t>
  </si>
  <si>
    <t>›u?M Ñ³¦˜ ŸuÅ /›„/</t>
  </si>
  <si>
    <t>0912-965644</t>
  </si>
  <si>
    <t>wontaye@gmail.com</t>
  </si>
  <si>
    <t>0496</t>
  </si>
  <si>
    <t>Abel Girma Tewelde /Ato/</t>
  </si>
  <si>
    <t>አቤል ግርማ ተወልደ /አቶ/</t>
  </si>
  <si>
    <t>0910-541865</t>
  </si>
  <si>
    <t>0497</t>
  </si>
  <si>
    <t>Abel Godebo /Ato/</t>
  </si>
  <si>
    <t>አቤል ጎደቦ /አቶ/</t>
  </si>
  <si>
    <t>0498</t>
  </si>
  <si>
    <t>Abel Hailu Bekele /Ato/</t>
  </si>
  <si>
    <t>አቤል ሀይሉ በቀለ /አቶ/</t>
  </si>
  <si>
    <t>0911-308966</t>
  </si>
  <si>
    <t>0499</t>
  </si>
  <si>
    <t>Abel Kassahun Teshome /Ato/</t>
  </si>
  <si>
    <t>አቤል ካሳሁን ተሾመ /አቶ/</t>
  </si>
  <si>
    <t>0917-337151</t>
  </si>
  <si>
    <t>0500</t>
  </si>
  <si>
    <t>Abel Kiflemariam W/Yohannes /Ato/</t>
  </si>
  <si>
    <t>አቤል ክፍለማርያም ወ/ዮሀንስ /አቶ/</t>
  </si>
  <si>
    <t>0501</t>
  </si>
  <si>
    <t>Abel Kinfu Amdemichael /Ato/</t>
  </si>
  <si>
    <t>አቤል ክንፉ አምደሚካኤል /አቶ/</t>
  </si>
  <si>
    <t>0910-301659</t>
  </si>
  <si>
    <t>0502</t>
  </si>
  <si>
    <t>Abel Mekbeb Bekele /Ato/</t>
  </si>
  <si>
    <t>አቤል መክብብ በቀለ /አቶ/</t>
  </si>
  <si>
    <t>0989-643773</t>
  </si>
  <si>
    <t>0503</t>
  </si>
  <si>
    <t>Abel Melaku Asfaw /Ato/</t>
  </si>
  <si>
    <t>አቤል መላኩ አስፋው /አቶ/</t>
  </si>
  <si>
    <t>0917-006450</t>
  </si>
  <si>
    <t>0504</t>
  </si>
  <si>
    <t>Abel Mengistu Kebede /Ato/</t>
  </si>
  <si>
    <t>አቤል መንግስቱ ከበደ /አቶ/</t>
  </si>
  <si>
    <t>0922-521424</t>
  </si>
  <si>
    <t>abelmen340@gmail.com</t>
  </si>
  <si>
    <t>0505</t>
  </si>
  <si>
    <t>Abel Mesfin /Ato/</t>
  </si>
  <si>
    <t>አቤል መስፍን /አቶ/</t>
  </si>
  <si>
    <t>0979-087289</t>
  </si>
  <si>
    <t>0506</t>
  </si>
  <si>
    <t>Abel Moges Seyoum /Ato/</t>
  </si>
  <si>
    <t>አቤል ሞገስ ስዩም /አቶ/</t>
  </si>
  <si>
    <t>0922-780870</t>
  </si>
  <si>
    <t>seyoumabel494@gmail.com</t>
  </si>
  <si>
    <t>0507</t>
  </si>
  <si>
    <t>Abel Mulugeta Bogale /Ato/</t>
  </si>
  <si>
    <t>አቤል ሙሉጌታ ቦጋለ /አቶ/</t>
  </si>
  <si>
    <t>0508</t>
  </si>
  <si>
    <t>Abel Negash Lema /Ato/</t>
  </si>
  <si>
    <t>አቤል ነጋሽ ለማ /አቶ/</t>
  </si>
  <si>
    <t>0927-160562</t>
  </si>
  <si>
    <t>0509</t>
  </si>
  <si>
    <t>Abel Nigussie Molla /Ato/</t>
  </si>
  <si>
    <t>አቤል ንጉሴ ሞላ /አቶ/</t>
  </si>
  <si>
    <t>0978-789504</t>
  </si>
  <si>
    <t>0510</t>
  </si>
  <si>
    <t>Abel Sahilemariam Zergaw /Ato/</t>
  </si>
  <si>
    <t>አቤል ሳህለማርያም ዘርጋው /አቶ/</t>
  </si>
  <si>
    <t>0511</t>
  </si>
  <si>
    <t>Abel Shoangeremew W/Medhen /Ato/</t>
  </si>
  <si>
    <t>አቤል ሸዋንገረመው ወ/መድህን /አቶ/</t>
  </si>
  <si>
    <t>251-240-529-6206</t>
  </si>
  <si>
    <t>0512</t>
  </si>
  <si>
    <t>Abel Solomon G/Mariam /Ato/</t>
  </si>
  <si>
    <t>አቤል ሠለሞን ገ/ማርያም /አቶ/</t>
  </si>
  <si>
    <t>0963-237991</t>
  </si>
  <si>
    <t>0513</t>
  </si>
  <si>
    <t>Abel Solomon Teshome /Ato/</t>
  </si>
  <si>
    <t>አቤል ሰለሞን ተሾመ /አቶ/</t>
  </si>
  <si>
    <t>0912-730366</t>
  </si>
  <si>
    <t>0514</t>
  </si>
  <si>
    <t>Abel Taye Gebru /Ato/ and/ro Taeka Haileleul /W/o/</t>
  </si>
  <si>
    <t>አቤል ታዬ ገብሩ /አቶ/ እና/ወይም ታዕካ ኃይለልዑል /ወ/ሮ/</t>
  </si>
  <si>
    <t>0939-475675/0966-808386</t>
  </si>
  <si>
    <t>milliongetachew57@gmail.com</t>
  </si>
  <si>
    <t>0515</t>
  </si>
  <si>
    <t>Abel Tefera Yetemegne/Ato/</t>
  </si>
  <si>
    <t>አቤል ተፈራ የተመኝ /አቶ/</t>
  </si>
  <si>
    <t>0516</t>
  </si>
  <si>
    <t>0517</t>
  </si>
  <si>
    <t>Abel Tsegaye G/Tsadkan /Ato/</t>
  </si>
  <si>
    <t>አቤል ፀጋዬ ገ/ፃድቃን /አቶ/</t>
  </si>
  <si>
    <t>0911-861308</t>
  </si>
  <si>
    <t>0518</t>
  </si>
  <si>
    <t>Abel Wale Estifanos /Ato/</t>
  </si>
  <si>
    <t>አቤል ዋለ እጢፋኖስ /አቶ/</t>
  </si>
  <si>
    <t>0519</t>
  </si>
  <si>
    <t>Abel Wondimeneh Tafese /Ato/</t>
  </si>
  <si>
    <t>አቤል ወንድምነህ ታፈስ /አቶ/</t>
  </si>
  <si>
    <t>0919-135926</t>
  </si>
  <si>
    <t>0520</t>
  </si>
  <si>
    <t>Abele Dereje Mandos /Ato/</t>
  </si>
  <si>
    <t>አቤል ደረጀ ማንዶስ /አቶ/</t>
  </si>
  <si>
    <t>debub</t>
  </si>
  <si>
    <t>0521</t>
  </si>
  <si>
    <t>Abem Murad Umer /W/o/</t>
  </si>
  <si>
    <t>አቤም ሙራድ ኡመር /ወ/ሮ/</t>
  </si>
  <si>
    <t>0912-123770</t>
  </si>
  <si>
    <t>0522</t>
  </si>
  <si>
    <t>Abeneazer Wondwossen Lakew /Ato/</t>
  </si>
  <si>
    <t>አቤኔዘር ወንድወሰን ላቀዉ /አቶ/</t>
  </si>
  <si>
    <t>0945-496722</t>
  </si>
  <si>
    <t>abeneazer007@gmail.com</t>
  </si>
  <si>
    <t>0523</t>
  </si>
  <si>
    <t>Abenet Mekonnen Worku /Ato/</t>
  </si>
  <si>
    <t>አብነት መኮንን ወርቁ /አቶ/</t>
  </si>
  <si>
    <t>0524</t>
  </si>
  <si>
    <t>Abenet Shimeles Zeleke /Ato/</t>
  </si>
  <si>
    <t>አብነት ሸመልሰ ዘለቀ /አቶ/</t>
  </si>
  <si>
    <t>0525</t>
  </si>
  <si>
    <t>Abenew Delie Siyum /Ato/</t>
  </si>
  <si>
    <t>አበነው ደሊ ሥዩም /አቶ/</t>
  </si>
  <si>
    <t>0526</t>
  </si>
  <si>
    <t>Abenezer Asmamaw Adane /Ato/</t>
  </si>
  <si>
    <t>አቤነዘር አስማማው አዳነ /አቶ/</t>
  </si>
  <si>
    <t>0527</t>
  </si>
  <si>
    <t>Abenezer Bassa Shumbulo /Ato/</t>
  </si>
  <si>
    <t>አቤኔዘር ባሳ ሹምቡሎ /አቶ/</t>
  </si>
  <si>
    <t>0931-381496</t>
  </si>
  <si>
    <t>0528</t>
  </si>
  <si>
    <t>Abenezer Dersso Behailu /Ato/</t>
  </si>
  <si>
    <t>አቤነዘር ደርሶ በሀይሉ /አቶ/</t>
  </si>
  <si>
    <t>0921-408889
0900-580338</t>
  </si>
  <si>
    <t>abehailu2014@gmail.com</t>
  </si>
  <si>
    <t>0529</t>
  </si>
  <si>
    <t>Abenezer Estifanos Yohannes /W/t/</t>
  </si>
  <si>
    <t xml:space="preserve">አቤንኤዘር እስጢፋኖስ ዮሐንስ /ወ/ት/ </t>
  </si>
  <si>
    <t>0968-611097</t>
  </si>
  <si>
    <t>0530</t>
  </si>
  <si>
    <t>Abenezer G/Tsadik Nerhea /Ato/</t>
  </si>
  <si>
    <t>አቤኔዘር ገ/ፃዲቅ ነርሔ /አቶ/</t>
  </si>
  <si>
    <t>0936-695123</t>
  </si>
  <si>
    <t>0531</t>
  </si>
  <si>
    <t>Abenezer Getaneh Tadese  /Ato/</t>
  </si>
  <si>
    <t>አቤኔዘር  ጌታነህ  ታደሰ  /አቶ</t>
  </si>
  <si>
    <t>0532</t>
  </si>
  <si>
    <t>Abenezer Hailu Zergaw Dr.</t>
  </si>
  <si>
    <t>አቤንኤዘር ሀይሉ ዘርጋዉ /ዶ/ር/</t>
  </si>
  <si>
    <t>0911-615605</t>
  </si>
  <si>
    <t>aseid2727@gmail.com</t>
  </si>
  <si>
    <t>0533</t>
  </si>
  <si>
    <t>Abenezer Kasu Sahle  /Ato/</t>
  </si>
  <si>
    <t>አቤነዘር ካሱ ሳህሌ /አቶ/</t>
  </si>
  <si>
    <t>0534</t>
  </si>
  <si>
    <t>Abenezer Markos /Ato/</t>
  </si>
  <si>
    <t>አቤኔዘር ማርቆስ /አቶ/</t>
  </si>
  <si>
    <t>202-321-6405</t>
  </si>
  <si>
    <t>abenezermarkos7@gmail.com</t>
  </si>
  <si>
    <t>0535</t>
  </si>
  <si>
    <t>Abenezer Melak Zerihun /Ato/</t>
  </si>
  <si>
    <t>አቤኔዘር መላክ ዘሪሁን /አቶ/</t>
  </si>
  <si>
    <t>0920-819467</t>
  </si>
  <si>
    <t>0536</t>
  </si>
  <si>
    <t>Abenezer Nigussie Addise /Ato/ and/or Hawi Etana Legesse /W/t/</t>
  </si>
  <si>
    <t>አቤኔዘር ንጉሴ አዲሴ /አቶ/ እና/ወይም ሃዊ ኢታና ለገሰ /ወ/ት/</t>
  </si>
  <si>
    <t>0911-983168</t>
  </si>
  <si>
    <t>0537</t>
  </si>
  <si>
    <t>Abenezer Taye Teferi /Ato/</t>
  </si>
  <si>
    <t>አቤኔዘር ታዬ ተፈሪ /አቶ/</t>
  </si>
  <si>
    <t>0912-080689</t>
  </si>
  <si>
    <t>0538</t>
  </si>
  <si>
    <t>Abenezer Temesgen Sumero /Ato/</t>
  </si>
  <si>
    <t>አቤኔዘር ተመስገን ሱምሮ /አቶ/</t>
  </si>
  <si>
    <t>0910-479583</t>
  </si>
  <si>
    <t>0539</t>
  </si>
  <si>
    <t>Abenezer Tsebay Tadesse /Ato/</t>
  </si>
  <si>
    <t>አቤኔዘር ፀባይ ታደሰ /አቶ/</t>
  </si>
  <si>
    <t>0911-063522</t>
  </si>
  <si>
    <t>0540</t>
  </si>
  <si>
    <t>Aber Abraham Andaba /Ato/</t>
  </si>
  <si>
    <t>አብር አብርሃም አንዳባ /አቶ/</t>
  </si>
  <si>
    <t>0541</t>
  </si>
  <si>
    <t>Abera Abale Delebo /Ato/</t>
  </si>
  <si>
    <t>አባሬ አባለ ደሌቦ /አቶ/</t>
  </si>
  <si>
    <t>0916-025214</t>
  </si>
  <si>
    <t>0542</t>
  </si>
  <si>
    <t>Abera Abebayehu Demissie</t>
  </si>
  <si>
    <t>አበራ አበባየሁ ደምሴ</t>
  </si>
  <si>
    <t>0543</t>
  </si>
  <si>
    <t>Abera Abebe Mamo /Ato/</t>
  </si>
  <si>
    <t>አበራ አበበ ማሞ /አቶ/</t>
  </si>
  <si>
    <t>0924-037724</t>
  </si>
  <si>
    <t>0544</t>
  </si>
  <si>
    <t>Abera Abesa /Ato/</t>
  </si>
  <si>
    <t>አበራ አበሳ /አቶ/</t>
  </si>
  <si>
    <t>0920-088789</t>
  </si>
  <si>
    <t>0545</t>
  </si>
  <si>
    <t>Abera Abota Adare /Ato/</t>
  </si>
  <si>
    <t>አበራ አቦታ አደላ /አቶ/</t>
  </si>
  <si>
    <t>0546</t>
  </si>
  <si>
    <t>Abera Adaye Kaba /Ato/</t>
  </si>
  <si>
    <t>አበራ አዳዬ ካባ /አቶ/</t>
  </si>
  <si>
    <t>0547</t>
  </si>
  <si>
    <t>Abera Addisu Limasa /Ato/</t>
  </si>
  <si>
    <t>አበራ አዲሱ ልሚሳ /አቶ/</t>
  </si>
  <si>
    <t>0931-619371</t>
  </si>
  <si>
    <t>0548</t>
  </si>
  <si>
    <t>Abera Adeko Ado /Ato/</t>
  </si>
  <si>
    <t>አበራ አዴኮ አዶ /አቶ/</t>
  </si>
  <si>
    <t xml:space="preserve">Debub/m </t>
  </si>
  <si>
    <t>0549</t>
  </si>
  <si>
    <t>Abera Adema Aoko /Ato/</t>
  </si>
  <si>
    <t>አበራ አደማ አኦኮ /አቶ/</t>
  </si>
  <si>
    <t>0916-301497</t>
  </si>
  <si>
    <t>0550</t>
  </si>
  <si>
    <t>Abera Adema Asha /Ato/</t>
  </si>
  <si>
    <t>አበራ አደማ አሻ /አቶ/</t>
  </si>
  <si>
    <t>0925-147889</t>
  </si>
  <si>
    <t>0551</t>
  </si>
  <si>
    <t>Abera Alaro  /Ato/</t>
  </si>
  <si>
    <t>አበራ አላሮ /አቶ/</t>
  </si>
  <si>
    <t>0552</t>
  </si>
  <si>
    <t>Abera Alaro /Ato/</t>
  </si>
  <si>
    <t>አበራ አለሮ /አቶ/</t>
  </si>
  <si>
    <t>0553</t>
  </si>
  <si>
    <t>Abera Asha /Ato/</t>
  </si>
  <si>
    <t>አበራ አሸ /አቶ/</t>
  </si>
  <si>
    <t>0554</t>
  </si>
  <si>
    <t>Abera Asnake Kanbale /Ato/</t>
  </si>
  <si>
    <t>አበራ አስናቀ ካንባሌ /አቶ/</t>
  </si>
  <si>
    <t>0555</t>
  </si>
  <si>
    <t>Abera Asnakew /Ato/</t>
  </si>
  <si>
    <t>አበራ አስናቀው /አቶ/</t>
  </si>
  <si>
    <t>0556</t>
  </si>
  <si>
    <t>Abera Assefa Hailemichael /Ato/</t>
  </si>
  <si>
    <t>አበራ አስፋ ኃ/ሚካኤል /አቶ/</t>
  </si>
  <si>
    <t>0557</t>
  </si>
  <si>
    <t>Abera Atara Kiro /Ato/</t>
  </si>
  <si>
    <t xml:space="preserve">አቤረ አታረ ክሮ /አቶ/ </t>
  </si>
  <si>
    <t>0904-402649</t>
  </si>
  <si>
    <t>0558</t>
  </si>
  <si>
    <t>Abera Ataro /Ato/</t>
  </si>
  <si>
    <t>አበራ አታሮ /አቶ/</t>
  </si>
  <si>
    <t>0559</t>
  </si>
  <si>
    <t>Abera Awajo Dero /Ato/</t>
  </si>
  <si>
    <t>አበራ አዋጆ ደሮ /አቶ/</t>
  </si>
  <si>
    <t>0560</t>
  </si>
  <si>
    <t>Abera Ayano (Ato)</t>
  </si>
  <si>
    <t>አበራ አያኖ/አቶ/</t>
  </si>
  <si>
    <t>0561</t>
  </si>
  <si>
    <t>Abera Ayza Akako /Ato/</t>
  </si>
  <si>
    <t xml:space="preserve">አበራ አይዘ አካኮ /አቶ/ </t>
  </si>
  <si>
    <t>0562</t>
  </si>
  <si>
    <t>Abera Bafa /Ato/</t>
  </si>
  <si>
    <t>አበራ ባፋ /አቶ/</t>
  </si>
  <si>
    <t>0992-235683</t>
  </si>
  <si>
    <t>0563</t>
  </si>
  <si>
    <t>Abera Bdeno (Ato)</t>
  </si>
  <si>
    <t>አበራ በደኖ /አቶ/</t>
  </si>
  <si>
    <t>0564</t>
  </si>
  <si>
    <t>Abera Bekele /Ato/</t>
  </si>
  <si>
    <t>አበራ በቀሌ /አቶ/</t>
  </si>
  <si>
    <t>0917-75-89-88</t>
  </si>
  <si>
    <t>0565</t>
  </si>
  <si>
    <t>Abera Bekele Mera /Ato/</t>
  </si>
  <si>
    <t>አበራ በቀለ ምራ /አቶ/</t>
  </si>
  <si>
    <t>0936-610790</t>
  </si>
  <si>
    <t>0566</t>
  </si>
  <si>
    <t>Abera Beyene Tiruneh /Ato/</t>
  </si>
  <si>
    <t>አበራ በየነ ጥሩነህ /አቶ/</t>
  </si>
  <si>
    <t>0567</t>
  </si>
  <si>
    <t>Abera Boneja Gadebo /Ato/</t>
  </si>
  <si>
    <t>አበራ ቦንጃ ጋደቦ /አቶ/</t>
  </si>
  <si>
    <t>0966-848789</t>
  </si>
  <si>
    <t>0568</t>
  </si>
  <si>
    <t>Abera Cholo /Ato/</t>
  </si>
  <si>
    <t>አበራ ጮሎ /አቶ/</t>
  </si>
  <si>
    <t>0569</t>
  </si>
  <si>
    <t>Abera Debere Asefa /Ato/</t>
  </si>
  <si>
    <t>አበራ ደበሬ አሰፋ /አቶ/</t>
  </si>
  <si>
    <t>0940-269890</t>
  </si>
  <si>
    <t>0570</t>
  </si>
  <si>
    <t>Abera Debiso /Ato/</t>
  </si>
  <si>
    <t>አበራ ድብሶ ኩፍሶ /አቶ/</t>
  </si>
  <si>
    <t>0924-668311</t>
  </si>
  <si>
    <t>0571</t>
  </si>
  <si>
    <t>Abera Demisse Ayu /Ato/</t>
  </si>
  <si>
    <t>አበራ ደመሰ አዩ /አቶ/</t>
  </si>
  <si>
    <t>0572</t>
  </si>
  <si>
    <t>Abera Deressa Adeba /Ato/</t>
  </si>
  <si>
    <t>አበራ ዴሬሳ አደባ /አቶ/</t>
  </si>
  <si>
    <t>0979-895874</t>
  </si>
  <si>
    <t>0573</t>
  </si>
  <si>
    <t>Abera Eyasu /Ato/</t>
  </si>
  <si>
    <t>አበራ እያሱ /አቶ/</t>
  </si>
  <si>
    <t>0916-030005</t>
  </si>
  <si>
    <t>0574</t>
  </si>
  <si>
    <t>Abera Galma Ateno /Ato/</t>
  </si>
  <si>
    <t>አበራ ጋልማ አቴኖ /አቶ/</t>
  </si>
  <si>
    <t>0913-881319</t>
  </si>
  <si>
    <t>0575</t>
  </si>
  <si>
    <t>Abera Gebru Debele /Ato/</t>
  </si>
  <si>
    <t>አበራ ገብሩ ደበሌ /አቶ/</t>
  </si>
  <si>
    <t>0576</t>
  </si>
  <si>
    <t>Abera Getahun Bire /Ato/</t>
  </si>
  <si>
    <t>አበራ ጌታሁን ባሬ /አቶ/</t>
  </si>
  <si>
    <t>0577</t>
  </si>
  <si>
    <t>Abera Honja Oyato /Ato/</t>
  </si>
  <si>
    <t>አበራ ሆንጃ ኦያቶ /አቶ/</t>
  </si>
  <si>
    <t>0921-006847</t>
  </si>
  <si>
    <t>0578</t>
  </si>
  <si>
    <t>Abera Kassa Abera /Ato/</t>
  </si>
  <si>
    <t>አበራ ካሳ አበራ /አቶ/</t>
  </si>
  <si>
    <t>0912-644040</t>
  </si>
  <si>
    <t>0579</t>
  </si>
  <si>
    <t>Abera Kassaye Dessalegn /Ato/</t>
  </si>
  <si>
    <t>አበራ ካሳዬ ደሳለኝ /አቶ/</t>
  </si>
  <si>
    <t>720-299-6881</t>
  </si>
  <si>
    <t>Canada</t>
  </si>
  <si>
    <t>abera20004@yahoo.com</t>
  </si>
  <si>
    <t>0580</t>
  </si>
  <si>
    <t>Abera Lachebo /Ato/</t>
  </si>
  <si>
    <t>አበራ ላጨቦ /አቶ/</t>
  </si>
  <si>
    <t>0581</t>
  </si>
  <si>
    <t>Abera Lanbebo Lebocho /Ato/</t>
  </si>
  <si>
    <t>አበራ ላንበቦ ለቦቾ /አቶ/</t>
  </si>
  <si>
    <t>0582</t>
  </si>
  <si>
    <t>Abera Loha /Ato/</t>
  </si>
  <si>
    <t>አበራ ሎሃ /አቶ/</t>
  </si>
  <si>
    <t>0945-926037</t>
  </si>
  <si>
    <t>0583</t>
  </si>
  <si>
    <t>0584</t>
  </si>
  <si>
    <t>Abera Mamo Seraw /Ato/</t>
  </si>
  <si>
    <t>አበራ ማሞ ስራው /አቶ/</t>
  </si>
  <si>
    <t>0963-594503</t>
  </si>
  <si>
    <t>0585</t>
  </si>
  <si>
    <t>Abera Nari Latamo /Ato/</t>
  </si>
  <si>
    <t>አበራ ናሮ ላታሞ /አቶ/</t>
  </si>
  <si>
    <t>0916-076433</t>
  </si>
  <si>
    <t>0586</t>
  </si>
  <si>
    <t>Abera Nigatu /Ato/</t>
  </si>
  <si>
    <t>አበራ ንጋቱ /አቶ/</t>
  </si>
  <si>
    <t>0587</t>
  </si>
  <si>
    <t>Abera Oda Bija /Ato/</t>
  </si>
  <si>
    <t xml:space="preserve">አበራ ኦዳ ብጃ /አቶ/ </t>
  </si>
  <si>
    <t>0588</t>
  </si>
  <si>
    <t>Abera Shegaw  /Ato/</t>
  </si>
  <si>
    <t>አበራ ሸጋው /አቶ/</t>
  </si>
  <si>
    <t>0589</t>
  </si>
  <si>
    <t>Abera Shure Kuma /Ato/</t>
  </si>
  <si>
    <t>አበራ ሽሬ ኩማ /አቶ/</t>
  </si>
  <si>
    <t>0916-286479</t>
  </si>
  <si>
    <t>0590</t>
  </si>
  <si>
    <t>Abera Simano Selo /Ato/</t>
  </si>
  <si>
    <t>አበራ ስማኖ ሰሎ/አቶ/</t>
  </si>
  <si>
    <t>0591</t>
  </si>
  <si>
    <t>Abera Tefera H/Mariam /Ato/</t>
  </si>
  <si>
    <t>አበራ ተፈራ ሀ/ማርያም /አቶ/</t>
  </si>
  <si>
    <t>0910-092757</t>
  </si>
  <si>
    <t>teferabe@gmail.com</t>
  </si>
  <si>
    <t>0592</t>
  </si>
  <si>
    <t>Abera Waza /Ato/</t>
  </si>
  <si>
    <t>አበራ ዋዛ /አቶ/</t>
  </si>
  <si>
    <t>0593</t>
  </si>
  <si>
    <t>Abera Welo Wolasa /Ato/</t>
  </si>
  <si>
    <t>አበራ ዌጎ ወላሳ /አቶ/</t>
  </si>
  <si>
    <t>0594</t>
  </si>
  <si>
    <t>Abera Zewudu Ngatu /Ato/</t>
  </si>
  <si>
    <t>አበራ ዘውዱ ንጋቱ /አቶ/</t>
  </si>
  <si>
    <t>0922-386403</t>
  </si>
  <si>
    <t>0595</t>
  </si>
  <si>
    <t>Aberaham Balango Balcha /Ato/</t>
  </si>
  <si>
    <t>አብረሀም ባላንጎ ባልቻ /አቶ/</t>
  </si>
  <si>
    <t>0596</t>
  </si>
  <si>
    <t>Aberash Amano /W/O/</t>
  </si>
  <si>
    <t>አበራሸ አማኖ /ወ/ሮ/</t>
  </si>
  <si>
    <t>0597</t>
  </si>
  <si>
    <t>Aberash Defar /W/o/ For Tsega Dejene Sime /Minor/</t>
  </si>
  <si>
    <t>አበራሽ ደፋረ /ወ/ሮ/ ለፀጋ ደጄኔ ስሜ /ህፃን/</t>
  </si>
  <si>
    <t>0598</t>
  </si>
  <si>
    <t>Aberash Dubale Mengistu /W/O</t>
  </si>
  <si>
    <t>አበራሽ ዱባለ መንግስቱ /ወ/ሮ/</t>
  </si>
  <si>
    <t>0599</t>
  </si>
  <si>
    <t>Aberash Hateu Kesi /W/o/</t>
  </si>
  <si>
    <t>አበራሽ ሀተው ኬሲ /ወ/ሮ/</t>
  </si>
  <si>
    <t>0913-603445</t>
  </si>
  <si>
    <t>idelawit1997@gmail.com</t>
  </si>
  <si>
    <t>0600</t>
  </si>
  <si>
    <t>Aberash Kesi /W/o/</t>
  </si>
  <si>
    <t>አበራሽ ከሲ /ወ/ሮ/</t>
  </si>
  <si>
    <t>0911-196941</t>
  </si>
  <si>
    <t>aberu@gmail.com</t>
  </si>
  <si>
    <t>0601</t>
  </si>
  <si>
    <t>Aberash Sasamo (Ato)</t>
  </si>
  <si>
    <t>አበራሸ ሳሰሞ  /አቶ/</t>
  </si>
  <si>
    <t>0602</t>
  </si>
  <si>
    <t>Aberashe  Getachew Abebe/Ato/</t>
  </si>
  <si>
    <t>አበራሸ ጌታቸው አበበ /አቶ/</t>
  </si>
  <si>
    <t>0964-002218</t>
  </si>
  <si>
    <t>0603</t>
  </si>
  <si>
    <t>0604</t>
  </si>
  <si>
    <t>Abere Anidarige Abeje  /Ato/</t>
  </si>
  <si>
    <t>አበረ አንዲርጌ አቢጅ   /አቶ/</t>
  </si>
  <si>
    <t>0605</t>
  </si>
  <si>
    <t>Abere Ata Wagiesho /Ato/</t>
  </si>
  <si>
    <t>አበራ አታ ዋጌሾ /አቶ/</t>
  </si>
  <si>
    <t>0902-704482</t>
  </si>
  <si>
    <t>0606</t>
  </si>
  <si>
    <t>Abere Bazie Adera /Ato/</t>
  </si>
  <si>
    <t>አበረ ባዜ አደራ /አቶ/</t>
  </si>
  <si>
    <t>0918-120640</t>
  </si>
  <si>
    <t>0607</t>
  </si>
  <si>
    <t>Abere Chane Kale /Ato/</t>
  </si>
  <si>
    <t>አበረ ቻኔ ካለ /አቶ/</t>
  </si>
  <si>
    <t>0608</t>
  </si>
  <si>
    <t>Abere Demis Gelay /Ato/</t>
  </si>
  <si>
    <t>አበረ ደምሰ ገላየ /አቶ/</t>
  </si>
  <si>
    <t>0609</t>
  </si>
  <si>
    <t>Abere Hailemaryam /Ato/</t>
  </si>
  <si>
    <t>አበረ ሀይለማርያም /አቶ/</t>
  </si>
  <si>
    <t>0947-560063</t>
  </si>
  <si>
    <t>0610</t>
  </si>
  <si>
    <t>Abere Liyew Berihun /Ato/</t>
  </si>
  <si>
    <t>አበረ ልየው በሪሁን /አቶ/</t>
  </si>
  <si>
    <t>0611</t>
  </si>
  <si>
    <t>Abere Mamo Adugnawu /Ato/</t>
  </si>
  <si>
    <t>አበረ ማሞ አዱኛዉ /አቶ/</t>
  </si>
  <si>
    <t>0612</t>
  </si>
  <si>
    <t>Abere Sinshaw Desta /Ato/</t>
  </si>
  <si>
    <t>አበር ስንሻው ደስታ /አቶ/</t>
  </si>
  <si>
    <t>0613</t>
  </si>
  <si>
    <t>Abere Yigzaw Abebe /Kes/</t>
  </si>
  <si>
    <t>አበረ ይግዛው አበበ /ቄስ/</t>
  </si>
  <si>
    <t>0614</t>
  </si>
  <si>
    <t>Aberham Abota Kunchala /Ato/</t>
  </si>
  <si>
    <t>አብርሀም አቦታ ቁንቻላ /አቶ/</t>
  </si>
  <si>
    <t>0904-823745</t>
  </si>
  <si>
    <t>0615</t>
  </si>
  <si>
    <t>Aberham Ale Tona /Ato/</t>
  </si>
  <si>
    <t>አብርሀም አለ ጦና /አቶ/</t>
  </si>
  <si>
    <t>0616</t>
  </si>
  <si>
    <t>Aberham Ashango /Ato/</t>
  </si>
  <si>
    <t>አብርሃም አሻንጎ /አቶ/</t>
  </si>
  <si>
    <t>0617</t>
  </si>
  <si>
    <t>Aberham Dale /Ato/</t>
  </si>
  <si>
    <t>አብርሀም ዳሌ /አቶ/</t>
  </si>
  <si>
    <t>0920-874990</t>
  </si>
  <si>
    <t>0618</t>
  </si>
  <si>
    <t>Aberham Gobaro Gasara /Ato/</t>
  </si>
  <si>
    <t>አብርሀም ጎባሮ ጋሳራ /አቶ/</t>
  </si>
  <si>
    <t>0619</t>
  </si>
  <si>
    <t>Aberham Lera /Ato/</t>
  </si>
  <si>
    <t>አብርሀም ሌራ /አቶ/</t>
  </si>
  <si>
    <t>0620</t>
  </si>
  <si>
    <t>Aberham Leul G/Egziabher /Ato/</t>
  </si>
  <si>
    <t>አብርሀም ልዑል ገ/እግዚአብሄር /አቶ/</t>
  </si>
  <si>
    <t>0621</t>
  </si>
  <si>
    <t>Aberham Negaso Debisa /Ato/</t>
  </si>
  <si>
    <t>አብርሃም ንጌሶ ደበሣ /አቶ/</t>
  </si>
  <si>
    <t>0622</t>
  </si>
  <si>
    <t>Aberham Teshome Adilu /Ato/</t>
  </si>
  <si>
    <t>አብርሃም ተሾመ አዲሉ /አቶ/</t>
  </si>
  <si>
    <t>0623</t>
  </si>
  <si>
    <t>Aberham Tibebu Kassaye /Ato/</t>
  </si>
  <si>
    <t>አብርሃም ጥበቡ ካሳዬ /አቶ/</t>
  </si>
  <si>
    <t>0624</t>
  </si>
  <si>
    <t>Aberu Bantiwured /Ato/</t>
  </si>
  <si>
    <t>አበሩ ባንቲወርቅ /አቶ/</t>
  </si>
  <si>
    <t>0921-130646</t>
  </si>
  <si>
    <t>0625</t>
  </si>
  <si>
    <t>0626</t>
  </si>
  <si>
    <t>Abeselom Kebede Mengesha /Ato/</t>
  </si>
  <si>
    <t>አቤሴሎም ከበደ መንገሻ /አቶ/</t>
  </si>
  <si>
    <t>0912-444740</t>
  </si>
  <si>
    <t>elgezmu@gmail.com
telesh4578@gmail.com</t>
  </si>
  <si>
    <t>0627</t>
  </si>
  <si>
    <t>Abew Muche Tesema /Ato/</t>
  </si>
  <si>
    <t>አበው ሙጨ ተሰማ /አቶ/</t>
  </si>
  <si>
    <t>0628</t>
  </si>
  <si>
    <t>Abewu Mengawu Belay /Ato/</t>
  </si>
  <si>
    <t>አበዉ መንጋዉ በላይ /አቶ/</t>
  </si>
  <si>
    <t>0629</t>
  </si>
  <si>
    <t>Abey Abebe /Ato/</t>
  </si>
  <si>
    <t>አበይ አበበ /አቶ/</t>
  </si>
  <si>
    <t>Sweden</t>
  </si>
  <si>
    <t>nunshh@gmail.com</t>
  </si>
  <si>
    <t>0630</t>
  </si>
  <si>
    <t>አበይ  አበበ /አቶ/</t>
  </si>
  <si>
    <t>0631</t>
  </si>
  <si>
    <t>Abey Kebtimer Mulatu /Ato/</t>
  </si>
  <si>
    <t>አነይ ከብቲመር ሙላቱ /አቶ/</t>
  </si>
  <si>
    <t>0910-670437</t>
  </si>
  <si>
    <t>0632</t>
  </si>
  <si>
    <t>Abey Shegaw Mola /Ato/</t>
  </si>
  <si>
    <t>አበይ ሸጋው ሞላ /አቶ/</t>
  </si>
  <si>
    <t>0633</t>
  </si>
  <si>
    <t>Abey Tefera Haile /Ato/</t>
  </si>
  <si>
    <t>አብይ ተፈራ ሀይሌ /አቶ/</t>
  </si>
  <si>
    <t>0912-369114</t>
  </si>
  <si>
    <t>0634</t>
  </si>
  <si>
    <t>Abey Tilahun Tegegn /Ato/</t>
  </si>
  <si>
    <t>አበይ ጥላሁን ተገኝ /አቶ/</t>
  </si>
  <si>
    <t>0920-210143</t>
  </si>
  <si>
    <t>0635</t>
  </si>
  <si>
    <t>Abey Worku G/Hiwot /Ato/</t>
  </si>
  <si>
    <t>አብይ ወርቁ ገ/ህይወት /አቶ/</t>
  </si>
  <si>
    <t>0911-447007/0911-208479</t>
  </si>
  <si>
    <t>0636</t>
  </si>
  <si>
    <t>Abeye Alem Belete /Ato/</t>
  </si>
  <si>
    <t>አቤ አለም በለጠ /አቶ/</t>
  </si>
  <si>
    <t>0637</t>
  </si>
  <si>
    <t>Abeye Yebltal Germew /Ato/</t>
  </si>
  <si>
    <t>አብየ ይበልጣል ገረመው /አቶ/</t>
  </si>
  <si>
    <t>0638</t>
  </si>
  <si>
    <t>Abeyu Damte /Ato/</t>
  </si>
  <si>
    <t>አብዩ ደምጤ አረጋ /አቶ/</t>
  </si>
  <si>
    <t>0639</t>
  </si>
  <si>
    <t>Abeza Bitwelgn /Ato/</t>
  </si>
  <si>
    <t>አበዛ ቢትወልኝ /አቶ/</t>
  </si>
  <si>
    <t>0640</t>
  </si>
  <si>
    <t>Abeza Kassa Eshetu /Ato/</t>
  </si>
  <si>
    <t>አበዛ ካሳ እሸቱ /አቶ/</t>
  </si>
  <si>
    <t>0641</t>
  </si>
  <si>
    <t>Abeza Tilahun Kebede /Ato/</t>
  </si>
  <si>
    <t>አበዛ ጥላሁን ከበደ /አቶ/</t>
  </si>
  <si>
    <t>0642</t>
  </si>
  <si>
    <t>Abezash Assefa  Derebew /W/o/</t>
  </si>
  <si>
    <t>አበዛሽ አሰፋ ደረበው /ወ/ሮ/</t>
  </si>
  <si>
    <t>0643</t>
  </si>
  <si>
    <t>Abezash Bahiru Bergene (W/O)</t>
  </si>
  <si>
    <t>አበዛሸ ባህሩ በርገን /ወ/ሮ/</t>
  </si>
  <si>
    <t>0961279084</t>
  </si>
  <si>
    <t>0644</t>
  </si>
  <si>
    <t>Abezashe Amalie /W/o/</t>
  </si>
  <si>
    <t>አበዛሸ አማሌ አልቶ /ወ/ሮ/</t>
  </si>
  <si>
    <t>0902-4499</t>
  </si>
  <si>
    <t>0645</t>
  </si>
  <si>
    <t>Abezew Chane Alemu   /Ato/</t>
  </si>
  <si>
    <t>አበዘው ጫኔ አለሙ  /አቶ/</t>
  </si>
  <si>
    <t>0646</t>
  </si>
  <si>
    <t>Abezu Gelaw Tegegne /W/o</t>
  </si>
  <si>
    <t>አበዙ ገላው ተገኝ /ወ/ወ</t>
  </si>
  <si>
    <t>0647</t>
  </si>
  <si>
    <t>Abi Alem /Ato/</t>
  </si>
  <si>
    <t>አቢ አለም /አቶ/</t>
  </si>
  <si>
    <t>0648</t>
  </si>
  <si>
    <t>Abich  Worku Negash /Ato/</t>
  </si>
  <si>
    <t>አብች ወርቁ ነጋሸ /አቶ/</t>
  </si>
  <si>
    <t>0649</t>
  </si>
  <si>
    <t>Abidela Yasine Kase /Ato/</t>
  </si>
  <si>
    <t>አብደላ ያሲን ካሴ /አቶ/</t>
  </si>
  <si>
    <t>0920-757874</t>
  </si>
  <si>
    <t>0650</t>
  </si>
  <si>
    <t>Abie Abreham Kassa /Ato/</t>
  </si>
  <si>
    <t>አቤ አስሪሀም ካሳ /አቶ/</t>
  </si>
  <si>
    <t>0946-164042</t>
  </si>
  <si>
    <t>0651</t>
  </si>
  <si>
    <t>Abie Bishaw Kebede /Ato/</t>
  </si>
  <si>
    <t>አቤ ቢሻው ከበደ አቶ/</t>
  </si>
  <si>
    <t>0652</t>
  </si>
  <si>
    <t>Abie Melese Birihun /Ato/</t>
  </si>
  <si>
    <t>አቤ መለሰ በሪሁን /አቶ/</t>
  </si>
  <si>
    <t>0653</t>
  </si>
  <si>
    <t>Abie Mesfin Aserat /Ato/</t>
  </si>
  <si>
    <t>አቤ መስፍን አስራት /አቶ/</t>
  </si>
  <si>
    <t>0654</t>
  </si>
  <si>
    <t>Abie Wale Zeleke /Ato/</t>
  </si>
  <si>
    <t>አቢ ዋለ ዘለቀ /አቶ/</t>
  </si>
  <si>
    <t>0655</t>
  </si>
  <si>
    <t>Abie Werkineh Alemu/Ato/</t>
  </si>
  <si>
    <t>አቢ ወርቅነህ አለሙ /አቶ/</t>
  </si>
  <si>
    <t>0656</t>
  </si>
  <si>
    <t xml:space="preserve">Abigel Ashagrie Wolde </t>
  </si>
  <si>
    <t xml:space="preserve">አቢጌል አሻግሬ ወልዴ </t>
  </si>
  <si>
    <t>0989-678431</t>
  </si>
  <si>
    <t>0657</t>
  </si>
  <si>
    <t>0658</t>
  </si>
  <si>
    <t>Abineh Belay Tebeje (Ato)</t>
  </si>
  <si>
    <t>አብነህ በላይ ተበጅ /አቶ/</t>
  </si>
  <si>
    <t>0659</t>
  </si>
  <si>
    <t>Abinet Abebe Tufa /Ato/</t>
  </si>
  <si>
    <t>አብነት አበበ ቱፋ /አቶ/</t>
  </si>
  <si>
    <t xml:space="preserve">0911967459
</t>
  </si>
  <si>
    <t>0660</t>
  </si>
  <si>
    <t>0661</t>
  </si>
  <si>
    <t>Abinet Girma Megersa /Ato/</t>
  </si>
  <si>
    <t>አብነት ግርማ መገርሳ /አቶ/</t>
  </si>
  <si>
    <t>0920-721251</t>
  </si>
  <si>
    <t>0662</t>
  </si>
  <si>
    <t>Abinet Gorfu Dimamu  /W/o/</t>
  </si>
  <si>
    <t>አብነት ጎርፉ ድማሙ /ወ/ሮ/</t>
  </si>
  <si>
    <t>0663</t>
  </si>
  <si>
    <t xml:space="preserve">Abinet Hone Alem </t>
  </si>
  <si>
    <t>አብነት ሆነ ዓለም</t>
  </si>
  <si>
    <t>0918-786413</t>
  </si>
  <si>
    <t>0664</t>
  </si>
  <si>
    <t>Abinet Kebede Gebrehanna /W/o/</t>
  </si>
  <si>
    <t>አብነት ከበደ ገብረሐና /ወ/ሮ/</t>
  </si>
  <si>
    <t>0911-834853</t>
  </si>
  <si>
    <t>bekiaba@gmail.com</t>
  </si>
  <si>
    <t>0665</t>
  </si>
  <si>
    <t>Kebed.sr@osu.edu
Abby yezu@gmail.com</t>
  </si>
  <si>
    <t>0666</t>
  </si>
  <si>
    <t>Abinet Malede Endalew /Ato/</t>
  </si>
  <si>
    <t>አብነት ማለደ እንዳለው /አቶ/</t>
  </si>
  <si>
    <t>0667</t>
  </si>
  <si>
    <t>Abinet Nega Seyoum /W/t/</t>
  </si>
  <si>
    <t>አብነት ነጋ ስዩም /ወ/ት/</t>
  </si>
  <si>
    <t>0913-977894</t>
  </si>
  <si>
    <t>0668</t>
  </si>
  <si>
    <t>0669</t>
  </si>
  <si>
    <t>Abinet Redi Mohammed /Ato/</t>
  </si>
  <si>
    <t>አብነት ረዲ መሀመድ /አቶ/</t>
  </si>
  <si>
    <t>0670</t>
  </si>
  <si>
    <t>Abinet Yitayeh /Ato/</t>
  </si>
  <si>
    <t>አብነት ይታየህ መንግሰቱ /አቶ/</t>
  </si>
  <si>
    <t>0671</t>
  </si>
  <si>
    <t>Abinet Zewdie Legese /Ato/</t>
  </si>
  <si>
    <t>አብነት ዘውዴ ለገሰ /አቶ/</t>
  </si>
  <si>
    <t>0926-988605</t>
  </si>
  <si>
    <t>0672</t>
  </si>
  <si>
    <t>Abinizer Mereken Haile /Ato/</t>
  </si>
  <si>
    <t>አቢኒዘር መረከን ሀይሌ /አቶ/</t>
  </si>
  <si>
    <t>0673</t>
  </si>
  <si>
    <t>Abiot Abayneh /Ato/</t>
  </si>
  <si>
    <t>አብዮት አባይነህ /አቶ/</t>
  </si>
  <si>
    <t>0916-341581</t>
  </si>
  <si>
    <t>0674</t>
  </si>
  <si>
    <t>Abiot Chanie Yeneakale /Ato/</t>
  </si>
  <si>
    <t>አብዬት ጫኔ የኔአካል /አቶ/</t>
  </si>
  <si>
    <t>0675</t>
  </si>
  <si>
    <t>Abiraham Altaye /Ato/</t>
  </si>
  <si>
    <t>አብርሃም አላተዬ  /አቶ/</t>
  </si>
  <si>
    <t>0902-696394</t>
  </si>
  <si>
    <t>0676</t>
  </si>
  <si>
    <t>Abiraham Hareka /Ato/</t>
  </si>
  <si>
    <t>አብርሃም ሓርቃ /አቶ/</t>
  </si>
  <si>
    <t>0916-360910</t>
  </si>
  <si>
    <t>0677</t>
  </si>
  <si>
    <t>Abire Bobi /Ato/</t>
  </si>
  <si>
    <t>አብሬ ቦቤ /አቶ/</t>
  </si>
  <si>
    <t>0678</t>
  </si>
  <si>
    <t>Abire Walola Warie /Ato/</t>
  </si>
  <si>
    <t>አብሬ ዋሎላ ዋሬ /አቶ/</t>
  </si>
  <si>
    <t>0679</t>
  </si>
  <si>
    <t>Abireham Adugna Yismaw /Ato/</t>
  </si>
  <si>
    <t>አቢረሀም አዱኛ ይስማው /አቶ/</t>
  </si>
  <si>
    <t>0935-018294</t>
  </si>
  <si>
    <t>0680</t>
  </si>
  <si>
    <t>Abireham Awaji /Ato/</t>
  </si>
  <si>
    <t>አብርሃም አዋጂ /አቶ/</t>
  </si>
  <si>
    <t>0920-898975</t>
  </si>
  <si>
    <t>0681</t>
  </si>
  <si>
    <t>Abireham Maganja Salie /Ato/</t>
  </si>
  <si>
    <t>አብርሐም ማጋንጆ ሳሌ /አቶ/</t>
  </si>
  <si>
    <t>0682</t>
  </si>
  <si>
    <t>Abireham Mame Ayele /Ato/</t>
  </si>
  <si>
    <t>አብረሀም ማሜ አየለ /አቶ/</t>
  </si>
  <si>
    <t>0924-833671</t>
  </si>
  <si>
    <t>0683</t>
  </si>
  <si>
    <t>Abireham Menta Nago /Ato/</t>
  </si>
  <si>
    <t>አብርሃም መንቻ ናጎ /አቶ/</t>
  </si>
  <si>
    <t>0684</t>
  </si>
  <si>
    <t>Abireham Sadiyo Shared /Ato/</t>
  </si>
  <si>
    <t>አብርሃም ሳድቶ ሻርደ /አቶ/</t>
  </si>
  <si>
    <t>0925-616869</t>
  </si>
  <si>
    <t>0685</t>
  </si>
  <si>
    <t>Abireham Setegn /Ato/</t>
  </si>
  <si>
    <t>አብርሃም ስመኝ /አቶ/</t>
  </si>
  <si>
    <t>0686</t>
  </si>
  <si>
    <t>Abireham Tadese Yalew /Ato/</t>
  </si>
  <si>
    <t>አብርሃም ታደስ ያለው /አቶ/</t>
  </si>
  <si>
    <t>0934-761421</t>
  </si>
  <si>
    <t>0687</t>
  </si>
  <si>
    <t>Abireham Tesfie /Ato/</t>
  </si>
  <si>
    <t>አቢረሀም ተስፊ /አቶ/</t>
  </si>
  <si>
    <t>0688</t>
  </si>
  <si>
    <t>Abireham Wudineh Abera /Ato/</t>
  </si>
  <si>
    <t>አብርሃም ዉዱነህ አበራ /አቶ/</t>
  </si>
  <si>
    <t>0912-309185</t>
  </si>
  <si>
    <t>0689</t>
  </si>
  <si>
    <t>Abirham Fentaye Akalu /Ato/</t>
  </si>
  <si>
    <t>አብርሀም ፈንታዬ አካሉ /አቶ/</t>
  </si>
  <si>
    <t>0690</t>
  </si>
  <si>
    <t>Abirham Kassie/Ato/</t>
  </si>
  <si>
    <t>አብርሃም ካሌ ከፍያለው /አቶ/</t>
  </si>
  <si>
    <t>0691</t>
  </si>
  <si>
    <t>Abirham Mekonin Bayileygne /Ato/</t>
  </si>
  <si>
    <t>አብርሀም መኮንን ባይለየኝ /አቶ/</t>
  </si>
  <si>
    <t>0692</t>
  </si>
  <si>
    <t>Abit Bizuayehu Amene /Ato/</t>
  </si>
  <si>
    <t>አብጤ ብዙአየሁ አመነ /አቶ/</t>
  </si>
  <si>
    <t>0693</t>
  </si>
  <si>
    <t>Abita Smineh Snshaw /Ato/</t>
  </si>
  <si>
    <t>አቢታ ስሜህ ስንሻው /አቶ/</t>
  </si>
  <si>
    <t>0694</t>
  </si>
  <si>
    <t>Abite Wagiesho /Ato/</t>
  </si>
  <si>
    <t>አብጤ ዋጌሾ ዋዛ /አቶ/</t>
  </si>
  <si>
    <t>0920-194443</t>
  </si>
  <si>
    <t>0695</t>
  </si>
  <si>
    <t>Abitew Bezie Tariku /Ato/</t>
  </si>
  <si>
    <t>አብተው በዜ ታረኩ /አቶ/</t>
  </si>
  <si>
    <t>0696</t>
  </si>
  <si>
    <t>Abitew Takele Tiruneh /Ato/</t>
  </si>
  <si>
    <t>አብተው ታከለ ጥሩነህ /አቶ/</t>
  </si>
  <si>
    <t>0697</t>
  </si>
  <si>
    <t>Abitew Welelaw /Ato/</t>
  </si>
  <si>
    <t>አብተው ወለላው አደመ /አቶ/</t>
  </si>
  <si>
    <t>0698</t>
  </si>
  <si>
    <t>Abitew Zewudie Ayele /Ato/</t>
  </si>
  <si>
    <t>አብተው ዘውዴ አየለ /አቶ/</t>
  </si>
  <si>
    <t>0699</t>
  </si>
  <si>
    <t>Abiti Damise /Ato/</t>
  </si>
  <si>
    <t>አቢቲ ደምሴ /አቶ/</t>
  </si>
  <si>
    <t>0931-286048</t>
  </si>
  <si>
    <t>0700</t>
  </si>
  <si>
    <t>Abiwet Beregay Gofa /Ato/</t>
  </si>
  <si>
    <t>አቢወት በረጋይ ጎፋ /አቶ/</t>
  </si>
  <si>
    <t>0916-883189</t>
  </si>
  <si>
    <t>0701</t>
  </si>
  <si>
    <t>Abiwet Moges Tesema /Ato/</t>
  </si>
  <si>
    <t>አቢዎት ሞገስ ተስፋ /አቶ/</t>
  </si>
  <si>
    <t>0920-632419</t>
  </si>
  <si>
    <t>0702</t>
  </si>
  <si>
    <t>Abiy Abegaz Zewdie /Ato/</t>
  </si>
  <si>
    <t>አብይ አበጋዝ ዘዉዴ /አቶ/</t>
  </si>
  <si>
    <t>0703</t>
  </si>
  <si>
    <t>Abiy Ademe Molla /Ato/</t>
  </si>
  <si>
    <t>አባይ አደመ ሞላ /አቶ/</t>
  </si>
  <si>
    <t>0704</t>
  </si>
  <si>
    <t>Abiy Admassu Dadi /Ato/</t>
  </si>
  <si>
    <t>አብይ አድማሱ ዳዲ /አቶ/</t>
  </si>
  <si>
    <t>0911-878616
0910-100223</t>
  </si>
  <si>
    <t>abiyha@gmail.com</t>
  </si>
  <si>
    <t>0705</t>
  </si>
  <si>
    <t>Abiy Alemu Mulugeta /Ato/</t>
  </si>
  <si>
    <t>አብይ አለሙ ሙሉጌታ /አቶ/</t>
  </si>
  <si>
    <t>0911-661743</t>
  </si>
  <si>
    <t>0706</t>
  </si>
  <si>
    <t>Abiy Ayalew Admassu /Ato/</t>
  </si>
  <si>
    <t>አብይ አያሌው አድማሱ /አቶ/</t>
  </si>
  <si>
    <t>0912-347341</t>
  </si>
  <si>
    <t>abiyalew@gmail.com</t>
  </si>
  <si>
    <t>0707</t>
  </si>
  <si>
    <t>Abiy Daniel Tsige /Ato/</t>
  </si>
  <si>
    <t>አብይ ዳንኤል ፅጌ /አቶ/</t>
  </si>
  <si>
    <t>0708</t>
  </si>
  <si>
    <t>Abiy Ewnetu Admasu /Ato/</t>
  </si>
  <si>
    <t>አብይ እዉነቱ አድማሱ /አቶ/</t>
  </si>
  <si>
    <t>0916-820366</t>
  </si>
  <si>
    <t>0709</t>
  </si>
  <si>
    <t>Abiy Fekade Tegegn /Ato/</t>
  </si>
  <si>
    <t>አብይ ፈቃደ ተገኝ /አቶ/</t>
  </si>
  <si>
    <t>0911-270348
0912-149686</t>
  </si>
  <si>
    <t>abiylile91@gmail.com</t>
  </si>
  <si>
    <t>0710</t>
  </si>
  <si>
    <t>0711</t>
  </si>
  <si>
    <t>Abiy Girmay Haddis /Ato/</t>
  </si>
  <si>
    <t>አብይ ግርማይ ሀዲስ /አቶ/</t>
  </si>
  <si>
    <t>0911-568581</t>
  </si>
  <si>
    <t>kelemdagnie@gmail.com</t>
  </si>
  <si>
    <t>0712</t>
  </si>
  <si>
    <t>Abiy Kassahun Bekele /Ato/</t>
  </si>
  <si>
    <t>አብይ ካሳሁን በቀለ /አቶ/</t>
  </si>
  <si>
    <t>0713</t>
  </si>
  <si>
    <t>0714</t>
  </si>
  <si>
    <t>Abiy Lisanwork Mekonnen /Ato/</t>
  </si>
  <si>
    <t xml:space="preserve"> አብይ ልሳነወርቅ መኮንን /አቶ/</t>
  </si>
  <si>
    <t>0913-134263</t>
  </si>
  <si>
    <t>0715</t>
  </si>
  <si>
    <t>Abiy Mekasha Negussie /Ato/ and/or Azeb Desta H/michael /W/o/</t>
  </si>
  <si>
    <t>አብይ መካሻ ንጉሴ /አቶ/ እና/ወይም አዜብ ደስታ ሀ/ሚካኤል /ወ/ሮ/</t>
  </si>
  <si>
    <t>0940-796705/447-413-334-873</t>
  </si>
  <si>
    <t>esku.adane@gmail.com</t>
  </si>
  <si>
    <t>0717</t>
  </si>
  <si>
    <t>Abiy Meshesha Mulatu</t>
  </si>
  <si>
    <t>አብይ መሸሻ ሙላቱ</t>
  </si>
  <si>
    <t>0718</t>
  </si>
  <si>
    <t>0719</t>
  </si>
  <si>
    <t>Abiy Tefera Mingistu /Ato/</t>
  </si>
  <si>
    <t>አብይ ተፈራ መንግስቱ /አቶ/</t>
  </si>
  <si>
    <t>0720</t>
  </si>
  <si>
    <t>Abiy Tesfaye Gebrehywet /Ato/</t>
  </si>
  <si>
    <t>አብይ ተስፋዬ ገ/ህይወት /አቶ/</t>
  </si>
  <si>
    <t>0988-246088/ 1780-512-7888</t>
  </si>
  <si>
    <t>malede777@gmail.com</t>
  </si>
  <si>
    <t>0721</t>
  </si>
  <si>
    <t>Abiy Tigabu Mekonnen /Ato/</t>
  </si>
  <si>
    <t>አብይ ጥጋቡ መኮንን /አቶ/</t>
  </si>
  <si>
    <t>0913-277843</t>
  </si>
  <si>
    <t>abiytig@hotmail.com</t>
  </si>
  <si>
    <t>0722</t>
  </si>
  <si>
    <t>Abiy Werku Eshetie</t>
  </si>
  <si>
    <t xml:space="preserve">አብይ ወርቁ እሸቱ </t>
  </si>
  <si>
    <t>0723</t>
  </si>
  <si>
    <t>Abiy Zemedhun Teshome /Ato/</t>
  </si>
  <si>
    <t>አብይ ዘመድሁን ተሾመ /አቶ/</t>
  </si>
  <si>
    <t>0724</t>
  </si>
  <si>
    <t>Abiye Alem Belete /Ato/</t>
  </si>
  <si>
    <t>አብየ አለም በለጠ /አቶ/</t>
  </si>
  <si>
    <t>0725</t>
  </si>
  <si>
    <t>Abiye Amera Bitew /Ato/</t>
  </si>
  <si>
    <t>አብይ አማረ ቢተው /አቶ/</t>
  </si>
  <si>
    <t>0726</t>
  </si>
  <si>
    <t>Abiye Estifanos Alaro /Ato/</t>
  </si>
  <si>
    <t>አብይ እስጢፋኖስ አላሮ /አቶ/</t>
  </si>
  <si>
    <t>0727</t>
  </si>
  <si>
    <t>Abiye Kasse Endalmaw /Ato/</t>
  </si>
  <si>
    <t>አብየ ካሴ እንዳላማው /አቶ/</t>
  </si>
  <si>
    <t>0728</t>
  </si>
  <si>
    <t>Abiye Mengistie Takele /Ato/</t>
  </si>
  <si>
    <t>አብየ  መንግስቴ ታከለ/አቶ/</t>
  </si>
  <si>
    <t>0729</t>
  </si>
  <si>
    <t>Abiye Weticha Wedbo /Ato/</t>
  </si>
  <si>
    <t>አብየ ወንቻ ወድቦ /አቶ</t>
  </si>
  <si>
    <t>0730</t>
  </si>
  <si>
    <t>Abiye Zelalem Mekonnen /Ato/</t>
  </si>
  <si>
    <t>አብይ ዘለለም መኮንን /አቶ/</t>
  </si>
  <si>
    <t>0731</t>
  </si>
  <si>
    <t>Abiyot Adisse alemu /Ato/</t>
  </si>
  <si>
    <t>አብዮት አዲሴ አለሙ /አቶ/</t>
  </si>
  <si>
    <t>0732</t>
  </si>
  <si>
    <t>Abiyot Alemu Arego /Ato/</t>
  </si>
  <si>
    <t>አብዮት አለሙ አርጎ /አቶ/</t>
  </si>
  <si>
    <t>0913-088053</t>
  </si>
  <si>
    <t>0733</t>
  </si>
  <si>
    <t>Abiyot Aseras Gasa /Ato/</t>
  </si>
  <si>
    <t>አብዮት አስራስ ጋሳ /አቶ/</t>
  </si>
  <si>
    <t>0938-505458</t>
  </si>
  <si>
    <t>0734</t>
  </si>
  <si>
    <t>Abiyot Ayele /Ato/</t>
  </si>
  <si>
    <t>አብዮት አየለ /አቶ/</t>
  </si>
  <si>
    <t>0735</t>
  </si>
  <si>
    <t>Abiyot Belete Ketsela /Ato/</t>
  </si>
  <si>
    <t>አብዮት በለጠ ቀፀላ /አቶ/</t>
  </si>
  <si>
    <t>0736</t>
  </si>
  <si>
    <t>Abiyot Biresaw Abele /Ato/</t>
  </si>
  <si>
    <t>አቢዮት ቢረሳው አበለ /አቶ/</t>
  </si>
  <si>
    <t>0737</t>
  </si>
  <si>
    <t>Abiyot Bolka Limaso /Ato/</t>
  </si>
  <si>
    <t>አብዮት ቦልካ ሊማሶ /አቶ/</t>
  </si>
  <si>
    <t>0919-592779</t>
  </si>
  <si>
    <t>0738</t>
  </si>
  <si>
    <t>Abiyot Danse /Ato/</t>
  </si>
  <si>
    <t>አብዮት ዳንሴ /አቶ/</t>
  </si>
  <si>
    <t>0916-834354</t>
  </si>
  <si>
    <t>0739</t>
  </si>
  <si>
    <t>Abiyot Habite Gado /Ato/</t>
  </si>
  <si>
    <t>አብዮት ሐብቴ ጋዶ /አቶ/</t>
  </si>
  <si>
    <t>0977-860361</t>
  </si>
  <si>
    <t>0740</t>
  </si>
  <si>
    <t>Abiyot Mekuria Gibo /Ato/</t>
  </si>
  <si>
    <t>አብዮት መኩሪያ ገቦ /አቶ/</t>
  </si>
  <si>
    <t>0937-184892</t>
  </si>
  <si>
    <t>0741</t>
  </si>
  <si>
    <t>Abiyot Sutulo /Ato/</t>
  </si>
  <si>
    <t>አብዮት ሹቱሎ /አቶ/</t>
  </si>
  <si>
    <t>0742</t>
  </si>
  <si>
    <t>Abiyot Wegaye Gizaw /Ato/</t>
  </si>
  <si>
    <t>አብዮት ወጋየ ግዛው /አቶ/</t>
  </si>
  <si>
    <t>0913-518653</t>
  </si>
  <si>
    <t>0743</t>
  </si>
  <si>
    <t>Abiyot Werkenh Abebe /Ato/</t>
  </si>
  <si>
    <t>አብዮት ወርቅነህ አበበ /አቶ/</t>
  </si>
  <si>
    <t>0919-360194</t>
  </si>
  <si>
    <t>0744</t>
  </si>
  <si>
    <t>Abiyu Abiye Andaregie /Ato/</t>
  </si>
  <si>
    <t>አብዩ አቢዬ አንዳረጌ /አቶ/</t>
  </si>
  <si>
    <t>0745</t>
  </si>
  <si>
    <t>Abiyu Assefa Negede /Ato/</t>
  </si>
  <si>
    <t>አብዩ አሰፋ ነገደ /አቶ/</t>
  </si>
  <si>
    <t>124-07152252</t>
  </si>
  <si>
    <t>0746</t>
  </si>
  <si>
    <t>Abiyu Derjew Abebe /Ato/</t>
  </si>
  <si>
    <t>አብዩ ደርጀው አበበ /አቶ/</t>
  </si>
  <si>
    <t>0747</t>
  </si>
  <si>
    <t>Abiyu Girum Tiruneh /Ato/</t>
  </si>
  <si>
    <t>አብዩ ግሩም ጥሩነህ /አቶ/</t>
  </si>
  <si>
    <t>0748</t>
  </si>
  <si>
    <t>Abner Getnet Asrat</t>
  </si>
  <si>
    <t xml:space="preserve">አብነር ጌትነት አስራት </t>
  </si>
  <si>
    <t>0964-051845</t>
  </si>
  <si>
    <t>0749</t>
  </si>
  <si>
    <t>Abnet Abayneh Affa /W/o/</t>
  </si>
  <si>
    <t>አብነት አባይነህ አፋ /ወ/ሮ/</t>
  </si>
  <si>
    <t>0911-454201</t>
  </si>
  <si>
    <t>aynalem.shanka@yahoo.com</t>
  </si>
  <si>
    <t>0750</t>
  </si>
  <si>
    <t>Abnet Geletaw Mamo  /Ato/</t>
  </si>
  <si>
    <t>አብነት ገለታው ማሞ /አቶ/</t>
  </si>
  <si>
    <t>0751</t>
  </si>
  <si>
    <t>Abnet Samuel Abiyo /Ato/</t>
  </si>
  <si>
    <r>
      <rPr>
        <b/>
        <sz val="12"/>
        <color theme="1"/>
        <rFont val="Agency FB"/>
        <charset val="134"/>
      </rPr>
      <t>አብነት ሳሙኤል አብ</t>
    </r>
    <r>
      <rPr>
        <b/>
        <sz val="12"/>
        <color theme="1"/>
        <rFont val="Addis98"/>
        <charset val="134"/>
      </rPr>
      <t>©</t>
    </r>
    <r>
      <rPr>
        <b/>
        <sz val="12"/>
        <color theme="1"/>
        <rFont val="Agency FB"/>
        <charset val="134"/>
      </rPr>
      <t xml:space="preserve"> /አቶ/</t>
    </r>
  </si>
  <si>
    <t>abnetsam@yahoo.com</t>
  </si>
  <si>
    <t>0752</t>
  </si>
  <si>
    <t>Abol Seid Munie /Ato/</t>
  </si>
  <si>
    <t>አቦል ሠይድ ሙኔ /አቶቶ</t>
  </si>
  <si>
    <t>0753</t>
  </si>
  <si>
    <t>Abonesh H/wold Worku /W/o/</t>
  </si>
  <si>
    <t>አቦነሸ ሀ/ወልድ ወርቁ /ወ/ሮ/</t>
  </si>
  <si>
    <t>0754</t>
  </si>
  <si>
    <t>Abota Onke Koroto /Ato/</t>
  </si>
  <si>
    <t>አቦታ ኦንኬ ኮሮቶ /አቶ/</t>
  </si>
  <si>
    <t>0949-676622</t>
  </si>
  <si>
    <t>0755</t>
  </si>
  <si>
    <t>Aboye Alibo Gado /Ato/</t>
  </si>
  <si>
    <t>አቦዬ አልቤ ጋዶ /አቶ/</t>
  </si>
  <si>
    <t>0969-486528</t>
  </si>
  <si>
    <t>0756</t>
  </si>
  <si>
    <t>Abozench Teshome Kebiw /W/o/</t>
  </si>
  <si>
    <t>አቦዘነች ተሾመ ከብዉ /ወ/ሮ/</t>
  </si>
  <si>
    <t>0930-756059</t>
  </si>
  <si>
    <t>0757</t>
  </si>
  <si>
    <t>Abraham  Abitse Ankal /Ato/</t>
  </si>
  <si>
    <t>አብርሃም አብፀ አንካለ /አቶ/</t>
  </si>
  <si>
    <t>0964-536084</t>
  </si>
  <si>
    <t>0758</t>
  </si>
  <si>
    <t>Abraham Adugna /Ato/ and/or Addisalem Shewamaare /W/o/</t>
  </si>
  <si>
    <t>አብርሃም አዱኛ /አቶ/ እና/ወይም አዲስአለም ሸዋአማረ /ወ/ሮ/</t>
  </si>
  <si>
    <t>0911-629624</t>
  </si>
  <si>
    <t>0759</t>
  </si>
  <si>
    <t>0760</t>
  </si>
  <si>
    <t>Abraham Amene Driba /Ato/</t>
  </si>
  <si>
    <t>አብርሃም አመነ ድሪባ /አቶ/</t>
  </si>
  <si>
    <t>0761</t>
  </si>
  <si>
    <t>Abraham Anjulo(Ato)</t>
  </si>
  <si>
    <t>አብርሃም አንጀሎ (አቶ)</t>
  </si>
  <si>
    <t>0926-532171</t>
  </si>
  <si>
    <t>0762</t>
  </si>
  <si>
    <t>Abraham Ayasa Gaso /Ato/</t>
  </si>
  <si>
    <t>አብርሀም አይሳ ጋሶ/አቶ/</t>
  </si>
  <si>
    <t>0916-766015</t>
  </si>
  <si>
    <t>0763</t>
  </si>
  <si>
    <t>Abraham Ayele /Ato/</t>
  </si>
  <si>
    <t>አብራሃም አየለ /አቶ/</t>
  </si>
  <si>
    <t>0954-862442</t>
  </si>
  <si>
    <t>0764</t>
  </si>
  <si>
    <t>Abraham Azmeraw /Ato/ and Fikirte Girma /W/o/</t>
  </si>
  <si>
    <t>አብርሀም አዝመራው /አቶ/ እና ፍቅርተ ግርማ /ወ/ሮ/</t>
  </si>
  <si>
    <t>0911-419830</t>
  </si>
  <si>
    <t>0765</t>
  </si>
  <si>
    <t>Abraham Beyene Tesema /Ato/</t>
  </si>
  <si>
    <t>አብርሃም በየነ ተሰማ /አቶ/</t>
  </si>
  <si>
    <t>0913-835523</t>
  </si>
  <si>
    <t>abrishcbeJu@gmail.com</t>
  </si>
  <si>
    <t>0766</t>
  </si>
  <si>
    <t>Abraham Dana /Ato/</t>
  </si>
  <si>
    <t>አብራሃም ዳና  ደቻሳ/አቶ/</t>
  </si>
  <si>
    <t>0954-510424</t>
  </si>
  <si>
    <t>0767</t>
  </si>
  <si>
    <t>Abraham Debebe Gebrewold /Ato/</t>
  </si>
  <si>
    <t>አብርሃም ደበበ ገብረወልድ /አቶ/</t>
  </si>
  <si>
    <t>0911-819303</t>
  </si>
  <si>
    <t>0768</t>
  </si>
  <si>
    <t>Abraham Dereje Feryssa /Ato/</t>
  </si>
  <si>
    <t>አብርሃም ደረጀ ፈሪሳ /አቶ/</t>
  </si>
  <si>
    <t>0769</t>
  </si>
  <si>
    <t>Abraham Fikrie Damena /Ato/ For Elora Abraham  /Minor/</t>
  </si>
  <si>
    <t>አብርሃም ፍቅሬ ደመና /አቶ/ ለኤሎራ አብርሃም ፍቅሬ /ህፃን/</t>
  </si>
  <si>
    <t>0770</t>
  </si>
  <si>
    <t>Abraham Fissaha Assefa /Ato/</t>
  </si>
  <si>
    <t>አብርሃም ፍሰሀ አሰፋ /አቶ/</t>
  </si>
  <si>
    <t>0913-833633</t>
  </si>
  <si>
    <t>mikeget9@gmail.com</t>
  </si>
  <si>
    <t>0771</t>
  </si>
  <si>
    <t>Abraham Gaga Alero /Ato/</t>
  </si>
  <si>
    <t>አብራሃም ጋጋ አልሮ /አቶ/</t>
  </si>
  <si>
    <t>0772</t>
  </si>
  <si>
    <t>Abraham Goysha (Ato)</t>
  </si>
  <si>
    <t>አብርሃም ጎይሻ  (አቶ)</t>
  </si>
  <si>
    <t>0964-965537</t>
  </si>
  <si>
    <t>0773</t>
  </si>
  <si>
    <t>Abraham Gute Tabbi /Ato/</t>
  </si>
  <si>
    <t>አብርሃም ጉቴ ጣቢ /አቶ</t>
  </si>
  <si>
    <t>0774</t>
  </si>
  <si>
    <t>Abraham Haile Begashaw /Ato/</t>
  </si>
  <si>
    <t>አብርሀም ኃይሌ በጋሻው /አቶ/</t>
  </si>
  <si>
    <t>0911-608452</t>
  </si>
  <si>
    <t>edmia89@gmail.com</t>
  </si>
  <si>
    <t>0775</t>
  </si>
  <si>
    <t>Abraham L. Ergetie /Ato/</t>
  </si>
  <si>
    <t>አብርሃም ለ. እርገጤ /አቶ/</t>
  </si>
  <si>
    <t>0911-248406</t>
  </si>
  <si>
    <t>Australia</t>
  </si>
  <si>
    <t>merelakew@yahoo.com</t>
  </si>
  <si>
    <t>0776</t>
  </si>
  <si>
    <t>Abraham Nega Yaya /Ato/</t>
  </si>
  <si>
    <t>አብርሃም ነጋ ያያ /አቶ/</t>
  </si>
  <si>
    <t>0961-324692</t>
  </si>
  <si>
    <t>0777</t>
  </si>
  <si>
    <t>Abraham Nigussie Deme /Ato/</t>
  </si>
  <si>
    <t>አብርሃም ንጉሴ ደሜ /አቶ/</t>
  </si>
  <si>
    <t>0778</t>
  </si>
  <si>
    <t>Abraham Tadesse Mideksa /Ato/</t>
  </si>
  <si>
    <t>አብርሃም ታደሰ ሚደክሳ /አቶ/</t>
  </si>
  <si>
    <t>0912-730458</t>
  </si>
  <si>
    <t>enguo21@gmail.com</t>
  </si>
  <si>
    <t>0779</t>
  </si>
  <si>
    <t>0780</t>
  </si>
  <si>
    <t>Abraham Worako Wosano /Ato/</t>
  </si>
  <si>
    <t>አብርሃም ወራኮ ዎሳኖ /አቶ/</t>
  </si>
  <si>
    <t>0781</t>
  </si>
  <si>
    <t>Abraham Zebene Estifanos /Ato/</t>
  </si>
  <si>
    <t>አብረሀም ዘበነ እሰጥፋኖስ /አቶ/</t>
  </si>
  <si>
    <t>0911-730983</t>
  </si>
  <si>
    <t>esayas.ephrem@gmail.com</t>
  </si>
  <si>
    <t>0782</t>
  </si>
  <si>
    <t>Abraraw Getaneh Alemu  /Ato/</t>
  </si>
  <si>
    <t>አብራራዉ ጌታነህ አለሙ /አቶ/</t>
  </si>
  <si>
    <t>0783</t>
  </si>
  <si>
    <t>Abraraw Mekuriyaw /Ato/</t>
  </si>
  <si>
    <t>አብራራው መኩሪያው /አቶ/</t>
  </si>
  <si>
    <t>0784</t>
  </si>
  <si>
    <t>Abrarew Kasse Melese /Ato/</t>
  </si>
  <si>
    <t>አብራራው ካሴ መለሰ /አቶ/</t>
  </si>
  <si>
    <t>0785</t>
  </si>
  <si>
    <t>Abre Abeyo Abeje /Ato/</t>
  </si>
  <si>
    <t>አበሬ አቦዮ አጀበ /አቶ/</t>
  </si>
  <si>
    <t>0786</t>
  </si>
  <si>
    <t>Abreham Abay (Ato</t>
  </si>
  <si>
    <t>አብርሃም  አበዪ (አቶ)</t>
  </si>
  <si>
    <t>0787</t>
  </si>
  <si>
    <t>Abreham Adam /Ato/</t>
  </si>
  <si>
    <t>አብርሃም አዳም /አቶ/</t>
  </si>
  <si>
    <t>0788</t>
  </si>
  <si>
    <t>Abreham Addsu Bekele /Ato/</t>
  </si>
  <si>
    <t>አብረሃም አድሱ በቀለ /አቶ/</t>
  </si>
  <si>
    <t>0789</t>
  </si>
  <si>
    <t>Abreham Adem Nalo /Ato/</t>
  </si>
  <si>
    <t>አብርሃም አዳም ናሎ /አቶ/</t>
  </si>
  <si>
    <t>0790</t>
  </si>
  <si>
    <t>Abreham Admasu Woldie /Ato/</t>
  </si>
  <si>
    <t>አብርሃም አድማሱ ውልዴ /አቶ/</t>
  </si>
  <si>
    <t xml:space="preserve"> 0938-641913</t>
  </si>
  <si>
    <t>ደ/ ም</t>
  </si>
  <si>
    <t>0791</t>
  </si>
  <si>
    <t>Abreham Alene Ewunetu /Ato/</t>
  </si>
  <si>
    <t>አብርሀም አለነ እዉነቱ</t>
  </si>
  <si>
    <t>0792</t>
  </si>
  <si>
    <t>Abreham Argicho G/eyesus /Ato/</t>
  </si>
  <si>
    <t>አብርሃም አርጊቾ ገብረዕየሡሥ /አቶ/</t>
  </si>
  <si>
    <t>0911-346503/1703-8643933</t>
  </si>
  <si>
    <t>0793</t>
  </si>
  <si>
    <t>Abreham Argicho Gebreeyesus /Ato/</t>
  </si>
  <si>
    <t>አብርሃም አርጊቾ ገብረእየሱስ /አቶ/</t>
  </si>
  <si>
    <t>0916-824754</t>
  </si>
  <si>
    <t>0794</t>
  </si>
  <si>
    <t>Abreham Ashenafi Agza /Ato/</t>
  </si>
  <si>
    <t>አብርሃም አሸናፊ አግዛ /አቶ/</t>
  </si>
  <si>
    <t>0923-542160</t>
  </si>
  <si>
    <t>andarge.seleshi@gmail.com</t>
  </si>
  <si>
    <t>0795</t>
  </si>
  <si>
    <t>Abreham Basa /Ato/</t>
  </si>
  <si>
    <t>አብርሃም ባሣ /አቶ/</t>
  </si>
  <si>
    <t>0968-043324</t>
  </si>
  <si>
    <t>0796</t>
  </si>
  <si>
    <t>Abreham Belay Kebede /Ato/</t>
  </si>
  <si>
    <t>አብርሃም  በላይ  ከበደ /አቶ/</t>
  </si>
  <si>
    <t>0797</t>
  </si>
  <si>
    <t>Abreham Bogale W/Georgis /Ato/</t>
  </si>
  <si>
    <t>አብርሃም ቦጋለ ወልደጊዮርጊስ /አቶ/</t>
  </si>
  <si>
    <t>0972-046519</t>
  </si>
  <si>
    <t>0798</t>
  </si>
  <si>
    <t>Abreham Chenda Chalalo /Ato/</t>
  </si>
  <si>
    <t>አብርሃም ጫንዳ ጫላሎ /አቶ/</t>
  </si>
  <si>
    <t>0799</t>
  </si>
  <si>
    <t>Abreham Dea /Ato/</t>
  </si>
  <si>
    <t>አብረሃም ደአ /አቶ/</t>
  </si>
  <si>
    <t>0800</t>
  </si>
  <si>
    <t>Abreham Dia Adare /Ato/</t>
  </si>
  <si>
    <t>አብርሃም ዴአ አዳሬ /አቶ/</t>
  </si>
  <si>
    <t>0916-732622</t>
  </si>
  <si>
    <t>0801</t>
  </si>
  <si>
    <t>Abreham Ketema Lemma /Ato/</t>
  </si>
  <si>
    <t>አብርሃም ከተማ ለማ /አቶ/</t>
  </si>
  <si>
    <t>0912-045485</t>
  </si>
  <si>
    <t>hailubirru@un.org</t>
  </si>
  <si>
    <t>0802</t>
  </si>
  <si>
    <t>Abreham Lema Gebeyehu /Ato/</t>
  </si>
  <si>
    <t>አብረሃም ለማ ገበየሁ /አቶ/</t>
  </si>
  <si>
    <t>0910-504463</t>
  </si>
  <si>
    <t>0803</t>
  </si>
  <si>
    <t>Abreham Mersha /Ato/</t>
  </si>
  <si>
    <t>አብርሃም መርሻ ኡርጌሣ /አቶ/</t>
  </si>
  <si>
    <t>0911-237627</t>
  </si>
  <si>
    <t>0804</t>
  </si>
  <si>
    <t>Abreham Mersha Urgessa /Ato/</t>
  </si>
  <si>
    <t>አብርሃም መርሻ ኡርጌሳ /አቶ/</t>
  </si>
  <si>
    <t>0922-823945</t>
  </si>
  <si>
    <t>0805</t>
  </si>
  <si>
    <t>Abreham Mesfin Dinku /Ato/</t>
  </si>
  <si>
    <t>አብርሀም መስፍን ድንቁ /አቶ/</t>
  </si>
  <si>
    <t>0806</t>
  </si>
  <si>
    <t>Abreham Nigussie  /Ato/ And/or Bethlehem Abreham  /W/t/</t>
  </si>
  <si>
    <t>አብርሃም ንጉሴ  /አቶ/ እና/ወይም ቤተልሔም አብርሃም  /ወ/ት/</t>
  </si>
  <si>
    <t>0807</t>
  </si>
  <si>
    <t>Abreham Pawlos Belay /Ato/</t>
  </si>
  <si>
    <t>አብርሃም ጰውሎሰ በላይ /አቶ/</t>
  </si>
  <si>
    <t>0912-462668</t>
  </si>
  <si>
    <t>0808</t>
  </si>
  <si>
    <t>Abreham Sakata Bulto /Ato/</t>
  </si>
  <si>
    <t>አብርሃም ሳቀታ ቡልቶ  /አቶ/</t>
  </si>
  <si>
    <t>0913-191451</t>
  </si>
  <si>
    <t>0809</t>
  </si>
  <si>
    <t>Abreham Senay Chekol /Ato /</t>
  </si>
  <si>
    <t>አብረሃም ሰናይ ቸኮል /አቶ /</t>
  </si>
  <si>
    <t>0810</t>
  </si>
  <si>
    <t>Abreham Sime Gurara /Ato/</t>
  </si>
  <si>
    <t>አብርሃም ስሜ ጉራራ /አቶ/</t>
  </si>
  <si>
    <t>0811</t>
  </si>
  <si>
    <t>Abreham Tadesse Mideksa /Ato/</t>
  </si>
  <si>
    <t>አብርሀም ታደሰ ሚደክሳ /አቶ/</t>
  </si>
  <si>
    <t>amen.awaju@gmail.com</t>
  </si>
  <si>
    <t>0812</t>
  </si>
  <si>
    <t>Abreham Tigro /Ato/</t>
  </si>
  <si>
    <t>አብርሃም ትግሮ /አቶ/</t>
  </si>
  <si>
    <t>0916-457749</t>
  </si>
  <si>
    <t>0813</t>
  </si>
  <si>
    <t>Abreham Tiruneh Zegey /Ato/</t>
  </si>
  <si>
    <t>አብርሃም ጥሩነህ ዘገየ /አቶ/</t>
  </si>
  <si>
    <t>0814</t>
  </si>
  <si>
    <t>Abreham Toro /Ato/</t>
  </si>
  <si>
    <t>አብራሃም ቶሮ /አቶ/</t>
  </si>
  <si>
    <t>0919-838755</t>
  </si>
  <si>
    <t>0815</t>
  </si>
  <si>
    <t xml:space="preserve">Abreham Tsegaye Zewdie /Ato/ </t>
  </si>
  <si>
    <t>አብርሃም ጸጋዬ ዘውዴ /አቶ/</t>
  </si>
  <si>
    <t>0912-270822</t>
  </si>
  <si>
    <t>0816</t>
  </si>
  <si>
    <t>Abreham Wogaso Hayaya /Ato/</t>
  </si>
  <si>
    <t>አብራሐም ወጋሶ ሀያያ /አቶ/</t>
  </si>
  <si>
    <t>0916-581921</t>
  </si>
  <si>
    <t>0817</t>
  </si>
  <si>
    <t>Abreham Yalew Tesfaye /Ato/</t>
  </si>
  <si>
    <t>አብርሃም ያለው ተስፋዬ /አቶ/</t>
  </si>
  <si>
    <t>0913-005910/0944-205152</t>
  </si>
  <si>
    <t>0818</t>
  </si>
  <si>
    <t>Abreham Zebrega Tsegaye /Ato/</t>
  </si>
  <si>
    <t>አብርሃም ዘበርጋ ፀጋዬ /አቶ/</t>
  </si>
  <si>
    <t>0819</t>
  </si>
  <si>
    <t>Abrehet A.Kahesaye /W/o/</t>
  </si>
  <si>
    <t>አብርኸት አ. ካህሳዬ /ወ/ሮ/</t>
  </si>
  <si>
    <t>0925-970817</t>
  </si>
  <si>
    <t>aka19824@gmail.com</t>
  </si>
  <si>
    <t>0820</t>
  </si>
  <si>
    <t>Abrehet Kebede T/Medhin /W/o/</t>
  </si>
  <si>
    <t>አብረኸት ከበደ ተወልደመድህን /ወ/ሮ/</t>
  </si>
  <si>
    <t>0967-287927</t>
  </si>
  <si>
    <t>0821</t>
  </si>
  <si>
    <t>Abrha Tekle Woldemariam /Ato/</t>
  </si>
  <si>
    <t>አብርሀ ተክሌ ወ/ማሪያም /አቶ/</t>
  </si>
  <si>
    <t>0923-211616</t>
  </si>
  <si>
    <t>0822</t>
  </si>
  <si>
    <t>Abrham Abebe Zardo /Ato/</t>
  </si>
  <si>
    <t>አብርሃም አበበ ዛርዶ /አቶ/</t>
  </si>
  <si>
    <t>0823</t>
  </si>
  <si>
    <t>0824</t>
  </si>
  <si>
    <t>Abrham Alemu Arsa /Ato/</t>
  </si>
  <si>
    <t>አብርሃም አለሙ አርሳ /አቶ/</t>
  </si>
  <si>
    <t>0825</t>
  </si>
  <si>
    <t>Abrham Alemu Bushen /Ato/</t>
  </si>
  <si>
    <t>አብረሀም አለሙ ቡሸን /አቶ/</t>
  </si>
  <si>
    <t>0911-669253</t>
  </si>
  <si>
    <t>0826</t>
  </si>
  <si>
    <t>Abrham Alemu Hamara (Ato)</t>
  </si>
  <si>
    <t>አብርሀም አለሙ ሀማራ/አቶ/</t>
  </si>
  <si>
    <t>0827</t>
  </si>
  <si>
    <t>Abrham Bekele Deneke /Ato/</t>
  </si>
  <si>
    <t>አብርሀም በቀለ ደነቀ /አቶ/</t>
  </si>
  <si>
    <t>0926-967769</t>
  </si>
  <si>
    <t>0828</t>
  </si>
  <si>
    <t>Abrham Bogale W/Giorgis /Ato/</t>
  </si>
  <si>
    <t>አብርሃም ቦጋለ ወ/ጊዮርጊስ /አቶ/</t>
  </si>
  <si>
    <t>0911-915866</t>
  </si>
  <si>
    <t>0829</t>
  </si>
  <si>
    <t>0830</t>
  </si>
  <si>
    <t>Abrham Dese Doyo /Ato/</t>
  </si>
  <si>
    <t>አብርሃም ደሴ ዶዮ /አቶ/ሠ</t>
  </si>
  <si>
    <t>0831</t>
  </si>
  <si>
    <t>Abrham Didasa /Ato/</t>
  </si>
  <si>
    <t>አብርሃም ድዳሳ /አቶ/</t>
  </si>
  <si>
    <t>0832</t>
  </si>
  <si>
    <t>Abrham Dilnesa Engda /Ato/</t>
  </si>
  <si>
    <t>አብርሃም ድለሣ እንግዳ /አቶ/</t>
  </si>
  <si>
    <t>0928-709995</t>
  </si>
  <si>
    <t>0833</t>
  </si>
  <si>
    <t>Abrham Fikadu Takele /Ato/</t>
  </si>
  <si>
    <t>አብርሃም ፍቃዱ ታከለ /አቶ/</t>
  </si>
  <si>
    <t>0910-620914</t>
  </si>
  <si>
    <t>0834</t>
  </si>
  <si>
    <t>0835</t>
  </si>
  <si>
    <t>Abrham Girma Mamo  /Ato/</t>
  </si>
  <si>
    <t>አብርሃም ግርማ ማሞ /አቶ/</t>
  </si>
  <si>
    <t>0836</t>
  </si>
  <si>
    <t>Abrham Kassa /Ato/</t>
  </si>
  <si>
    <t>አብርሃም ካሳ /አቶ/</t>
  </si>
  <si>
    <t>0837</t>
  </si>
  <si>
    <t>Abrham Kebede /Ato/ For Bamlak Abrham /Minor/</t>
  </si>
  <si>
    <t>አብርሃም ከበደ /አቶ/ ለባምላክ አብርሃም /ህፃን/</t>
  </si>
  <si>
    <t>0912-804724</t>
  </si>
  <si>
    <t>0838</t>
  </si>
  <si>
    <t>Abrham Ketema Lemma /Ato/</t>
  </si>
  <si>
    <t>አብርሀም ከተማ ለማ /አቶ/</t>
  </si>
  <si>
    <t>0839</t>
  </si>
  <si>
    <t>0840</t>
  </si>
  <si>
    <t>Abrham Melaku Abebe /Ato/</t>
  </si>
  <si>
    <t>አብርሃም መላኩ አበበ /አቶ/</t>
  </si>
  <si>
    <t>0916-354583</t>
  </si>
  <si>
    <t>0841</t>
  </si>
  <si>
    <t>Abrham Mggbaru Tadesse /Ato/</t>
  </si>
  <si>
    <t>አብርሃም ምግባሩ ታደሰ /አቶ/</t>
  </si>
  <si>
    <t>0989-984600</t>
  </si>
  <si>
    <t>0842</t>
  </si>
  <si>
    <t>0843</t>
  </si>
  <si>
    <t>Abrham Million Awgchew /Ato/</t>
  </si>
  <si>
    <t>አብርሀም ሚሊዮን አውግቻው /አቶ/</t>
  </si>
  <si>
    <t>0844</t>
  </si>
  <si>
    <t>Abrham Muluken Binalfew /Ato/</t>
  </si>
  <si>
    <t>አብርሃም ሙሉቀን ብናልፈዉ /አቶ/</t>
  </si>
  <si>
    <t>0915-570831</t>
  </si>
  <si>
    <t>0845</t>
  </si>
  <si>
    <t>Abrham Samuel Kebede /Ato/</t>
  </si>
  <si>
    <t>አብርሃም ሣሙኤል ከበደ /አቶ/</t>
  </si>
  <si>
    <t>0846</t>
  </si>
  <si>
    <t>Abrham Shewarega Kerta /Ato/</t>
  </si>
  <si>
    <t>አብርሃም ሸዋረጋ ኬረታ /አቶ/</t>
  </si>
  <si>
    <t>0847</t>
  </si>
  <si>
    <t xml:space="preserve">Abrham Tadele Mengistu /Ato/ </t>
  </si>
  <si>
    <t>አብርሃም ታደለ መንግስቱ /አቶ/</t>
  </si>
  <si>
    <t>0921-237181</t>
  </si>
  <si>
    <t>0848</t>
  </si>
  <si>
    <t>Abrham Teka Teji  /Ato/</t>
  </si>
  <si>
    <t>አብርሀም ተካ ተጂ /አቶ/</t>
  </si>
  <si>
    <t>0911-205070</t>
  </si>
  <si>
    <t>0849</t>
  </si>
  <si>
    <t>Abrham Tilahun Abebe /Ato/</t>
  </si>
  <si>
    <t>አብረሃም ጥላሁን አበበ /አቶ/</t>
  </si>
  <si>
    <t>0926-828356</t>
  </si>
  <si>
    <t>birikt21@gmail.com</t>
  </si>
  <si>
    <t>0850</t>
  </si>
  <si>
    <t>Abrham Umuluka Dondo /Ato/</t>
  </si>
  <si>
    <t>አብርሃም ኡሙሉካ ዶንዶ /አቶ/</t>
  </si>
  <si>
    <t>0851</t>
  </si>
  <si>
    <t>Abrham Yohannes Mideksa  /Ato/</t>
  </si>
  <si>
    <t>አብርሃም ዮሐንስ ሚዲቅሳ /አቶ/</t>
  </si>
  <si>
    <t>0911-332979</t>
  </si>
  <si>
    <t>0852</t>
  </si>
  <si>
    <t>Abriham Arja /Ato/</t>
  </si>
  <si>
    <t>አብርሃም አራጃ /አቶ/</t>
  </si>
  <si>
    <t>0965-530771</t>
  </si>
  <si>
    <t>0853</t>
  </si>
  <si>
    <t>Abriham Assefa Anka /Ato/</t>
  </si>
  <si>
    <t>አብርሃም አሰፋ አንካ /አቶ/</t>
  </si>
  <si>
    <t>0854</t>
  </si>
  <si>
    <t>Abriham Ayele /Ato/</t>
  </si>
  <si>
    <t>0923-405329</t>
  </si>
  <si>
    <t>0855</t>
  </si>
  <si>
    <t>Abriham Bekele Beka /Ato/</t>
  </si>
  <si>
    <t>አብርሃም በቀለ በቃ /አቶ/</t>
  </si>
  <si>
    <t>0913-568484</t>
  </si>
  <si>
    <t>0856</t>
  </si>
  <si>
    <t>0857</t>
  </si>
  <si>
    <t>Abriham Gona Mana /Ato/</t>
  </si>
  <si>
    <t>አብርሃም ጎና ማና /አቶ/</t>
  </si>
  <si>
    <t>0928-682903</t>
  </si>
  <si>
    <t>0858</t>
  </si>
  <si>
    <t>Abriham Lamore /Ato/</t>
  </si>
  <si>
    <t>አብርሃም ላሞሬ /አቶ/</t>
  </si>
  <si>
    <t>0947-967185</t>
  </si>
  <si>
    <t>0859</t>
  </si>
  <si>
    <t>Abriham Moges Moja /Ato/</t>
  </si>
  <si>
    <t>አብርሃም ሞገስ ሞጃ /አቶ/</t>
  </si>
  <si>
    <t>0860</t>
  </si>
  <si>
    <t>Abriham Shala Nurie /Ato/</t>
  </si>
  <si>
    <t>አብርሃም ሸላ ኑሬ /አቶ/</t>
  </si>
  <si>
    <t>ሲዳማ</t>
  </si>
  <si>
    <t>0861</t>
  </si>
  <si>
    <t>Abriham Tesema Abebe / Ato/</t>
  </si>
  <si>
    <t>አብርሀም ተሰማ አበበ /አቶ/</t>
  </si>
  <si>
    <t>0862</t>
  </si>
  <si>
    <t>Abtamu Abe Shake /Ato/</t>
  </si>
  <si>
    <t>አብታሙ አቤ ሹኬ /አቶ/</t>
  </si>
  <si>
    <t>0863</t>
  </si>
  <si>
    <t>Abtew Belachew T/Wolde /Ato/</t>
  </si>
  <si>
    <t>አብጠው በላችው ት/ወልድ /አቶ/</t>
  </si>
  <si>
    <t>0864</t>
  </si>
  <si>
    <t>Abu Tebabal Ylehal /Ato/</t>
  </si>
  <si>
    <t xml:space="preserve"> አቡ ተባባል ይልሃል  /አቶ/</t>
  </si>
  <si>
    <t>0865</t>
  </si>
  <si>
    <t>Abubakar Yasin Yazid/Ato/</t>
  </si>
  <si>
    <t>አቡበከር ያሲን ያዚድ/አቶ/</t>
  </si>
  <si>
    <t>0866</t>
  </si>
  <si>
    <t>Abubeker Ali Mohammed /Ato/</t>
  </si>
  <si>
    <t>አቡበክር አሊ መሀመድ /አቶ/</t>
  </si>
  <si>
    <t>0867</t>
  </si>
  <si>
    <t>Abubeker Hussen Hassen /Ato/</t>
  </si>
  <si>
    <t>አቡበከር ሁሴን ሀሰን /አቶ/</t>
  </si>
  <si>
    <t>0910-217799</t>
  </si>
  <si>
    <t>0868</t>
  </si>
  <si>
    <t>Abubeker Musa Yasin /Ato/</t>
  </si>
  <si>
    <t>አቡበከር ሙሣ ያሲን /አቶ/</t>
  </si>
  <si>
    <t>0911-958673</t>
  </si>
  <si>
    <t>0869</t>
  </si>
  <si>
    <t>Abubeker Osman Ahemed /Ato/</t>
  </si>
  <si>
    <t>አቡበከር ኦስማን አህመድ /አቶ/</t>
  </si>
  <si>
    <t>0913-794437</t>
  </si>
  <si>
    <t>0870</t>
  </si>
  <si>
    <t>Abubeker Rahmeto Mahmed /Ato/</t>
  </si>
  <si>
    <t>አቡበከር ራህመቶ መሀመድ /አቶ/</t>
  </si>
  <si>
    <t>0961-068977</t>
  </si>
  <si>
    <t>0871</t>
  </si>
  <si>
    <t>Abubeker Seid Abdela /Ato/</t>
  </si>
  <si>
    <t>አቡበክር ሰይድ አብደላ /አቶ/</t>
  </si>
  <si>
    <t>0931-711876</t>
  </si>
  <si>
    <t>0872</t>
  </si>
  <si>
    <t>Abuhay Beyene Achenef /Ato/</t>
  </si>
  <si>
    <t>አቡሃይ በየና አቸንፊ /አቶ/</t>
  </si>
  <si>
    <t>0873</t>
  </si>
  <si>
    <t>Abulbasit Shekedir /Ato/</t>
  </si>
  <si>
    <t>አቡልባስት ሽከዲር /አቶ /</t>
  </si>
  <si>
    <t>0917-371547</t>
  </si>
  <si>
    <t>0874</t>
  </si>
  <si>
    <t>Abule Hayeso Humeso /Ato/</t>
  </si>
  <si>
    <t>አቡሌ ሐይሶ /አቶ/</t>
  </si>
  <si>
    <t>0875</t>
  </si>
  <si>
    <t>Abulo Arbe Dea /Ato/</t>
  </si>
  <si>
    <t>አቡሎ አርቤ ዴአ /አቶ/</t>
  </si>
  <si>
    <t>0924-047472</t>
  </si>
  <si>
    <t>0876</t>
  </si>
  <si>
    <t>Abune Dires Ayele /Ato/</t>
  </si>
  <si>
    <t>አቡነ ድረስ አየለ  /አቶ/</t>
  </si>
  <si>
    <t>0877</t>
  </si>
  <si>
    <t>Abush Bekele Talele /Ato/</t>
  </si>
  <si>
    <t>አቡሽ በቀለ ታለለ /አቶ/</t>
  </si>
  <si>
    <t>0878</t>
  </si>
  <si>
    <t>Abush Borsamo /Ato/</t>
  </si>
  <si>
    <t>አቡሸ ቦርሳሞ /አቶ/</t>
  </si>
  <si>
    <t>0879</t>
  </si>
  <si>
    <t>Abush Dilgasa Jigsa /Ato/</t>
  </si>
  <si>
    <t>አቡሽ ድልጌሳ ጂግሳ /አቶ/</t>
  </si>
  <si>
    <t>0913-629870</t>
  </si>
  <si>
    <t>abushjig@gmail.com</t>
  </si>
  <si>
    <t>0880</t>
  </si>
  <si>
    <t>Abush Woreku Ayano /Ato/</t>
  </si>
  <si>
    <t>አቡሽ ወርቁ አያኖ /አቶ/</t>
  </si>
  <si>
    <t>0881</t>
  </si>
  <si>
    <t>Abushe Adisu Belaye /Ato/</t>
  </si>
  <si>
    <t>አቡሸ አዲሱ በላይ /አቶ/</t>
  </si>
  <si>
    <t>0912-790574</t>
  </si>
  <si>
    <t>0882</t>
  </si>
  <si>
    <t>Abushe Kercho Garemamo /Ato/</t>
  </si>
  <si>
    <t>አቡሼ ቀርቾ ጋረማሞ /አቶ/</t>
  </si>
  <si>
    <t>0883</t>
  </si>
  <si>
    <t>Abushi Asaye Ano /Ato/</t>
  </si>
  <si>
    <t>አቡሽ አሳሌ አኖ /አቶ/</t>
  </si>
  <si>
    <t>0925-441434</t>
  </si>
  <si>
    <t>0884</t>
  </si>
  <si>
    <t>Abushi Asfaw Alemayehu /Ato/</t>
  </si>
  <si>
    <t>አቡሽ አስፋው አለማየሁ /አቶ/</t>
  </si>
  <si>
    <t>0968-988972</t>
  </si>
  <si>
    <t>0885</t>
  </si>
  <si>
    <t>Abuti Adasa /Ato/</t>
  </si>
  <si>
    <t>አቡቲ አዳሳ /አቶ/</t>
  </si>
  <si>
    <t>0988-915067</t>
  </si>
  <si>
    <t>0886</t>
  </si>
  <si>
    <t>Abuye Adare Gibo /Ato/</t>
  </si>
  <si>
    <t>አቡዬ አዳሬ ግቦ /አቶ/</t>
  </si>
  <si>
    <t>0887</t>
  </si>
  <si>
    <t>Abuye awago Atto /Ato/</t>
  </si>
  <si>
    <t>አቡዬ አዋጎ አቶ /አቶ/</t>
  </si>
  <si>
    <t>D/m</t>
  </si>
  <si>
    <t>0888</t>
  </si>
  <si>
    <t>Abuye Gebre Abeto /Ato/</t>
  </si>
  <si>
    <t>አቡዬ ገብረ አቤቶ /አቶ/</t>
  </si>
  <si>
    <t>0889</t>
  </si>
  <si>
    <t>Abuye Gisila Deker /Ato/</t>
  </si>
  <si>
    <t>አቡየ ጋሰላ ድክር /አቶ/</t>
  </si>
  <si>
    <t>0890</t>
  </si>
  <si>
    <t>Abyot Abayneh Belachew /Ato/</t>
  </si>
  <si>
    <t>አቢዮት አባይነህ በላቸው /አቶ/</t>
  </si>
  <si>
    <t>0986-021093</t>
  </si>
  <si>
    <t>0891</t>
  </si>
  <si>
    <t>Abyot Derza Gebre /Ato/ And/or Asrat Dumale Duka /W/o/</t>
  </si>
  <si>
    <t>አብዮት ደርዛ ገብሬ /አቶ/ እና/ወይም አስራት ዱማሌ ዱቃ /ወ/ሮ/</t>
  </si>
  <si>
    <t>0892</t>
  </si>
  <si>
    <t>Acenefe Asahgrei Mulu</t>
  </si>
  <si>
    <t>አችነፍ አሽግር ሙሉ  /አቶ/</t>
  </si>
  <si>
    <t>0893</t>
  </si>
  <si>
    <t>Acha Kindo Kiro /Ato/</t>
  </si>
  <si>
    <t>አጫ ክንዶ ክሮ /አቶ/</t>
  </si>
  <si>
    <t>0894</t>
  </si>
  <si>
    <t>Acha Shibire Meshesha /Ato/</t>
  </si>
  <si>
    <t>አቻ ሸብሬ መሸሻ /አቶ/</t>
  </si>
  <si>
    <t>0910-458262</t>
  </si>
  <si>
    <t>0895</t>
  </si>
  <si>
    <t>Acham Eejigu Abeshe /W/O/</t>
  </si>
  <si>
    <t>አቻም እጅጉ አበሸ /ወ/ሮ/</t>
  </si>
  <si>
    <t>0896</t>
  </si>
  <si>
    <t>Achamyelesh Asaye /W/o/ For Eliyana Solomon /Minor/</t>
  </si>
  <si>
    <t>አቻምየለሽ አሳዬ /ወ/ሮ/ ለኤሊያና ሰለሞን /ህፃን/</t>
  </si>
  <si>
    <t>0917-009135</t>
  </si>
  <si>
    <t>0897</t>
  </si>
  <si>
    <t>Achamyelesh Paulos /W/o/</t>
  </si>
  <si>
    <t>አቻምየለሽ ጳዉሎስ /ወ/ሮ/</t>
  </si>
  <si>
    <t>0912-300352</t>
  </si>
  <si>
    <t>0898</t>
  </si>
  <si>
    <t>Achamylesh Muleta Gelelcha /W/o/</t>
  </si>
  <si>
    <t>አቻምየለሽ ሙለታ ገለልቻ /ወ/ሮ/</t>
  </si>
  <si>
    <t>0899</t>
  </si>
  <si>
    <t>Achenafi Alene Alemu /Ato/</t>
  </si>
  <si>
    <t>አሸናፊ አለነ አለሙ /አቶ/</t>
  </si>
  <si>
    <t>0900</t>
  </si>
  <si>
    <t>Achenef Fenta Gedif /Ato/</t>
  </si>
  <si>
    <t>አቸንፍ ፈንታ ገዲፍ /አቶ/</t>
  </si>
  <si>
    <t>0901</t>
  </si>
  <si>
    <t>Achenef Tila Asires /Ato/</t>
  </si>
  <si>
    <t>አቸነፊ ጥላ አስረስ /አቶ/</t>
  </si>
  <si>
    <t>NO NUMBER</t>
  </si>
  <si>
    <t>0902</t>
  </si>
  <si>
    <t>Achenef Tsehay /Ato/</t>
  </si>
  <si>
    <t>አቸንፍ ፀሀይ /አቶ/</t>
  </si>
  <si>
    <t>0903</t>
  </si>
  <si>
    <t>Adafrie Tsehay Mersha /Ato/</t>
  </si>
  <si>
    <t>አዳፈሬ ፀሀይ መርሻ /አቶ/</t>
  </si>
  <si>
    <t>0904</t>
  </si>
  <si>
    <t>Adala Mokona /Ato/</t>
  </si>
  <si>
    <t>አደላ ሞኮና /አቶ/</t>
  </si>
  <si>
    <t>0905</t>
  </si>
  <si>
    <t>Adalo Ayza Akako /Ato/</t>
  </si>
  <si>
    <t xml:space="preserve">አዳሎ አይዛ አካኮ /አቶ/ </t>
  </si>
  <si>
    <t>0906</t>
  </si>
  <si>
    <t>Adam  Baylegn W/Senbet /Ato/</t>
  </si>
  <si>
    <t>አዳም ባይለኝ ወ/ሰንበት /አቶ/</t>
  </si>
  <si>
    <t>0907</t>
  </si>
  <si>
    <t>0908</t>
  </si>
  <si>
    <t>Adam Mekonen Engeda /D/r/</t>
  </si>
  <si>
    <t>አዳም መኮንን እንግዳ /ዶ/ር</t>
  </si>
  <si>
    <t>0937-405870</t>
  </si>
  <si>
    <t>0909</t>
  </si>
  <si>
    <t>Adam Tegegne Emiru /Ato/</t>
  </si>
  <si>
    <t>አዳም ተገኘ እምሩ /አቶ/</t>
  </si>
  <si>
    <t>0910</t>
  </si>
  <si>
    <t>Adam Wondwosen Wassihun /Ato/</t>
  </si>
  <si>
    <t>አዳም ወንድወሰን ዋሲሁን /አቶ/</t>
  </si>
  <si>
    <t>0911</t>
  </si>
  <si>
    <t>Adama Bancha Belete /Ato/</t>
  </si>
  <si>
    <t>አዳማ ባንቻ በለጠ /አቶ/</t>
  </si>
  <si>
    <t>0912</t>
  </si>
  <si>
    <t>Adama Muna Adare /Ato/</t>
  </si>
  <si>
    <t>አደማ ሙና አዳሬ /አቶ/</t>
  </si>
  <si>
    <t>0913</t>
  </si>
  <si>
    <t>Adame Agito Hajito /Ato/</t>
  </si>
  <si>
    <t>አዳሜ አጊቶ ሀጂቶ /አቶ/</t>
  </si>
  <si>
    <t>0914</t>
  </si>
  <si>
    <t>Adame Alebachwe Desta /Ato/</t>
  </si>
  <si>
    <t>አዳመ አለባቸው ደስታ /አቶ/</t>
  </si>
  <si>
    <t>0915</t>
  </si>
  <si>
    <t>Adame Matebie Tufa /Ato/</t>
  </si>
  <si>
    <t xml:space="preserve">አዳም ማተቤ ቱፋ /አቶ/ </t>
  </si>
  <si>
    <t>0940-600690</t>
  </si>
  <si>
    <t>0916</t>
  </si>
  <si>
    <t xml:space="preserve">Adamit Abiyu Amare /Ato/ </t>
  </si>
  <si>
    <t xml:space="preserve"> አዳምጥ አብዩ አማረ /አቶ/</t>
  </si>
  <si>
    <t>0917</t>
  </si>
  <si>
    <t>Adamo Alanibo Mase /Ato/</t>
  </si>
  <si>
    <t>አዳሞ አላንቦ ማሴ /አቶ/</t>
  </si>
  <si>
    <t>0928-976028</t>
  </si>
  <si>
    <t>0918</t>
  </si>
  <si>
    <t>Adamo Aro Ale /Ato/</t>
  </si>
  <si>
    <t>አዳሞ አሮ አለ /አቶ/</t>
  </si>
  <si>
    <t>0919</t>
  </si>
  <si>
    <t>Adamu Asfaw Solomon /Ato/</t>
  </si>
  <si>
    <t>አዳሙ አስፋዉ ሰለሞን /አቶ/</t>
  </si>
  <si>
    <t>0920</t>
  </si>
  <si>
    <t>Adamu Ashagre Mengesha /Ato/</t>
  </si>
  <si>
    <t>አዳሙ አሻግሬ መንገሻ /አቶ/</t>
  </si>
  <si>
    <t>0948-596345</t>
  </si>
  <si>
    <t>adashamen@yahoo.com</t>
  </si>
  <si>
    <t>0921</t>
  </si>
  <si>
    <t>Adamu Ayal Anbaw (Ato)</t>
  </si>
  <si>
    <t>አዳሙ አያል አንባው   /አቶ/</t>
  </si>
  <si>
    <t>0922</t>
  </si>
  <si>
    <t>Adamu Berhane Ayele /Ato/</t>
  </si>
  <si>
    <t>አዳሙ ብርሃነ አየለ /አቶ/</t>
  </si>
  <si>
    <t>0923</t>
  </si>
  <si>
    <t>Adamu Gete Wagada /Ato/</t>
  </si>
  <si>
    <t>አዳሙ ጌቴ ዋጋዳ /አቶ/</t>
  </si>
  <si>
    <t>0924</t>
  </si>
  <si>
    <t>Adamu Geto Mengiste /Ato/</t>
  </si>
  <si>
    <t>አዳሙ ጌቶ መንግስቴ /አቶ/</t>
  </si>
  <si>
    <t>0925</t>
  </si>
  <si>
    <t>Adamu Haile Macho /Ato/</t>
  </si>
  <si>
    <t>አዳሙ ሀይሌ ማቾ /አቶ/</t>
  </si>
  <si>
    <t>0926</t>
  </si>
  <si>
    <t>Adamu Halele Zema /Ato/</t>
  </si>
  <si>
    <t>አዳሙ ሀለሌ ዜማ /አቶ/</t>
  </si>
  <si>
    <t>0927</t>
  </si>
  <si>
    <t>Adamu Kassie Workie  /Ato/</t>
  </si>
  <si>
    <t>አዳሙ ካሴ ወርቄ /አቶ/</t>
  </si>
  <si>
    <t>0987-127588</t>
  </si>
  <si>
    <t>ameleworktesfaye@yahoo.com</t>
  </si>
  <si>
    <t>0928</t>
  </si>
  <si>
    <t>Adamu Shewafera Tadie /Ato/</t>
  </si>
  <si>
    <t>አደሙ ሸዋፈራ ታዴ /አቶ/</t>
  </si>
  <si>
    <t>0913-799159</t>
  </si>
  <si>
    <t>0929</t>
  </si>
  <si>
    <t>Adamu Shiferaw Debela (Ato)</t>
  </si>
  <si>
    <t>አዳሙ ሽፈራው ደበላ  /አቶ/</t>
  </si>
  <si>
    <t>0930</t>
  </si>
  <si>
    <t>Adamu Tefera Teklesemayet /Ato/</t>
  </si>
  <si>
    <t>አዳሙ ተፈራ ተክለሰማያት /አቶ/</t>
  </si>
  <si>
    <t>0911-816150</t>
  </si>
  <si>
    <t>0931</t>
  </si>
  <si>
    <t>Adan Yetemegn  Belay /Ato/</t>
  </si>
  <si>
    <t>አዳነ የተመኝ በላይ /አቶ/</t>
  </si>
  <si>
    <t>0983-572542</t>
  </si>
  <si>
    <t>0932</t>
  </si>
  <si>
    <t>Adane Amalo /Ato/</t>
  </si>
  <si>
    <t>አዳነ አማሎ /አቶ/</t>
  </si>
  <si>
    <t xml:space="preserve"> ሲዳማ</t>
  </si>
  <si>
    <t>0933</t>
  </si>
  <si>
    <t>Adane Andarege Tsega /Ato/</t>
  </si>
  <si>
    <t>አዳነ አንዳርጌ ጸጋ /አቶ/</t>
  </si>
  <si>
    <t>0934</t>
  </si>
  <si>
    <t>Adane Asmare Tesema /Ato/</t>
  </si>
  <si>
    <t>አዳነ አስማረ ተሰማ /አቶ/</t>
  </si>
  <si>
    <t>0935</t>
  </si>
  <si>
    <t>Adane Aychew Buzuneh /Ato/</t>
  </si>
  <si>
    <t>አዳነ አይቸው ቡዙነህ /አቶ/</t>
  </si>
  <si>
    <t>0936</t>
  </si>
  <si>
    <t>Adane Ayele /Ato/</t>
  </si>
  <si>
    <t>አዳኔ አየለ /አቶ/</t>
  </si>
  <si>
    <t>0937-797739</t>
  </si>
  <si>
    <t>0937</t>
  </si>
  <si>
    <t>Adane Ayenew Kafie /Ato/</t>
  </si>
  <si>
    <t>አደነ አየነው ካፌ /አቶ/</t>
  </si>
  <si>
    <t>0938</t>
  </si>
  <si>
    <t xml:space="preserve">Adane Bake Biru /Ato/ </t>
  </si>
  <si>
    <t>አዳና ባኬ ብሩ /አቶ/</t>
  </si>
  <si>
    <t>0900-606290</t>
  </si>
  <si>
    <t>0939</t>
  </si>
  <si>
    <t>Adane Behailu Ereta /Ato/</t>
  </si>
  <si>
    <t>አደነ በሀይሉ እርታ /አቶ/</t>
  </si>
  <si>
    <t>0940</t>
  </si>
  <si>
    <t>Adane Belay Ayalew / Ato/</t>
  </si>
  <si>
    <t>አዳነ በላይ አያሌው /አቶ/</t>
  </si>
  <si>
    <t>0941</t>
  </si>
  <si>
    <t>Adane Dagnaw Delele /Ato/</t>
  </si>
  <si>
    <t>አዳነ ደኛው ደለለ /አቶ/</t>
  </si>
  <si>
    <t>0926-929737</t>
  </si>
  <si>
    <t>0942</t>
  </si>
  <si>
    <t>Adane Dawit /Ato/</t>
  </si>
  <si>
    <t>አዳን ዳዊት /አቶ/</t>
  </si>
  <si>
    <t>0916-299555</t>
  </si>
  <si>
    <t>0943</t>
  </si>
  <si>
    <t>0944</t>
  </si>
  <si>
    <t>Adane Degaga Asfaw /Ato/</t>
  </si>
  <si>
    <t>አዳነ ደጋጋ አስፋዉ /አቶ/</t>
  </si>
  <si>
    <t>0911-807007</t>
  </si>
  <si>
    <t>meseretgudetafio@yahoo.com</t>
  </si>
  <si>
    <t>0945</t>
  </si>
  <si>
    <t>Adane Demelew Tefera / Ato/</t>
  </si>
  <si>
    <t>አዳነ ደምለው ተፈራ /አቶ/</t>
  </si>
  <si>
    <t>0946</t>
  </si>
  <si>
    <t>Adane Desse /Ato/</t>
  </si>
  <si>
    <t>አዳነ ደሴ /አቶ/</t>
  </si>
  <si>
    <t>0962-712641</t>
  </si>
  <si>
    <t>0947</t>
  </si>
  <si>
    <t>Adane Doda Negaye /Ato/</t>
  </si>
  <si>
    <t>አዳነ ዶዳ ነገዬ /አቶ/</t>
  </si>
  <si>
    <t>0994-422746</t>
  </si>
  <si>
    <t>0948</t>
  </si>
  <si>
    <t>Adane Engedaw /Kes/</t>
  </si>
  <si>
    <t xml:space="preserve"> አዳነ እንግዳው ጣሴ/ቄስ/</t>
  </si>
  <si>
    <t>0949</t>
  </si>
  <si>
    <t>Adane Ferede Alen /Ato/</t>
  </si>
  <si>
    <t>አዳነ ፈርደ አለነ /አቶ/</t>
  </si>
  <si>
    <t>0970-370131</t>
  </si>
  <si>
    <t>0950</t>
  </si>
  <si>
    <t>Adane Gedil Ayehu /Ato/</t>
  </si>
  <si>
    <t>አዳነ ገድል አየሁ /አቶ/</t>
  </si>
  <si>
    <t>0951</t>
  </si>
  <si>
    <t>Adane Hoyeso Horsa /Ato/</t>
  </si>
  <si>
    <t>አደኔ ሆያሶ  ሆርስ /አቶ/</t>
  </si>
  <si>
    <t>0976-970066/0968-044565</t>
  </si>
  <si>
    <t>0952</t>
  </si>
  <si>
    <t>Adane Kesikesi Asaye /Ato/</t>
  </si>
  <si>
    <t>አዳነ ቀስቅስ አሳዬ /አቶ/</t>
  </si>
  <si>
    <t>0953</t>
  </si>
  <si>
    <t>Adane M. Gebresenbet /Ato/</t>
  </si>
  <si>
    <t>አዳነ መ. ገብረሰንበት /አቶ/</t>
  </si>
  <si>
    <t>0916-575728</t>
  </si>
  <si>
    <t>amademu17@gmail.com</t>
  </si>
  <si>
    <t>0954</t>
  </si>
  <si>
    <t>Adane Meleke Tizazu / Ato/</t>
  </si>
  <si>
    <t>አዳነ መልአከ ትዛዙ /አቶ/</t>
  </si>
  <si>
    <t>0955</t>
  </si>
  <si>
    <t>Adane Mesfin Tamen /Ato/</t>
  </si>
  <si>
    <t>አዳነ መስፍን ታመነ /አቶ/</t>
  </si>
  <si>
    <t>0918-504401</t>
  </si>
  <si>
    <t xml:space="preserve">አማራ </t>
  </si>
  <si>
    <t>0956</t>
  </si>
  <si>
    <t>Adane Muche Belay /Ato/</t>
  </si>
  <si>
    <t>አዳነ ሙጨ በላይ /አቶ/</t>
  </si>
  <si>
    <t>0957</t>
  </si>
  <si>
    <t>Adane Sintayehu Teshale /Ato/</t>
  </si>
  <si>
    <t>አዳነ ስንታየሁ ተሻለ /አቶ/</t>
  </si>
  <si>
    <t>0912-985595</t>
  </si>
  <si>
    <t>0958</t>
  </si>
  <si>
    <t>Adane Tafese Hayle /Ato/</t>
  </si>
  <si>
    <t>አዳነ ታፈሠ ኃይሌ /አቶ/</t>
  </si>
  <si>
    <t>0941-712864</t>
  </si>
  <si>
    <t>0959</t>
  </si>
  <si>
    <t>Adane Tasew Gedamu /Ato/</t>
  </si>
  <si>
    <t>አዳነ ጣሰዉ ገደሙ /አቶ/</t>
  </si>
  <si>
    <t>0960</t>
  </si>
  <si>
    <t>Adane Tule Jawa /Ato/</t>
  </si>
  <si>
    <t>አደነ ቱሌ ጀዋ /አቶ/</t>
  </si>
  <si>
    <t>0961</t>
  </si>
  <si>
    <t>Adane Wakayo /Ato/</t>
  </si>
  <si>
    <t>አዳነ ዋቃዮ /አቶ/</t>
  </si>
  <si>
    <t>0916-371411</t>
  </si>
  <si>
    <t>0962</t>
  </si>
  <si>
    <t>Adane Yibkaw Abrham  /Ato/</t>
  </si>
  <si>
    <t>አዳነ ይብቃዉ አብርሀም /አቶ/</t>
  </si>
  <si>
    <t>0984-745831</t>
  </si>
  <si>
    <t>kibitea@yahoo.com</t>
  </si>
  <si>
    <t>0963</t>
  </si>
  <si>
    <t>Adane Zelalem Amar /Ato/</t>
  </si>
  <si>
    <t>አዳነ ዘላለም አማር /አቶ/</t>
  </si>
  <si>
    <t>0964</t>
  </si>
  <si>
    <t>Adanech Ayele W/Mariam /W/o/</t>
  </si>
  <si>
    <t>አዳነች አየለ ወ/ማርያም /ወ/ሮ/</t>
  </si>
  <si>
    <t>0965</t>
  </si>
  <si>
    <t>Adanech Baligo Masa /Ato/</t>
  </si>
  <si>
    <t>አደነች ባልጎ  ማሳ /አቶ/</t>
  </si>
  <si>
    <t>0966</t>
  </si>
  <si>
    <t xml:space="preserve">Adanech Chala Jara /W/o/ </t>
  </si>
  <si>
    <t>አዳነች ጫላ ጃራ /ወ/ሮ/</t>
  </si>
  <si>
    <t>0967</t>
  </si>
  <si>
    <t>Adanech Damena Dadi /W/o/</t>
  </si>
  <si>
    <t>አዳነች ዳመና ዳዲ /ወ/ሮ/</t>
  </si>
  <si>
    <t>0911-303819</t>
  </si>
  <si>
    <t>bihizewge36@gmail.com</t>
  </si>
  <si>
    <t>0968</t>
  </si>
  <si>
    <t>Adanech Egedo Tantu /W/O/</t>
  </si>
  <si>
    <t>አዳነች አጌዶ ታንቱ /ወ/ሮ/</t>
  </si>
  <si>
    <t>0912-425477</t>
  </si>
  <si>
    <t>0969</t>
  </si>
  <si>
    <t>0970</t>
  </si>
  <si>
    <t>0971</t>
  </si>
  <si>
    <t>Adanech Terefe Tura /W/o/</t>
  </si>
  <si>
    <t>አዳነች ተረፈ ቱራ /ወ/ሮ/</t>
  </si>
  <si>
    <t>0912-885176
0919-903771</t>
  </si>
  <si>
    <t>adanechtura1@hotmail</t>
  </si>
  <si>
    <t>0972</t>
  </si>
  <si>
    <t>Adanech Tesfaye /W/o/ for Bezawit  and Arsema Endalkachew /Minor/</t>
  </si>
  <si>
    <t>አዳነች ተስፋዬ /ወ/ሮ/ ለቤዛዊት እና አርሴማ እንዳልካቸው /ህፃን/</t>
  </si>
  <si>
    <t>0911-636034</t>
  </si>
  <si>
    <t>0973</t>
  </si>
  <si>
    <t>Adanech Wedajo Yaregal /W/o/</t>
  </si>
  <si>
    <t xml:space="preserve"> አዳነች ወዳጆ ያረጋል /ወ/ሮ/</t>
  </si>
  <si>
    <t>0913-481593</t>
  </si>
  <si>
    <t>0974</t>
  </si>
  <si>
    <t>Adanech Wendmkun /W/o/</t>
  </si>
  <si>
    <t>አዳነች ወንድምኩን /ወ/ሮ/</t>
  </si>
  <si>
    <t>0922-168508</t>
  </si>
  <si>
    <t>adanechwendmkun@gmail.com</t>
  </si>
  <si>
    <t>0975</t>
  </si>
  <si>
    <t>Adanech Yohans Fareso /W/O</t>
  </si>
  <si>
    <t>አዳነች ዮሃንስ ፋረሶ /አቶ/</t>
  </si>
  <si>
    <t>0916-942689</t>
  </si>
  <si>
    <t>0976</t>
  </si>
  <si>
    <t>Adaneche Alemu /W/O/</t>
  </si>
  <si>
    <t>አዳነች አለሙ /ወ/ሮ/</t>
  </si>
  <si>
    <t>0977</t>
  </si>
  <si>
    <t>Adaneche Beyene Ulete /Ato/</t>
  </si>
  <si>
    <t>አዳነች በየነ ኡለቴ /አቶ/</t>
  </si>
  <si>
    <t>0978</t>
  </si>
  <si>
    <t>Adaneche Bonekie Boa /W/O/</t>
  </si>
  <si>
    <t>አዳነች ቦንኬ ቦአ /ወ/ሮ/</t>
  </si>
  <si>
    <t>0920-673122</t>
  </si>
  <si>
    <t>0979</t>
  </si>
  <si>
    <t>Adaneche Dawit Mihiretu /W/O</t>
  </si>
  <si>
    <t>አዳነች ዳዊት ምህረቱ /ወ/ሮ/</t>
  </si>
  <si>
    <t>0928-251090</t>
  </si>
  <si>
    <t>0980</t>
  </si>
  <si>
    <t>Adaneche G/giyoregis /w/o</t>
  </si>
  <si>
    <t>አዳነች ገ/ጊዮርጊስ /ወ/ወ</t>
  </si>
  <si>
    <t>0981</t>
  </si>
  <si>
    <t>Adare Gibo Cheto /Ato/</t>
  </si>
  <si>
    <t>አዳሬ ጊቦ ቼቶ /አቶ/</t>
  </si>
  <si>
    <t>0982</t>
  </si>
  <si>
    <t>Adbar Mulu Akalu /Ato/</t>
  </si>
  <si>
    <t>አድባር ሙሉ አካሉ /አቶ/</t>
  </si>
  <si>
    <t>0983</t>
  </si>
  <si>
    <t>Adbaru Tesfi Sisay /Ato/</t>
  </si>
  <si>
    <t>አድባሩ ተስፊ ሲሳይ /አቶ/</t>
  </si>
  <si>
    <t>0984</t>
  </si>
  <si>
    <t>Addie Gizachew Mekonnen /W/O/</t>
  </si>
  <si>
    <t>አድሴ ግዛቸው መኮንን /ወ/ሮ/</t>
  </si>
  <si>
    <t>0985</t>
  </si>
  <si>
    <t>Addis Alemayehu Chekol /Ato/</t>
  </si>
  <si>
    <t>አዲስ አለማየሁ ቸኮል /አቶ/</t>
  </si>
  <si>
    <t>0986</t>
  </si>
  <si>
    <t>Addis Alemayehu Getu /Ato/</t>
  </si>
  <si>
    <t>አዲስ አለማየሁ ጌጡ /አቶ/</t>
  </si>
  <si>
    <t>0910-051587</t>
  </si>
  <si>
    <t>0987</t>
  </si>
  <si>
    <t>Addis Alemayehu Kinfe /Ato/</t>
  </si>
  <si>
    <t>አዲስ አለማሁ ክንፈ /አቶ/</t>
  </si>
  <si>
    <t>0923-762778</t>
  </si>
  <si>
    <t>0988</t>
  </si>
  <si>
    <t>Addis Ambale Gebir /like/t/</t>
  </si>
  <si>
    <t>አዲስ አምባሌ ገቢር /ሊቀ /ጥ/</t>
  </si>
  <si>
    <t>0918-494911</t>
  </si>
  <si>
    <t>0989</t>
  </si>
  <si>
    <t>Addis Anbssie Belayneh /W/o/</t>
  </si>
  <si>
    <t>አዲስ አንበሴ በላይነህ /ወ/ሮ/</t>
  </si>
  <si>
    <t>0990</t>
  </si>
  <si>
    <t>Addis Bayile Tiruneh /Ato/</t>
  </si>
  <si>
    <t>አዲስ ባይሌ ጥሩነህ /አቶ/</t>
  </si>
  <si>
    <t>0939-013410</t>
  </si>
  <si>
    <t>0991</t>
  </si>
  <si>
    <t>Addis Derese /Ato/</t>
  </si>
  <si>
    <t>አዲሰ ደረሰ /አቶ/</t>
  </si>
  <si>
    <t>0975-586142</t>
  </si>
  <si>
    <t>0992</t>
  </si>
  <si>
    <t>Addis Dese Asnake /Ato/</t>
  </si>
  <si>
    <t>አዲስ ደሴ አስናቀ /አቶ/</t>
  </si>
  <si>
    <t>0993</t>
  </si>
  <si>
    <t>Addis Fekadu Adera /W/o/</t>
  </si>
  <si>
    <t>አዲስ ፈቃዱ አደሬ /ወ/ሮ/</t>
  </si>
  <si>
    <t>0913-7337883</t>
  </si>
  <si>
    <t>0994</t>
  </si>
  <si>
    <t>0995</t>
  </si>
  <si>
    <t>Addis Gebru /Ato/ and/or Fiseha Gebru /Ato/</t>
  </si>
  <si>
    <t>አዲስ ገብሩ /አቶ/ እና/ወይም ፍሰሐ ገብሩ /አቶ/</t>
  </si>
  <si>
    <t>0912-808253</t>
  </si>
  <si>
    <t>0996</t>
  </si>
  <si>
    <t>Addis Gella /Ato/</t>
  </si>
  <si>
    <t>አዲሰ ገላ /አቶ/</t>
  </si>
  <si>
    <t>0928-513175</t>
  </si>
  <si>
    <t>0997</t>
  </si>
  <si>
    <t>Addis Girma Borna /Ato/</t>
  </si>
  <si>
    <t>አዲስ ግርማ ቦረና /አቶ/</t>
  </si>
  <si>
    <t>0922-605873</t>
  </si>
  <si>
    <t>0998</t>
  </si>
  <si>
    <t>Addis Kasse Mamo /Ato/</t>
  </si>
  <si>
    <t>አዲስ ካሴ ማሞ /አቶ/</t>
  </si>
  <si>
    <t>0999</t>
  </si>
  <si>
    <t xml:space="preserve">Addis Kibebetsehay Kenma </t>
  </si>
  <si>
    <t>አዲስ ክበበፀሐይ ከነማ</t>
  </si>
  <si>
    <t>0926-691930</t>
  </si>
  <si>
    <t>1000</t>
  </si>
  <si>
    <t>Addis Kidane Beyene /Ato/</t>
  </si>
  <si>
    <t>አዲስ ኪዳኔ በየነ /አቶ/</t>
  </si>
  <si>
    <t>0911-883271</t>
  </si>
  <si>
    <t>1001</t>
  </si>
  <si>
    <t>Addis Kifele Tariku /Ato/</t>
  </si>
  <si>
    <t>አዲስ ከፌ ታሪኩ  /አቶ/</t>
  </si>
  <si>
    <t>0943-499399</t>
  </si>
  <si>
    <t>1002</t>
  </si>
  <si>
    <t>Addis Mebratu Gsilasse /W/o/</t>
  </si>
  <si>
    <t>አዲስ መብራቱ ገ/ስላሴ /ወ/ሮ/</t>
  </si>
  <si>
    <t>1003</t>
  </si>
  <si>
    <t>Addis Mebratu Gsilasse /W/o/ Hanan  Abdella Mehamed /Minor/</t>
  </si>
  <si>
    <t>አዲስ መብራቱ ገ/ስላሴ /ወ/ሮ/ ለሀናን አብደላ መሀመድ /ህፃን/</t>
  </si>
  <si>
    <t>1004</t>
  </si>
  <si>
    <t>Addis Mebratu Gsilasse /W/o/ Younas Abdella Mehamed /Minor/</t>
  </si>
  <si>
    <t>አዲስ መብራቱ ገ/ስላሴ /ወ/ሮ/ ለዮንስ አብደላ መሀመድ /ህፃን/</t>
  </si>
  <si>
    <t>1005</t>
  </si>
  <si>
    <t>1006</t>
  </si>
  <si>
    <t>Addis Molla Aniley /Kes/</t>
  </si>
  <si>
    <t>አዲስ ሞላ አንለይ /ቄስ /</t>
  </si>
  <si>
    <t>1007</t>
  </si>
  <si>
    <t>Addis Mulu Zeleke /Ato/</t>
  </si>
  <si>
    <t>አዲስ ሙሉ ዘለቀ   /አቶ/</t>
  </si>
  <si>
    <t>0920743533</t>
  </si>
  <si>
    <t>1008</t>
  </si>
  <si>
    <t>Addis Shewakena /Ato/ For Dagim Addis /Minor/</t>
  </si>
  <si>
    <t>አዲስ ሸዋቀና /አቶ/ ለዳግም አዲስ /ህፃን/</t>
  </si>
  <si>
    <t>1009</t>
  </si>
  <si>
    <t>Addis Shewakena /Ato/ For Markos Addis /Minor/</t>
  </si>
  <si>
    <t>አዲስ ሸዋቀና /አቶ/ ለማርቆስ አዲስ /ህፃን/</t>
  </si>
  <si>
    <t>0916-879357</t>
  </si>
  <si>
    <t>1010</t>
  </si>
  <si>
    <t xml:space="preserve">Addis Shewakena Retta /Ato/ </t>
  </si>
  <si>
    <t>አዲስ ሸዋቀና ረታ /አቶ/</t>
  </si>
  <si>
    <t>0936-635003</t>
  </si>
  <si>
    <t>1011</t>
  </si>
  <si>
    <t>Addis Tadese Kidhne /Ato/</t>
  </si>
  <si>
    <t>አዲሱ ታደሰ ኪዳኔ /አቶ/</t>
  </si>
  <si>
    <t>0911-146229</t>
  </si>
  <si>
    <t>1012</t>
  </si>
  <si>
    <t>Addis Tadesse /Ato/</t>
  </si>
  <si>
    <t>አዲስ ታደሰ /አቶ/</t>
  </si>
  <si>
    <t>0976-135777</t>
  </si>
  <si>
    <t>attinbite@gmail.com</t>
  </si>
  <si>
    <t>1013</t>
  </si>
  <si>
    <t>Addis Tilahun Mekonen /W/o/</t>
  </si>
  <si>
    <t>አዲስ ጥላሁን መኮንን /ወ/ሮ/</t>
  </si>
  <si>
    <t>0911-707633</t>
  </si>
  <si>
    <t>1014</t>
  </si>
  <si>
    <t>Addis W/Senbet G/Selassia /Ato/</t>
  </si>
  <si>
    <t>አዲሱ ወ/ሰንበት ገ/ስላሴ /አቶ/</t>
  </si>
  <si>
    <t>0934-528863</t>
  </si>
  <si>
    <t>1015</t>
  </si>
  <si>
    <t>Addis Wondimneh Moneye /W/R</t>
  </si>
  <si>
    <t>አዲስ ወንድሜነህ ሙንየ/ወ/ሮ</t>
  </si>
  <si>
    <t>1016</t>
  </si>
  <si>
    <t>Addis Yeshete Zeru /Ato/</t>
  </si>
  <si>
    <t>አዲስ የሽቴ ዘሩ /አቶ/</t>
  </si>
  <si>
    <t>1017</t>
  </si>
  <si>
    <t>Addis Yesuf Ali /Ato/</t>
  </si>
  <si>
    <t>አዲስ የሱፍ አሊ /አቶ/</t>
  </si>
  <si>
    <t>0913-108383</t>
  </si>
  <si>
    <t>1018</t>
  </si>
  <si>
    <t>Addis Zelekaw Belete /W/o/</t>
  </si>
  <si>
    <t>አዲስ ዘለቃዉ በለጠ /ወ/ሮ/</t>
  </si>
  <si>
    <t>1019</t>
  </si>
  <si>
    <t>Addisalem Berihun /W/'o/ for Dereje Mesfin /Minor/</t>
  </si>
  <si>
    <t>አዲስዓለም በሪሁን /ወ/ሮ ለደረጄ መስፍን /ህፃን/</t>
  </si>
  <si>
    <t>1020</t>
  </si>
  <si>
    <t>Addisalem Berihun Melese /W/o/</t>
  </si>
  <si>
    <t>አዲስአለም በሪሁን መለሠ /ወ/ሮ/</t>
  </si>
  <si>
    <t>0911-301253</t>
  </si>
  <si>
    <t>1021</t>
  </si>
  <si>
    <t>1022</t>
  </si>
  <si>
    <t>Addisalem Deble Bedada /W/o/</t>
  </si>
  <si>
    <t>አዲስአለም ደበሌ በዳዳ /ወ/ሮ/</t>
  </si>
  <si>
    <t>0929-805640</t>
  </si>
  <si>
    <t>1023</t>
  </si>
  <si>
    <t xml:space="preserve">Addisalem Gizaw </t>
  </si>
  <si>
    <t xml:space="preserve">አዲስአለም ግዛው </t>
  </si>
  <si>
    <t>0924-910708</t>
  </si>
  <si>
    <t>agizaw@verizon.net</t>
  </si>
  <si>
    <t>1024</t>
  </si>
  <si>
    <t>Addisalem Kumsa Deribesa /W/o/</t>
  </si>
  <si>
    <t>አዲስዓለም ኩምሣ ድሪብሣ /ወ/ሮ/</t>
  </si>
  <si>
    <t>1025</t>
  </si>
  <si>
    <t>Addisalem Mekonnen /W/o/ For Berhaneselasie Michael /Minor/</t>
  </si>
  <si>
    <t>አዲስአለም መኮንን  /ወ/ሮ/ ለብርሃነስላሴ ሚካኤል /ህጻን/</t>
  </si>
  <si>
    <t>0946-405358</t>
  </si>
  <si>
    <t>1026</t>
  </si>
  <si>
    <t>Addisalem Melakehiwot Regassa /W/o/</t>
  </si>
  <si>
    <t>አዲስአለም መላከህይወት ረጋሳ /ወ/ሮ/</t>
  </si>
  <si>
    <t>0955-992693</t>
  </si>
  <si>
    <t>amelakehiwot@gmail.com</t>
  </si>
  <si>
    <t>1027</t>
  </si>
  <si>
    <t>Addisalem Minuwyelet Mekonnen /Ato/</t>
  </si>
  <si>
    <t>አዲስዓለም ምንውየለት መኮንን /አቶ/</t>
  </si>
  <si>
    <t>0912-375792
0909-677389</t>
  </si>
  <si>
    <t>1028</t>
  </si>
  <si>
    <t>Addise Derbew Mare /Ato/</t>
  </si>
  <si>
    <t xml:space="preserve">አዲሴ ደርበዉ ማሬ /አቶ/ </t>
  </si>
  <si>
    <t>1029</t>
  </si>
  <si>
    <t>Addise Getahune /Ato/</t>
  </si>
  <si>
    <t>አዲሴ ጌታሁን /አቶ/</t>
  </si>
  <si>
    <t>1030</t>
  </si>
  <si>
    <t>Addise Mekuannent Tesfa /W/o/</t>
  </si>
  <si>
    <t>አዲሴ መኳንንት ተስፋ /ወ/ሮ/</t>
  </si>
  <si>
    <t>0917-101432</t>
  </si>
  <si>
    <t>1031</t>
  </si>
  <si>
    <t>Addissu Tadesse Chernet /Ato/</t>
  </si>
  <si>
    <t>አዲሱ ታደሰ ቸርነት /አቶ/</t>
  </si>
  <si>
    <t>0913-829528</t>
  </si>
  <si>
    <t>1032</t>
  </si>
  <si>
    <t>Addisu Abebe Ayele /Ato/</t>
  </si>
  <si>
    <t>አዲሱ አበበ አየለ /አቶ/</t>
  </si>
  <si>
    <t>1033</t>
  </si>
  <si>
    <t>Addisu Ajabo /Ato/</t>
  </si>
  <si>
    <t>አድሱ አጃቦ /አቶ/</t>
  </si>
  <si>
    <t>1034</t>
  </si>
  <si>
    <t>Addisu Alebachew ( Kes)</t>
  </si>
  <si>
    <t>አዲሱ አለባቸው  /ቄስ/</t>
  </si>
  <si>
    <t>1035</t>
  </si>
  <si>
    <t>Addisu Alemayehu Kitata /Capitain/</t>
  </si>
  <si>
    <t>አዲሱ ዓለማየሁ ቂጣታ /ካፒቴን/</t>
  </si>
  <si>
    <t>0911-210021</t>
  </si>
  <si>
    <t>1036</t>
  </si>
  <si>
    <t>Addisu Atle Desta /Ato/</t>
  </si>
  <si>
    <t>አዲሱ አጥሌ ደስታ /አቶ/</t>
  </si>
  <si>
    <t>0911-220643</t>
  </si>
  <si>
    <t>1037</t>
  </si>
  <si>
    <t>Addisu Berhanu /Ato/  For Koket Addisu /Minor/</t>
  </si>
  <si>
    <t>አዲሱ ብርሃኑ ከበደ /አቶ/ ለኮኬት አዲሱ /ህጻን/</t>
  </si>
  <si>
    <t>1038</t>
  </si>
  <si>
    <t>Addisu Berhanu Kebede /Ato/</t>
  </si>
  <si>
    <t>አዲሱ ብርሃኑ ከበደ /አቶ/</t>
  </si>
  <si>
    <t>0944-286954</t>
  </si>
  <si>
    <t>1039</t>
  </si>
  <si>
    <t>Addisu Damitie Mekuriaw /Ato/</t>
  </si>
  <si>
    <t>አዲሱ ዳምጤ መኩሪያው /አቶ/</t>
  </si>
  <si>
    <t>512-783-9023</t>
  </si>
  <si>
    <t>addisumekuriaw@gmail.com</t>
  </si>
  <si>
    <t>1040</t>
  </si>
  <si>
    <t>Addisu Embiale Asresa  /Ato/</t>
  </si>
  <si>
    <t>አዲሱ እምቢለ አስረሳ   /አቶ/</t>
  </si>
  <si>
    <t>1041</t>
  </si>
  <si>
    <t>Addisu Etana Gemeda /Ato/</t>
  </si>
  <si>
    <t>አዲሱ ኢታና ገመዳ /አቶ/</t>
  </si>
  <si>
    <t>0921-567840</t>
  </si>
  <si>
    <t>suraemiru@gmail.com</t>
  </si>
  <si>
    <t>1042</t>
  </si>
  <si>
    <t>Addisu Gata Garmamo /Ato/</t>
  </si>
  <si>
    <t>አድሱ ጋታ ጋርማሞ /አቶ/</t>
  </si>
  <si>
    <t>0911-460661</t>
  </si>
  <si>
    <t>1043</t>
  </si>
  <si>
    <t>Addisu Getachew /Ato/</t>
  </si>
  <si>
    <t>አድሱ ጌታቸው /አቶ/</t>
  </si>
  <si>
    <t>1044</t>
  </si>
  <si>
    <t>Addisu Getaneh Abera /Ato/</t>
  </si>
  <si>
    <t>አዲሱ ጌታነህ አበራ /አቶ/</t>
  </si>
  <si>
    <t>0916-606774</t>
  </si>
  <si>
    <t>dawitmekdes099@gmail.com</t>
  </si>
  <si>
    <t>1045</t>
  </si>
  <si>
    <t>Addisu Hailemariam Workineh /Ato/</t>
  </si>
  <si>
    <t>አዲሱ ኃ/ማርያም ወርቅነህ /አቶ/</t>
  </si>
  <si>
    <t>0912-892953</t>
  </si>
  <si>
    <t>1046</t>
  </si>
  <si>
    <t>Addisu Hassen Bolasie /Ato/</t>
  </si>
  <si>
    <t>አዲሱ ሀስን ቦላሴ /አቶ/</t>
  </si>
  <si>
    <t>0911-567532</t>
  </si>
  <si>
    <t>1047</t>
  </si>
  <si>
    <t>1048</t>
  </si>
  <si>
    <t>Addisu Kebede Mekonnen /Ato/</t>
  </si>
  <si>
    <t>አዲሱ ከበደ መኮንን /አቶ/</t>
  </si>
  <si>
    <t>0910-326702</t>
  </si>
  <si>
    <t>0716</t>
  </si>
  <si>
    <t>1049</t>
  </si>
  <si>
    <t>Addisu Mekonnen Mola /Ato/</t>
  </si>
  <si>
    <t>አዲሱ መኮንን ሞላ /አቶ/</t>
  </si>
  <si>
    <t>1050</t>
  </si>
  <si>
    <t>Addisu Mekuria Beyene /Ato/</t>
  </si>
  <si>
    <t>አዲሱ መኩሪያ በየነ /አቶ/</t>
  </si>
  <si>
    <t>0916-877779</t>
  </si>
  <si>
    <t>1051</t>
  </si>
  <si>
    <t>Addisu Meri /Ato/</t>
  </si>
  <si>
    <t>አዲሱ መሀሪ /አቶ/</t>
  </si>
  <si>
    <t>1052</t>
  </si>
  <si>
    <t>Addisu Mokuannet /Ato/</t>
  </si>
  <si>
    <t xml:space="preserve">አዲሱ መኳንንት /አቶ/ </t>
  </si>
  <si>
    <t>1053</t>
  </si>
  <si>
    <t>Addisu Mulatu /Ato/</t>
  </si>
  <si>
    <t>አዲሱ ሙላቱ /አቶ/</t>
  </si>
  <si>
    <t>0911-474710</t>
  </si>
  <si>
    <t>1054</t>
  </si>
  <si>
    <t>Addisu Muney Zewede /Ato/</t>
  </si>
  <si>
    <t>አዲሱ ሙንየ ዘውዴ /አቶ/</t>
  </si>
  <si>
    <t>0928-488995</t>
  </si>
  <si>
    <t>1055</t>
  </si>
  <si>
    <t>Addisu Petros Lemita /Ato/</t>
  </si>
  <si>
    <t>አዲሱ ጰጥሮስ /አቶ/</t>
  </si>
  <si>
    <t>0932-408001</t>
  </si>
  <si>
    <t>1056</t>
  </si>
  <si>
    <t>Addisu Samuel /Ato/</t>
  </si>
  <si>
    <t>አዲሱ ሳሙኤል /አቶ/</t>
  </si>
  <si>
    <t>0906-46-14-13</t>
  </si>
  <si>
    <t>1057</t>
  </si>
  <si>
    <t>Addisu Shude /Ato/</t>
  </si>
  <si>
    <t>አዲሱ ሹዴ /አቶ/</t>
  </si>
  <si>
    <t>1058</t>
  </si>
  <si>
    <t>Addisu Temesgen Banksira /Ato/</t>
  </si>
  <si>
    <t>አዲሱ ተመስገን ባንክሰራ /አቶ/</t>
  </si>
  <si>
    <t>0912-136477
0986-236565</t>
  </si>
  <si>
    <t>1059</t>
  </si>
  <si>
    <t>Addisu Tesema Asefa /Ato/</t>
  </si>
  <si>
    <t>አዲሱ ተስማ አስፋ /አቶ/</t>
  </si>
  <si>
    <t>0935-706903</t>
  </si>
  <si>
    <t>1060</t>
  </si>
  <si>
    <t>Addisu Tiruneh Sinnshaw /Ato/</t>
  </si>
  <si>
    <t>አዲሱ ጥሩነህ ስንሻው /አቶ/</t>
  </si>
  <si>
    <t>0911-736766</t>
  </si>
  <si>
    <t>1061</t>
  </si>
  <si>
    <t>Addisu Wonde Alemu /Ato/</t>
  </si>
  <si>
    <t xml:space="preserve">አዲሱ ወንዴ አለሙ /አቶ/ </t>
  </si>
  <si>
    <t>1062</t>
  </si>
  <si>
    <t>Addisu Wubeshet Habtegeorgis /Ato/</t>
  </si>
  <si>
    <t>አዲሱ ዉብሸት ሃብተጊዮርጊስ /አቶ/</t>
  </si>
  <si>
    <t>1063</t>
  </si>
  <si>
    <t>Addisu Yalisa Kadie /Ato/</t>
  </si>
  <si>
    <t>አዲሱ ያሊሱ ካዴ /አቶ/</t>
  </si>
  <si>
    <t>0968-678442</t>
  </si>
  <si>
    <t>1064</t>
  </si>
  <si>
    <t>Addisu Yanta Gule /Ato/</t>
  </si>
  <si>
    <t>አዲሱ ያንታ ጉል /አቶ/</t>
  </si>
  <si>
    <t>0916-159488</t>
  </si>
  <si>
    <t>1065</t>
  </si>
  <si>
    <t>Addisu Yohannes Geleta /Ato/</t>
  </si>
  <si>
    <t>አዲሱ ዮሐንስ ገለታ /አቶ/</t>
  </si>
  <si>
    <t>0921-872169/0921-872135</t>
  </si>
  <si>
    <t>eyobgebre888@gmail.com</t>
  </si>
  <si>
    <t>1066</t>
  </si>
  <si>
    <t>Adebabay Abebaw Metalegne /Ato/</t>
  </si>
  <si>
    <t>አደባይ አበባው መታለኝ /አቶ/</t>
  </si>
  <si>
    <t>0988-202008</t>
  </si>
  <si>
    <t>1067</t>
  </si>
  <si>
    <t>Adebabaye Sendek /Ato/</t>
  </si>
  <si>
    <t>አደባባዬ ሰንደቅ /አቶ/</t>
  </si>
  <si>
    <t>1068</t>
  </si>
  <si>
    <t>Adebaru Tesfa Teku /Ato/</t>
  </si>
  <si>
    <t>አድባሩ  ተስፋ ተኩ</t>
  </si>
  <si>
    <t>1069</t>
  </si>
  <si>
    <t>Adefris Taye Wondimu /Ato/</t>
  </si>
  <si>
    <t>አደፍርስ ታዬ ወንድሙ /አቶ/</t>
  </si>
  <si>
    <t>0904-296483</t>
  </si>
  <si>
    <t>1070</t>
  </si>
  <si>
    <t>0911-371163</t>
  </si>
  <si>
    <t>1071</t>
  </si>
  <si>
    <t>Adefris Tefera Teklehaymanot /Kes/</t>
  </si>
  <si>
    <t>አደፍርሰ ተፈራ ተ/ሀይማኖት /ቄስ/</t>
  </si>
  <si>
    <t>0923-770940</t>
  </si>
  <si>
    <t>1072</t>
  </si>
  <si>
    <t>Adela Alamrew Asaye /Ato/</t>
  </si>
  <si>
    <t>አደላ አላምረው አሳዬ /አቶ/</t>
  </si>
  <si>
    <t>0930-558470</t>
  </si>
  <si>
    <t>1073</t>
  </si>
  <si>
    <t>Adela Wasie Mesele /Ato/</t>
  </si>
  <si>
    <t>አደላ ዋሴ መሰለ /አቶ/</t>
  </si>
  <si>
    <t>0982498556</t>
  </si>
  <si>
    <t>1074</t>
  </si>
  <si>
    <t>Adela Workneh Chekol /Ato/</t>
  </si>
  <si>
    <t>አደላ ወርቅነህ ቸኮል /አቶ/</t>
  </si>
  <si>
    <t>1075</t>
  </si>
  <si>
    <t>Adelachew Dessie Teme /Ato/</t>
  </si>
  <si>
    <t>አድላቸው ደሴ ተሜ /አቶ/</t>
  </si>
  <si>
    <t>1076</t>
  </si>
  <si>
    <t>Adelo Alo Yesho /Ato/</t>
  </si>
  <si>
    <t>አድሎ አሎ የሾ /አቶ/</t>
  </si>
  <si>
    <t>1077</t>
  </si>
  <si>
    <t>Adem Arega Zeleke /Ato/</t>
  </si>
  <si>
    <t>አደም አረጋ ዘለቀ /አቶ/</t>
  </si>
  <si>
    <t>1078</t>
  </si>
  <si>
    <t>Adem Mehammed Nure /Ato/</t>
  </si>
  <si>
    <t>አደም ሙሃመድ ኑሬ /አቶ/</t>
  </si>
  <si>
    <t>1079</t>
  </si>
  <si>
    <t>1080</t>
  </si>
  <si>
    <t>Adema Agago /Ato/</t>
  </si>
  <si>
    <t>አዴማ አጋጎ /አቶ/</t>
  </si>
  <si>
    <t>1081</t>
  </si>
  <si>
    <t>Adema Asha /Ato/</t>
  </si>
  <si>
    <t>አደማ አሻ /አቶ/</t>
  </si>
  <si>
    <t>0928-730994</t>
  </si>
  <si>
    <t>1082</t>
  </si>
  <si>
    <t>Ademas Bisenbte Aneywe/Ato/</t>
  </si>
  <si>
    <t>አድማስ ቢሰንበት አንየው/አቶ/</t>
  </si>
  <si>
    <t>1083</t>
  </si>
  <si>
    <t>Ademas Checol Temsgen /Ato/</t>
  </si>
  <si>
    <t>አድማስ ቸኮል ተመስገን /አቶ/</t>
  </si>
  <si>
    <t>1084</t>
  </si>
  <si>
    <t>Ademas Wedie Getahun /Ato/</t>
  </si>
  <si>
    <t>አድማስ ውዴ ጌታነህ  /አቶ/</t>
  </si>
  <si>
    <t>1085</t>
  </si>
  <si>
    <t>Ademasu Aleda /Ato/</t>
  </si>
  <si>
    <t>አዴማሱ አሌዳ /አቶ/</t>
  </si>
  <si>
    <t>1086</t>
  </si>
  <si>
    <t>Ademasu Asabie Tameru /Ato/</t>
  </si>
  <si>
    <t>አድማሱ አሳቢ ታምሩ /አቶ/</t>
  </si>
  <si>
    <t>1087</t>
  </si>
  <si>
    <t>Ademasu Atuo /Ato/</t>
  </si>
  <si>
    <r>
      <rPr>
        <sz val="12"/>
        <color theme="1"/>
        <rFont val="Bell MT"/>
        <charset val="134"/>
      </rPr>
      <t xml:space="preserve">አደማሱ </t>
    </r>
    <r>
      <rPr>
        <sz val="12"/>
        <color theme="1"/>
        <rFont val="Times New Roman"/>
        <charset val="134"/>
      </rPr>
      <t>​​</t>
    </r>
    <r>
      <rPr>
        <sz val="12"/>
        <color theme="1"/>
        <rFont val="Bell MT"/>
        <charset val="134"/>
      </rPr>
      <t>አጦ  /አቶ/</t>
    </r>
  </si>
  <si>
    <t>ደቡብ ም/</t>
  </si>
  <si>
    <t>1088</t>
  </si>
  <si>
    <t>Ademasu Fulasa Fechuke /Ato/</t>
  </si>
  <si>
    <t>አድማሱ ፍላሣ ፍቹኬ /አቶ/</t>
  </si>
  <si>
    <t>0954-282920</t>
  </si>
  <si>
    <t>1089</t>
  </si>
  <si>
    <t>Ademasu Gebeyehu  Gebebe /Ato/</t>
  </si>
  <si>
    <t>አድማሱ ገበየሁ ገበበ  /አቶ/</t>
  </si>
  <si>
    <t>1090</t>
  </si>
  <si>
    <t>Ademasu Sada Shanego /Ato/</t>
  </si>
  <si>
    <t>አድማሱ ሳዳ ሻንጎ /አቶ/</t>
  </si>
  <si>
    <t>0910-105308</t>
  </si>
  <si>
    <t>1091</t>
  </si>
  <si>
    <t>Ademasu Sendekie /Kes/</t>
  </si>
  <si>
    <t>አደማሱ ስንደቅ /ቄስ/</t>
  </si>
  <si>
    <t>1092</t>
  </si>
  <si>
    <t>Ademe Anamo Aemro /Ato/</t>
  </si>
  <si>
    <t>አደሜ አናሞ አዕምሮ /አቶ/</t>
  </si>
  <si>
    <t>1093</t>
  </si>
  <si>
    <t>Ademe Aschale Mengistie /Ato/</t>
  </si>
  <si>
    <t>አደመ አስቻለ መንግስቴ</t>
  </si>
  <si>
    <t>1094</t>
  </si>
  <si>
    <t>Ademe Chekol Ayele /Ato/</t>
  </si>
  <si>
    <t>አደመ ቸኮል አየለ /አቶ/</t>
  </si>
  <si>
    <t>1095</t>
  </si>
  <si>
    <t>Ademe Endeshaw Wereku /Ato/</t>
  </si>
  <si>
    <t>አደመ እንደሻው ወርቁ   /አቶ/</t>
  </si>
  <si>
    <t>1096</t>
  </si>
  <si>
    <t>Ademe H/Mariam Sahelie /Ato/</t>
  </si>
  <si>
    <t>አደመ ኃይለማሪያም ሳህሌ /አቶ/</t>
  </si>
  <si>
    <t>0911-388727</t>
  </si>
  <si>
    <t>1097</t>
  </si>
  <si>
    <t>Ademneh Muniye Adane /Ato/</t>
  </si>
  <si>
    <t>አዳምነህ ሙንየ አዳነ /አቶ/</t>
  </si>
  <si>
    <t>1098</t>
  </si>
  <si>
    <t>Aden Wonde Addis /W/t/</t>
  </si>
  <si>
    <t>ኤደን ወንዴ አዲስ /ወ/ት/</t>
  </si>
  <si>
    <t>0912-672789</t>
  </si>
  <si>
    <t>1099</t>
  </si>
  <si>
    <t>Adena Mekonnen Yihunegn  /W/o/</t>
  </si>
  <si>
    <t>አድና መኮንን ይሁነኝ /ወ/ሮ/</t>
  </si>
  <si>
    <t>0911-720337/
1480-7036619</t>
  </si>
  <si>
    <t>leulmekonnen7@gmail.com</t>
  </si>
  <si>
    <t>1100</t>
  </si>
  <si>
    <t>Adenagregn Hailu Megilie /Ato/</t>
  </si>
  <si>
    <t>አድናግረኝ ሀይሉ ምገሌ /አቶ/</t>
  </si>
  <si>
    <t>0920-237295</t>
  </si>
  <si>
    <t>1101</t>
  </si>
  <si>
    <t>Adera Abateneh (Ato)</t>
  </si>
  <si>
    <t>አደራ አባቴነህ  /አቶ/</t>
  </si>
  <si>
    <t>1102</t>
  </si>
  <si>
    <t>Adera Abebe Yilma /W/O/</t>
  </si>
  <si>
    <t>አድራ አበበ ይልማ /ወ/ሮ/</t>
  </si>
  <si>
    <t>1103</t>
  </si>
  <si>
    <t>Adera Ejigu /Ato/</t>
  </si>
  <si>
    <t>አደራ እጅጉ /አቶ/</t>
  </si>
  <si>
    <t>1104</t>
  </si>
  <si>
    <t>Aderaw Asmera Bitew /Ato/</t>
  </si>
  <si>
    <t>አደራው አስማረ ቢተው /አቶ/</t>
  </si>
  <si>
    <t>0905-151531</t>
  </si>
  <si>
    <t>1105</t>
  </si>
  <si>
    <t>Aderaw Ayalew Kassa /Ato/</t>
  </si>
  <si>
    <t>አደራው አያሌው ካሳ /አቶ/</t>
  </si>
  <si>
    <t>0909-174163</t>
  </si>
  <si>
    <t>1106</t>
  </si>
  <si>
    <t>Aderaw Chekol /Ato/</t>
  </si>
  <si>
    <t>አደረው ቸኮል /አቶ/</t>
  </si>
  <si>
    <t>0932-797801</t>
  </si>
  <si>
    <t>1107</t>
  </si>
  <si>
    <t>Aderaw Melaku Werekeneh /Ato/</t>
  </si>
  <si>
    <t>አደራው መላኩ ወረቀነህ /አቶ/</t>
  </si>
  <si>
    <t>1108</t>
  </si>
  <si>
    <t>Aderaw Mengistie Yimer /Ato/</t>
  </si>
  <si>
    <t>አደራዉ መንግስቴ ይመር /አቶ/</t>
  </si>
  <si>
    <t>1109</t>
  </si>
  <si>
    <t>Aderaw Mulu Muche /Ato/</t>
  </si>
  <si>
    <t>አደራው ሙሉ ሙጨ /አቶ/</t>
  </si>
  <si>
    <t>1110</t>
  </si>
  <si>
    <t>Aderaw Niguse Ejigu /Ato/</t>
  </si>
  <si>
    <t>አደራው ንጉሴ እጅጉ /አቶ/</t>
  </si>
  <si>
    <t>1111</t>
  </si>
  <si>
    <t>Aderaw Tesfie Yehune /Ato/</t>
  </si>
  <si>
    <t>አደራው ተስፊ ይሁኔ /አቶ/</t>
  </si>
  <si>
    <t>1112</t>
  </si>
  <si>
    <t>Aderawe Kalie Aneteneh /Ato/</t>
  </si>
  <si>
    <t>አደራዌ ካሊ አንተነህ /አቶ/</t>
  </si>
  <si>
    <t>1113</t>
  </si>
  <si>
    <t>Adesu Bukie /Ato/</t>
  </si>
  <si>
    <t>አድሱ ቡቄ /አቶ/</t>
  </si>
  <si>
    <t>1114</t>
  </si>
  <si>
    <t>Adeto Alato Ado /Ato/</t>
  </si>
  <si>
    <t>አድቶ አላቶ አዶ /አቶ/</t>
  </si>
  <si>
    <t>1115</t>
  </si>
  <si>
    <t>Adeto Gamo Giya /Ato/</t>
  </si>
  <si>
    <t>አዴቶ ጋሞ ጊያ /አቶ/</t>
  </si>
  <si>
    <t>0985-523981</t>
  </si>
  <si>
    <t>1116</t>
  </si>
  <si>
    <t>Adeyababa Shebele Temtime /W/o/</t>
  </si>
  <si>
    <t>አደይአበባ ሸበሌ ተምትሜ /ወ/ሮ/</t>
  </si>
  <si>
    <t>weyni21@yahoo.com</t>
  </si>
  <si>
    <t>1117</t>
  </si>
  <si>
    <t>Adia Abraham /Ato/</t>
  </si>
  <si>
    <t>አይዳ አብርሃም /አቶ/</t>
  </si>
  <si>
    <t>0940-310409</t>
  </si>
  <si>
    <t>1118</t>
  </si>
  <si>
    <t>1119</t>
  </si>
  <si>
    <t>Adibar Mengist Yiresie /Ato/</t>
  </si>
  <si>
    <t>አድባር  መንግስት ይርሴ /አቶ/</t>
  </si>
  <si>
    <t>1120</t>
  </si>
  <si>
    <t>Adibaru Biyazin/Ato/</t>
  </si>
  <si>
    <t>አድባሩ ቢያዝን /አቶ/</t>
  </si>
  <si>
    <t>1121</t>
  </si>
  <si>
    <t>Adibaru Chanie Amogn /Ato/</t>
  </si>
  <si>
    <t>አድባሩ ጫኔ አሞኘ /አቶ/</t>
  </si>
  <si>
    <t>1122</t>
  </si>
  <si>
    <t>Adibaru Wogayehu /Ato/</t>
  </si>
  <si>
    <t>አድባሩ ወጋየሁ እርታ  /አቶ/</t>
  </si>
  <si>
    <t>1123</t>
  </si>
  <si>
    <t>Adie Dagne Tamirie /Ato/</t>
  </si>
  <si>
    <t>አዴ ዳኘ /አቶ/</t>
  </si>
  <si>
    <t>1124</t>
  </si>
  <si>
    <t>Adie Tesema Chekol /Ato/</t>
  </si>
  <si>
    <t>አዴ ተሰማ ቸኮል  /አቶ/</t>
  </si>
  <si>
    <t>1125</t>
  </si>
  <si>
    <t>Adigo Much Teshom /Ato/</t>
  </si>
  <si>
    <t>አድጎ ሙቸ ተሾመ /አቶ/</t>
  </si>
  <si>
    <t>1126</t>
  </si>
  <si>
    <t xml:space="preserve">Adigolgn Mekonnen Gerimew /Ato/ </t>
  </si>
  <si>
    <t>አድጎልኝ መኮንን ገርመው /አቶ/</t>
  </si>
  <si>
    <t>0949985507</t>
  </si>
  <si>
    <t>1127</t>
  </si>
  <si>
    <t>Adila Asha /Ato/</t>
  </si>
  <si>
    <t>አዲላ አሻ /አቶ/</t>
  </si>
  <si>
    <t>1128</t>
  </si>
  <si>
    <t>Adimas Tiruneh W/Giorges  /Ato/</t>
  </si>
  <si>
    <t>አድማሰ ጠሩንሀ ው/ጊዮኦረጊስ   /አቶ/</t>
  </si>
  <si>
    <t>1129</t>
  </si>
  <si>
    <t>Adimasu Abeto  H/Mariam /Ato/</t>
  </si>
  <si>
    <t>አድማሱ አቤቶ ሀ/ማርያም /አቶ/</t>
  </si>
  <si>
    <t>1130</t>
  </si>
  <si>
    <t>Adimasu Arba  Anegato /Ato/</t>
  </si>
  <si>
    <t>አድማሱ አርባ አንጋቶ /አቶ/</t>
  </si>
  <si>
    <t>1131</t>
  </si>
  <si>
    <t>Adimasu Arje (Ato)</t>
  </si>
  <si>
    <t>አድማሱ አረጀ /አቶ/</t>
  </si>
  <si>
    <t>1132</t>
  </si>
  <si>
    <t>Adimasu Birie Zelek /Ato/</t>
  </si>
  <si>
    <t>አድማሱ ብሬ ዘለቀ /አቶ/</t>
  </si>
  <si>
    <t>0922-892480</t>
  </si>
  <si>
    <t>1133</t>
  </si>
  <si>
    <t>Adimasu Chure  Buneka /Ato/</t>
  </si>
  <si>
    <t>አድማሱ ቸሬ ቡንካ /አቶ/</t>
  </si>
  <si>
    <t>0949-662820</t>
  </si>
  <si>
    <t>1134</t>
  </si>
  <si>
    <t>Adimasu Kusse Genefo /Ato/</t>
  </si>
  <si>
    <t>አድማሱ ኩሴ ገንፎ /አቶ/</t>
  </si>
  <si>
    <t>0924744421</t>
  </si>
  <si>
    <t>1135</t>
  </si>
  <si>
    <t>Adimasu Pilto /Ato/</t>
  </si>
  <si>
    <t>አዲማሱ ፒልቶ /አቶ/</t>
  </si>
  <si>
    <t>1136</t>
  </si>
  <si>
    <t>Adimasu Yilma /Ato/</t>
  </si>
  <si>
    <t>አድማሱ ይልማ /አቶ/</t>
  </si>
  <si>
    <t>0964-901238</t>
  </si>
  <si>
    <t>1137</t>
  </si>
  <si>
    <t>Adimkew Yeholashet Manedefero /Ato/</t>
  </si>
  <si>
    <t>አድምቀው የኃለሸት ማንደፈሮ /አቶ/</t>
  </si>
  <si>
    <t>0924-401213</t>
  </si>
  <si>
    <t>1138</t>
  </si>
  <si>
    <t>Adimtew Tizazu Chekol /Ato/</t>
  </si>
  <si>
    <t>አድምጠው ትዛዙ ቸኮል /አቶ/</t>
  </si>
  <si>
    <t>1139</t>
  </si>
  <si>
    <t>Adina Kassa Belew  /W/o/</t>
  </si>
  <si>
    <t>አዲና ካሳ በለዉ /ወ/ሮ/</t>
  </si>
  <si>
    <t>0955-928407</t>
  </si>
  <si>
    <t>natan.mulugeta75@gmail.com</t>
  </si>
  <si>
    <t>1140</t>
  </si>
  <si>
    <t>Adina Kassa Belew /W/o/ For Abenezer Moges /Minor/</t>
  </si>
  <si>
    <t>አዲና  ካሳ  በለው /ወ/ሮ/ ለህፃን  አቤኔዘር ሞገስ /ህፃን/</t>
  </si>
  <si>
    <t>1141</t>
  </si>
  <si>
    <t>Adinan Ahmed A/Znab /Ato/</t>
  </si>
  <si>
    <t>አዲናን አህመድ አ/ዝናብ /አቶ/</t>
  </si>
  <si>
    <t>1142</t>
  </si>
  <si>
    <t>Adinegne Fekadu /Ato/</t>
  </si>
  <si>
    <t>አድነኝ ፍቃዱ /አቶ/</t>
  </si>
  <si>
    <t>0910-601080</t>
  </si>
  <si>
    <t>1143</t>
  </si>
  <si>
    <t>Adinew Kinbo Feyisa /Ato/</t>
  </si>
  <si>
    <t>አድነው ሲንቦ ፈይሳ /አቶ/</t>
  </si>
  <si>
    <t>0910-792032</t>
  </si>
  <si>
    <t>1144</t>
  </si>
  <si>
    <t>Adinew Lulie Getahun /Ato/</t>
  </si>
  <si>
    <t>አድነው ሉሌ ጌታነህ /አቶ/</t>
  </si>
  <si>
    <t>1145</t>
  </si>
  <si>
    <t>Adinew Mitku /Ato/</t>
  </si>
  <si>
    <t xml:space="preserve">አድነው ምትኩ /አቶ/ </t>
  </si>
  <si>
    <t>1146</t>
  </si>
  <si>
    <t>Adinew Yirga G/mariam Dr.</t>
  </si>
  <si>
    <t>አድነዉ ይርጋ ገ/ማሪያም /ዶ/ር/</t>
  </si>
  <si>
    <t>1147</t>
  </si>
  <si>
    <t>Adino Tarekegn Beriehun /Ato/</t>
  </si>
  <si>
    <t>አድኖ ተሰማ በሪሁን /አቶ/</t>
  </si>
  <si>
    <t>1148</t>
  </si>
  <si>
    <t>Adis Abaye Mengist /Ato/</t>
  </si>
  <si>
    <t>አዲስ አባይ መንግስት /አቶ/</t>
  </si>
  <si>
    <t>1149</t>
  </si>
  <si>
    <t>Adis AdugnaW /ato/</t>
  </si>
  <si>
    <t>አዲስ አዱኛወ/አቶ/</t>
  </si>
  <si>
    <t>1150</t>
  </si>
  <si>
    <t>Adis Aragaw Chekele /Ato/</t>
  </si>
  <si>
    <t>አዲስ አራጋው ጨቅሌ / አቶ/</t>
  </si>
  <si>
    <t>0932-914443</t>
  </si>
  <si>
    <t>1151</t>
  </si>
  <si>
    <t>Adis Endegena Tegegn /Ato/</t>
  </si>
  <si>
    <t>አዲስ እንደኛ ተገኝ /አቶ/</t>
  </si>
  <si>
    <t>1152</t>
  </si>
  <si>
    <t>Adis Wondu Gete /W/o/</t>
  </si>
  <si>
    <t>አዲሰ ወንድ ጌቴ  /ወ/ሮ/</t>
  </si>
  <si>
    <t>1153</t>
  </si>
  <si>
    <t>Adis Yewegu Tamir /Ato/</t>
  </si>
  <si>
    <t>አዲስ የወጉ ታምር /አቶ/</t>
  </si>
  <si>
    <t>1154</t>
  </si>
  <si>
    <t>Adise Boshe Bongore /Ato/</t>
  </si>
  <si>
    <t>አድሴ ቦሻ ቦንጎሬ /አቶ/</t>
  </si>
  <si>
    <t>1155</t>
  </si>
  <si>
    <t>Adise Mita Koboto /Ato/</t>
  </si>
  <si>
    <t>አድሴ ሚታ ኮቦቶ /አቶ/</t>
  </si>
  <si>
    <t>1156</t>
  </si>
  <si>
    <t>Adiss Aschenek Tesfahun /Ato/</t>
  </si>
  <si>
    <t>አዲስ አስጨነቅ ተስፋሁን /አቶ/</t>
  </si>
  <si>
    <t>1157</t>
  </si>
  <si>
    <t>Adissu Alemayehu Ank(Ato)</t>
  </si>
  <si>
    <t>አዲሱ አለማየሁ አንካ (አቶ)</t>
  </si>
  <si>
    <t>1158</t>
  </si>
  <si>
    <t>Adisu Abebe Ayele /Ato/</t>
  </si>
  <si>
    <t>1159</t>
  </si>
  <si>
    <t>Adisu Alaro Arshato /Ato/</t>
  </si>
  <si>
    <t>አዲሱ አላሮ አርሻቶ /አቶ/</t>
  </si>
  <si>
    <t>0916-740416</t>
  </si>
  <si>
    <t>1160</t>
  </si>
  <si>
    <t>1161</t>
  </si>
  <si>
    <t>Adisu Areka Adulo Ato/</t>
  </si>
  <si>
    <t>አዲሱ አርካ አዱሎ /አቶ/</t>
  </si>
  <si>
    <t>0931-472638</t>
  </si>
  <si>
    <t>1162</t>
  </si>
  <si>
    <t>Adisu Ayano /Ato/</t>
  </si>
  <si>
    <t>አድሱ አያኖ /አቶ/</t>
  </si>
  <si>
    <t>0929-526988</t>
  </si>
  <si>
    <t>1163</t>
  </si>
  <si>
    <t>Adisu Ayika Asade /Ato/</t>
  </si>
  <si>
    <t>አዲሱ አይካ አሳዶ /አቶ/</t>
  </si>
  <si>
    <t>1164</t>
  </si>
  <si>
    <t>Adisu Derb W/Hawarya /Ato/</t>
  </si>
  <si>
    <t>አዲሱ ደርበው ወ/ሃዋርያ /አቶ/</t>
  </si>
  <si>
    <t>0933-120100</t>
  </si>
  <si>
    <t>1165</t>
  </si>
  <si>
    <t>Adisu Duresa /Ato/</t>
  </si>
  <si>
    <t>አድሱ ዱሬሳ /አቶ/</t>
  </si>
  <si>
    <t>1166</t>
  </si>
  <si>
    <t>Adisu Eilyas Gebere /Ato/</t>
  </si>
  <si>
    <t>አዲሱ ኢሊያስ ገበረ /አቶ/</t>
  </si>
  <si>
    <t>1167</t>
  </si>
  <si>
    <t>Adisu Ergano Lema /Ato/</t>
  </si>
  <si>
    <t>አድሱ ኤርጋኖ ለማ /አቶ/</t>
  </si>
  <si>
    <t>1168</t>
  </si>
  <si>
    <t>Adisu Hancha Blate /Ato/</t>
  </si>
  <si>
    <t>አድሱ ሐንቻ ብላተ /አቶ/</t>
  </si>
  <si>
    <t>1169</t>
  </si>
  <si>
    <t>Adisu Jalalo /Ato/</t>
  </si>
  <si>
    <t>አዲሱ ጂላሎ /አቶ/</t>
  </si>
  <si>
    <t>1170</t>
  </si>
  <si>
    <t>Adisu Kenaw Chekol /Ato/</t>
  </si>
  <si>
    <t>አዲሱ ቀናዉ ቸኮል /አቶ/</t>
  </si>
  <si>
    <t>1171</t>
  </si>
  <si>
    <t>Adisu Marucha /Ato/</t>
  </si>
  <si>
    <t>አዲሱ ማሩጫ ሻማነ/አቶ/</t>
  </si>
  <si>
    <t>1172</t>
  </si>
  <si>
    <t>Adisu Mulugeta Semachew /Ato/</t>
  </si>
  <si>
    <t>አዲሱ ሙሉጌታ ሰማቸዉ /አቶ/</t>
  </si>
  <si>
    <t>1173</t>
  </si>
  <si>
    <t>Adisu Tekile /Ato/</t>
  </si>
  <si>
    <t>አድሱ ተክለ /አቶ/</t>
  </si>
  <si>
    <t>0936-872227</t>
  </si>
  <si>
    <t>1174</t>
  </si>
  <si>
    <t>Adisu Tilahun Damite /Ato/</t>
  </si>
  <si>
    <t>አዲሱ ጥላሁን ዳሚቴ /አቶ/</t>
  </si>
  <si>
    <t>1175</t>
  </si>
  <si>
    <t>Adisu Tunebo /Ato/</t>
  </si>
  <si>
    <t>አዲሱ ጡንቦ /አቶ/</t>
  </si>
  <si>
    <t>0925-532584</t>
  </si>
  <si>
    <t>1176</t>
  </si>
  <si>
    <t>Adisu Wale Kebede /Ato/</t>
  </si>
  <si>
    <t>አዲሱ ዋለ ከበደ /አቶ/</t>
  </si>
  <si>
    <t>1177</t>
  </si>
  <si>
    <t>Adisu Wasihun Nigate / Ato/</t>
  </si>
  <si>
    <t>አዲሱ ዋሲሁን ንጋቴ /አቶ/</t>
  </si>
  <si>
    <t>1178</t>
  </si>
  <si>
    <t>Adisu Waza /Ato/</t>
  </si>
  <si>
    <t>አዲሱ ዋዛ /አቶ/</t>
  </si>
  <si>
    <t>1179</t>
  </si>
  <si>
    <t>Adisu Wegayehu Churko /Ato/</t>
  </si>
  <si>
    <t>አዲሱ ወጋየሁ ጩርቆ /አቶ/</t>
  </si>
  <si>
    <t>1180</t>
  </si>
  <si>
    <t>Adisu Wibale Mekuriya /Ato/</t>
  </si>
  <si>
    <t xml:space="preserve">አዲሱ ውባለ መኩሪያ /አቶ/ </t>
  </si>
  <si>
    <t>1181</t>
  </si>
  <si>
    <t>Adjebush Worku Endashaw /W/o/</t>
  </si>
  <si>
    <t>አጀቡሽ ወርቁ  እንዳሻው /ወ/ሮ/</t>
  </si>
  <si>
    <t>1182</t>
  </si>
  <si>
    <t>Admas Leyew Taye /Ato/</t>
  </si>
  <si>
    <t>አድማስ ልየው ታዬ /አቶ/</t>
  </si>
  <si>
    <t>1183</t>
  </si>
  <si>
    <t>Admas Workie Alemayehu /Ato/</t>
  </si>
  <si>
    <t>አድማስ ወርቄ አለማየሁ /አቶ/</t>
  </si>
  <si>
    <t>1184</t>
  </si>
  <si>
    <t>Admassu Ejeta Oga /Ato/</t>
  </si>
  <si>
    <t>አድማሱ ኤጄታ ኦጋ /አቶ/</t>
  </si>
  <si>
    <t>0938-207227</t>
  </si>
  <si>
    <t>1185</t>
  </si>
  <si>
    <t>Admasu Abera Birda /Ato/</t>
  </si>
  <si>
    <t>አድማሱ አበራ ቢረዳ /አቶ/</t>
  </si>
  <si>
    <t>1186</t>
  </si>
  <si>
    <t>Admasu Adolla /Ato/</t>
  </si>
  <si>
    <t>አድማሱ አዶላ /አቶ/</t>
  </si>
  <si>
    <t>0916-84-08-30</t>
  </si>
  <si>
    <t>1187</t>
  </si>
  <si>
    <t>Admasu Arse Uke /Ato/</t>
  </si>
  <si>
    <t>አድማሴ አርሴ ኡኬ /አቶ/</t>
  </si>
  <si>
    <t>1188</t>
  </si>
  <si>
    <t>Admasu Asaro Bobe /Ato/</t>
  </si>
  <si>
    <t>አድማሱ አሳሮ ቦቤ /አቶ/</t>
  </si>
  <si>
    <t>0902-905312</t>
  </si>
  <si>
    <t>1189</t>
  </si>
  <si>
    <t>Admasu Asebu Deresie /Ato/</t>
  </si>
  <si>
    <t>አድማሱ አሰቡ ድረሴ /አቶ/</t>
  </si>
  <si>
    <t>0931-808413</t>
  </si>
  <si>
    <t>1190</t>
  </si>
  <si>
    <t>Admasu Atalo  /Ato/</t>
  </si>
  <si>
    <t>አድማሱ አታሎ አየሎ /አቶ/</t>
  </si>
  <si>
    <t>0916-962567</t>
  </si>
  <si>
    <t>1191</t>
  </si>
  <si>
    <t>1192</t>
  </si>
  <si>
    <t>Admasu Gerigsa /Ato/</t>
  </si>
  <si>
    <t>አድማሱ ገርግሳ ገሳሞ /አቶ/</t>
  </si>
  <si>
    <t>1193</t>
  </si>
  <si>
    <t>Admasu Kefyalew Yebletal /Ato/</t>
  </si>
  <si>
    <t>አድማሱ ከፍያለው ይበልጣል /አቶ/</t>
  </si>
  <si>
    <t>1194</t>
  </si>
  <si>
    <t>Admasu Mola Tona /Ato/</t>
  </si>
  <si>
    <t>አድማሱ ሞላ ጦና /አቶ/</t>
  </si>
  <si>
    <t>1195</t>
  </si>
  <si>
    <t>Admasu Nigusie Teshome /Ato/</t>
  </si>
  <si>
    <t>አድማሱ ንጉሴ ተሾመ /አቶ/</t>
  </si>
  <si>
    <t>1196</t>
  </si>
  <si>
    <t>Admasu Tedla Defabachew /Ato/</t>
  </si>
  <si>
    <t>አደድማሱ ትድላ  ድፋባቸው /አቶ/</t>
  </si>
  <si>
    <t>1197</t>
  </si>
  <si>
    <t>Admikew Adimassie Bekele /Ato/</t>
  </si>
  <si>
    <t>አድምቀው አድማሴ በቀለ /አቶ/</t>
  </si>
  <si>
    <t>0983-760501</t>
  </si>
  <si>
    <t>1198</t>
  </si>
  <si>
    <t>Admikew Manale Mekonnen /Ato/</t>
  </si>
  <si>
    <t>አድምቀው ማናለ መኮንን /አቶ/</t>
  </si>
  <si>
    <t>0970-947529</t>
  </si>
  <si>
    <t>1199</t>
  </si>
  <si>
    <t>Adola Lafa Lama /Ato/</t>
  </si>
  <si>
    <t>አደላ ላፋ ላማ /አቶ/</t>
  </si>
  <si>
    <t>0926-115299</t>
  </si>
  <si>
    <t>1200</t>
  </si>
  <si>
    <t>Adola Outala /Ato/</t>
  </si>
  <si>
    <t>አዶላ ኡታላ ሔዌ ሬ /አቶ/</t>
  </si>
  <si>
    <t>1201</t>
  </si>
  <si>
    <t>Adonay Bezabih Fisseha /Ato/</t>
  </si>
  <si>
    <t>አዶናይ በዛብህ ፍስሀ /አቶ/</t>
  </si>
  <si>
    <t>1202</t>
  </si>
  <si>
    <t xml:space="preserve">Adoniyas Fikadu Ashbir /Ato/ </t>
  </si>
  <si>
    <t>አዶኒያስ ፍቃዱ አሸብር /አቶ/</t>
  </si>
  <si>
    <t>0911-817510</t>
  </si>
  <si>
    <t>1203</t>
  </si>
  <si>
    <t>Adoniyas Getachew Amdie /Ato/</t>
  </si>
  <si>
    <t>አዳኒያሰ ጌታቸው አምዴ /አቶ/</t>
  </si>
  <si>
    <t>1204</t>
  </si>
  <si>
    <t>Adoshe Argo Awatie /Ato/</t>
  </si>
  <si>
    <t>አዶሸ አረጎ አዋቴ /አቶ/</t>
  </si>
  <si>
    <t>1205</t>
  </si>
  <si>
    <t>Adoyita Shama Halamo /Ato/</t>
  </si>
  <si>
    <t>አዶይታ ሻማ ሃላሞ /አቶ/</t>
  </si>
  <si>
    <t>1206</t>
  </si>
  <si>
    <t>Adssu Kiflie G/Mariam  /Kes/</t>
  </si>
  <si>
    <t>አዲሰ ልፍሌ ገ/ማርያም /ቄስ/</t>
  </si>
  <si>
    <t>1207</t>
  </si>
  <si>
    <t>Adualem Gerem Kebede /Ato/</t>
  </si>
  <si>
    <t>አንዷለም ገረም ከበደ /አቶ/</t>
  </si>
  <si>
    <t>1208</t>
  </si>
  <si>
    <t>Adugan W/senebt /Ato/</t>
  </si>
  <si>
    <t>አዱጋን ወ/ሰንበት /አቶ/</t>
  </si>
  <si>
    <t>0992-484606</t>
  </si>
  <si>
    <t>1209</t>
  </si>
  <si>
    <t>Adugna Abdissa Shagerdi /Ato/</t>
  </si>
  <si>
    <t>አዱኛ አብዲሳ ሻገርዲ /አቶ/</t>
  </si>
  <si>
    <t>0913-282782</t>
  </si>
  <si>
    <t>brookabera7@gmail.com</t>
  </si>
  <si>
    <t>1210</t>
  </si>
  <si>
    <t>Adugna Aliye Hussen /Ato/</t>
  </si>
  <si>
    <t>አዱኛ አልይ ሀሰን  /አቶ/</t>
  </si>
  <si>
    <t>0984-181955</t>
  </si>
  <si>
    <t>1211</t>
  </si>
  <si>
    <t>Adugna Chane Abebe /Ato/</t>
  </si>
  <si>
    <t>አዱኛ ጫኔ አበበ /አቶ/</t>
  </si>
  <si>
    <t>1212</t>
  </si>
  <si>
    <t>Adugna Gelagay Alamirew /W/O/</t>
  </si>
  <si>
    <t>አዱኛ ገለገይ አለምረው /ወ/ሮ/</t>
  </si>
  <si>
    <t>1213</t>
  </si>
  <si>
    <t>Adugna Gita Demesse /Ato/</t>
  </si>
  <si>
    <t>አዱኛ ጌታ ደምሴ /አቶ/</t>
  </si>
  <si>
    <t>1214</t>
  </si>
  <si>
    <t>Adugna Jembere Yimer /Ato/</t>
  </si>
  <si>
    <t>አዱኛ ጀምበሬ ይመር /አቶ/</t>
  </si>
  <si>
    <t>0935-484020</t>
  </si>
  <si>
    <t>1215</t>
  </si>
  <si>
    <t>Adugna Mehari Kahsay /Ato/</t>
  </si>
  <si>
    <t>አዱኛ መሃሪ ካህሳይ /አቶ/</t>
  </si>
  <si>
    <t>0967-830576</t>
  </si>
  <si>
    <t>1216</t>
  </si>
  <si>
    <t>Adugna Mekonne Kasse /Ato/</t>
  </si>
  <si>
    <t>አዱኛ መኮንን ካሴ /አቶ/</t>
  </si>
  <si>
    <t>1217</t>
  </si>
  <si>
    <t>Adugna Munye Glaneh /Ato/</t>
  </si>
  <si>
    <t>አዱኛው ሙንዬ ገላነህ /አቶ/</t>
  </si>
  <si>
    <t>1218</t>
  </si>
  <si>
    <t>Adugna Shitahun Abebe /Ato/</t>
  </si>
  <si>
    <t>አዱኛ የሺታሁን አበበ /አቶ/</t>
  </si>
  <si>
    <t>1219</t>
  </si>
  <si>
    <t>Adugna Sisay Tilahun/Ato/</t>
  </si>
  <si>
    <t>አዱኛ ሲሳይ ጥላሁን/አቶ/</t>
  </si>
  <si>
    <t>1220</t>
  </si>
  <si>
    <t>Adugna Tassaw Gedamu /Ato/</t>
  </si>
  <si>
    <t>አዱኛ ጣሰወ ገደሙ /አቶ/</t>
  </si>
  <si>
    <t>0932-218510</t>
  </si>
  <si>
    <t>1221</t>
  </si>
  <si>
    <t>Adugnaw Demis Mekonnen /Ato/</t>
  </si>
  <si>
    <t>አዱኛው ደምሴ መኮንን /አቶ/</t>
  </si>
  <si>
    <t>0961-401816</t>
  </si>
  <si>
    <t>1222</t>
  </si>
  <si>
    <t>Adugnaw Getahun/Ato/</t>
  </si>
  <si>
    <t>አድኛው ጌታሁን ተገኘ /አቶ/</t>
  </si>
  <si>
    <t>1223</t>
  </si>
  <si>
    <t>Adugnaw Jenbere Ferede /Ato/</t>
  </si>
  <si>
    <t>አዱኛዉ ጀንበሬ ፈረደ /አቶ/</t>
  </si>
  <si>
    <t>1224</t>
  </si>
  <si>
    <t>Adugnaw Melie Argehe /Ato/</t>
  </si>
  <si>
    <t>አዱኛው መሌ አርገህ /አቶ/</t>
  </si>
  <si>
    <t>1225</t>
  </si>
  <si>
    <t>Adugnaw Seifu Arede /Ato/</t>
  </si>
  <si>
    <t>አዱኛ ሰይፉ አረደ  /አቶ/</t>
  </si>
  <si>
    <t>1226</t>
  </si>
  <si>
    <t>Adugnew Yemata Terfe /Kes/</t>
  </si>
  <si>
    <t>አዱኛው የማታ ተረፈ /ቄሰ/</t>
  </si>
  <si>
    <t>1227</t>
  </si>
  <si>
    <t>Aemro Alebachew Tafere /Ato/</t>
  </si>
  <si>
    <t>አዕምሮ አለባቸው ታፈር /አቶ/</t>
  </si>
  <si>
    <t>1228</t>
  </si>
  <si>
    <t>Aemro Enterprenship Dev. Service S.C</t>
  </si>
  <si>
    <t xml:space="preserve">አዕምሮ የኢንተርፕረንሺፕ </t>
  </si>
  <si>
    <t>0911-881459</t>
  </si>
  <si>
    <t>1229</t>
  </si>
  <si>
    <t>1230</t>
  </si>
  <si>
    <t>Afere Areka Ashetie /Ato/</t>
  </si>
  <si>
    <t>አፈረ አረካ አሼቴ /አቶ/</t>
  </si>
  <si>
    <t>1231</t>
  </si>
  <si>
    <t>Afetsa Ashele /Ato/</t>
  </si>
  <si>
    <t>አፍፃ አሸሌ /አቶ/</t>
  </si>
  <si>
    <t>0916-599848</t>
  </si>
  <si>
    <t>1232</t>
  </si>
  <si>
    <t>Afewerki Ghidei Zeremariyam /Ato/</t>
  </si>
  <si>
    <t>አፈወርቂ ግደይ ዘረማርያም /አቶ/</t>
  </si>
  <si>
    <t>0910-784569</t>
  </si>
  <si>
    <t>1233</t>
  </si>
  <si>
    <t>Afework Abate Arete /Ato/</t>
  </si>
  <si>
    <t>አፈወርቅ አባተ አሬት /አቶ/</t>
  </si>
  <si>
    <t>0916-626188</t>
  </si>
  <si>
    <t>1234</t>
  </si>
  <si>
    <t>Afework Adugna Amentu /Ato/</t>
  </si>
  <si>
    <t>አፈወርቅ አዱኛ አምንቱ /አቶ/</t>
  </si>
  <si>
    <t>0984-134944</t>
  </si>
  <si>
    <t>1235</t>
  </si>
  <si>
    <t>Afework Alaye /Ato/</t>
  </si>
  <si>
    <t>አፈወርቅ አየለ /አቶ/</t>
  </si>
  <si>
    <t>1236</t>
  </si>
  <si>
    <t>Afework Asfaw G/giorgis /Ato/</t>
  </si>
  <si>
    <t>አፈወርቅ አስፋዉ ገ/ጊዮርጊስ /አቶ/</t>
  </si>
  <si>
    <t>1237</t>
  </si>
  <si>
    <t>Afework Asha /Ato/</t>
  </si>
  <si>
    <t>አፎወርቅ አሸ /አቶ/</t>
  </si>
  <si>
    <t>1238</t>
  </si>
  <si>
    <t>Afework Atlaw Garede /Ato/</t>
  </si>
  <si>
    <t>አፈወርቅ አጥላዉ ጋረዴ /አቶ/</t>
  </si>
  <si>
    <t>0912-384004</t>
  </si>
  <si>
    <t>አፈወርቅ አጥላው ጋረዴ /አቶ/</t>
  </si>
  <si>
    <t>0911-980604</t>
  </si>
  <si>
    <t>yabsrataye5@gmail.com</t>
  </si>
  <si>
    <t>1239</t>
  </si>
  <si>
    <t>Afework Chekol Bezie /Ato/</t>
  </si>
  <si>
    <t>አፈወርቅ ቸኮል በዜ /አቶ/</t>
  </si>
  <si>
    <t>1240</t>
  </si>
  <si>
    <t>Afework Chembelala Kurka /Ato/</t>
  </si>
  <si>
    <t>አፈወርቅ ጨምባላ ኩርካ /አቶ/</t>
  </si>
  <si>
    <t>1241</t>
  </si>
  <si>
    <t>Afework Desta /Ato/</t>
  </si>
  <si>
    <t>አፎርቅ ደስታ /አቶ/</t>
  </si>
  <si>
    <t>1242</t>
  </si>
  <si>
    <t>Afework Esayas Ero /Ato/</t>
  </si>
  <si>
    <t>አፈወርቅ ኢሳያስ እሮ /አቶ/</t>
  </si>
  <si>
    <t>0945-003536</t>
  </si>
  <si>
    <t>1243</t>
  </si>
  <si>
    <t>Afework Geremew /Kes /</t>
  </si>
  <si>
    <t>አፈወርቅ ገረመው መከረ /ቄስ /</t>
  </si>
  <si>
    <t>1244</t>
  </si>
  <si>
    <t>Afework Seifu Getu /Ato/</t>
  </si>
  <si>
    <t>አፈወርቅ ሰይፉ ጌቱ /አቶ/</t>
  </si>
  <si>
    <t>0925-581644</t>
  </si>
  <si>
    <t>afeworkgetu8@gmail.com</t>
  </si>
  <si>
    <t>1245</t>
  </si>
  <si>
    <t>Afework Tegegne Demisse /Ato/</t>
  </si>
  <si>
    <t>አፈወርቅ ተገኝ ደምሴ /አቶ/</t>
  </si>
  <si>
    <t>001-214-803-1347</t>
  </si>
  <si>
    <t>1246</t>
  </si>
  <si>
    <t>Afework Tesfaye /Ato/</t>
  </si>
  <si>
    <t>አፈወርቅ ተስፋዬ /አቶ/</t>
  </si>
  <si>
    <t>0912-622470</t>
  </si>
  <si>
    <t>afom4p@yahoo.com</t>
  </si>
  <si>
    <t>1247</t>
  </si>
  <si>
    <t>Afework Urago /Ato/</t>
  </si>
  <si>
    <t>አፈወርቅ ኦራጎ /አቶ/</t>
  </si>
  <si>
    <t>1248</t>
  </si>
  <si>
    <t>Afino Kare /Ato/</t>
  </si>
  <si>
    <t>አፊኖ ቃሬ /አቶ/</t>
  </si>
  <si>
    <t>1249</t>
  </si>
  <si>
    <t>Afira Bawiso /Ato/</t>
  </si>
  <si>
    <t>አፍራ ባዊሶ እታሞ /አቶ/</t>
  </si>
  <si>
    <t>1250</t>
  </si>
  <si>
    <t>Afito Gibeno Gibo /Ato/</t>
  </si>
  <si>
    <t>አፊቶ ጊቤኖ ጊቦ /አቶ/</t>
  </si>
  <si>
    <t>1251</t>
  </si>
  <si>
    <t>Afiwork Abreham Birhanu /Ato/</t>
  </si>
  <si>
    <t>አፎወርቅ አብርሃም ብርሀኑ /አቶ/</t>
  </si>
  <si>
    <t>0916-784931</t>
  </si>
  <si>
    <t>1252</t>
  </si>
  <si>
    <t>Afrah Temam Ridwan /W/t/</t>
  </si>
  <si>
    <t>አፍራህ ተማም ሪድዋን /ወ/ት/</t>
  </si>
  <si>
    <t>0913-076179</t>
  </si>
  <si>
    <t>1253</t>
  </si>
  <si>
    <t>African Based Consultants For Development PLC</t>
  </si>
  <si>
    <t>አፍሪካ ቤዝድ ኮንሰልታንትስ ፎር ዴቨሎፕመንት ኃላ/የተ/የግ/ማኀበር</t>
  </si>
  <si>
    <t>0943-363636</t>
  </si>
  <si>
    <t>adeniyasG75@gmail.com</t>
  </si>
  <si>
    <t>1254</t>
  </si>
  <si>
    <t>Agago Alaro Addelo /Ato/</t>
  </si>
  <si>
    <t>አጋጎ አላሮ አደሎ /አቶ/</t>
  </si>
  <si>
    <t>1255</t>
  </si>
  <si>
    <t>Agansa Samago /Ato/</t>
  </si>
  <si>
    <t>ኡጋንሳ ሳማጎ /አቶ/</t>
  </si>
  <si>
    <t>1256</t>
  </si>
  <si>
    <t xml:space="preserve">Agar Alemu Yosef </t>
  </si>
  <si>
    <t>አጋር አለሙ ዮሴፍ</t>
  </si>
  <si>
    <t>0913-172396</t>
  </si>
  <si>
    <t>1257</t>
  </si>
  <si>
    <t>Agaro Yute /Ato/</t>
  </si>
  <si>
    <t>አጋሮ ዩቴ  /አቶ/</t>
  </si>
  <si>
    <t>1258</t>
  </si>
  <si>
    <t>Agazh Aweke Asmire /Ato/</t>
  </si>
  <si>
    <t>አጋዥ አወቀ አስምሬ /አቶ/</t>
  </si>
  <si>
    <t>1259</t>
  </si>
  <si>
    <t>Agede Abateneh Dese /Ato/</t>
  </si>
  <si>
    <t>አግዴ አባትነህ ደሴ /አቶ/</t>
  </si>
  <si>
    <t>1260</t>
  </si>
  <si>
    <t>Agedew Manaye Aleme /Ato/</t>
  </si>
  <si>
    <t>አግደው ማንአየ አለሜ /አቶ/</t>
  </si>
  <si>
    <t>0911-078706</t>
  </si>
  <si>
    <t>agedewm@gmail.com</t>
  </si>
  <si>
    <t>1261</t>
  </si>
  <si>
    <t>Ageghu Mulu /Ato/</t>
  </si>
  <si>
    <t>አገው ሙሉ /አቶ/</t>
  </si>
  <si>
    <t>1262</t>
  </si>
  <si>
    <t>Agegne Gelaneh Mazebgiya /Ato/</t>
  </si>
  <si>
    <t>አገኝ ገላነህ ማዘንጊያ /አቶ/</t>
  </si>
  <si>
    <t>1263</t>
  </si>
  <si>
    <t>Agegne Merekeb Enyew /Ato/</t>
  </si>
  <si>
    <t>አገኝ መርከብ እንየው /አቶ/</t>
  </si>
  <si>
    <t>1264</t>
  </si>
  <si>
    <t>Agegnehu Mognuhode Gebere /Ato/</t>
  </si>
  <si>
    <t>አገኘሁ ሞኙሆዴ ገብሬ /አቶ/</t>
  </si>
  <si>
    <t>1265</t>
  </si>
  <si>
    <t>Agegnehu Reda Ayenalem /Ato/</t>
  </si>
  <si>
    <t>አገኝሁ ረዳ አየናለም /አቶ/</t>
  </si>
  <si>
    <t>1266</t>
  </si>
  <si>
    <t>Agegnehu Tefera Ejigayehu /Kes/</t>
  </si>
  <si>
    <t xml:space="preserve"> አገኘሁ ተፈር እጅግአየሁ /ቄስ/</t>
  </si>
  <si>
    <t>1267</t>
  </si>
  <si>
    <t>Agegnew Achenef Gessese/Ato/</t>
  </si>
  <si>
    <t>አገኘው አቸንፍ ገሰሰ /አቶ/</t>
  </si>
  <si>
    <t>1268</t>
  </si>
  <si>
    <t>Agegnew Argiso /Ato/</t>
  </si>
  <si>
    <t>አገኘው አርግሶ /አቶ/</t>
  </si>
  <si>
    <t>1269</t>
  </si>
  <si>
    <t>Agegnew Ayichile Amara /Ato/</t>
  </si>
  <si>
    <t>አገኘሁ አይችሌ አመራ /አቶ/</t>
  </si>
  <si>
    <t>1270</t>
  </si>
  <si>
    <t>Agegnew Birhanu Zewude /Ato/</t>
  </si>
  <si>
    <t>አገኝ ብርሃኑ ዘዉዴ /አቶ/</t>
  </si>
  <si>
    <t>1271</t>
  </si>
  <si>
    <t>Agensa Adato (Ato)</t>
  </si>
  <si>
    <t>አጋንሶ አዳቶ አሣራረ /አቶ/</t>
  </si>
  <si>
    <t>1272</t>
  </si>
  <si>
    <t>Ager Takele Mekonnen /W/o/</t>
  </si>
  <si>
    <t>አገር ታከለ መኮንን /ወ/ሮ/</t>
  </si>
  <si>
    <t>0977-221256</t>
  </si>
  <si>
    <t>1273</t>
  </si>
  <si>
    <t>Ager Teshome Belsti /Ato/</t>
  </si>
  <si>
    <t>አገር ተሾመ ብልስቲ /አቶ/</t>
  </si>
  <si>
    <t>0910-431515</t>
  </si>
  <si>
    <t>1274</t>
  </si>
  <si>
    <t>Agere Sileshi Tamene /Ato/</t>
  </si>
  <si>
    <t>አገረ ስለሺ ታመነ /አቶ/</t>
  </si>
  <si>
    <t>0934-893182</t>
  </si>
  <si>
    <t>0942-641640</t>
  </si>
  <si>
    <t>1275</t>
  </si>
  <si>
    <t>Agerie Aragaw Mihiret /Ato/</t>
  </si>
  <si>
    <t>አገሬ አረጋው ምህረት /አቶ/</t>
  </si>
  <si>
    <t>0913-616668</t>
  </si>
  <si>
    <t>1276</t>
  </si>
  <si>
    <t>Agerie Mekonnen Haile /W/o/</t>
  </si>
  <si>
    <t>አገሬ መኮንን ሀይሌ /ወ/ሮ/</t>
  </si>
  <si>
    <t>1277</t>
  </si>
  <si>
    <t>Ageritu Damte Reta /W/o/</t>
  </si>
  <si>
    <t>አገሪቱ ዳምጤ ረታ /ወ/ሮ/</t>
  </si>
  <si>
    <t>0943-517747</t>
  </si>
  <si>
    <t>1278</t>
  </si>
  <si>
    <t>Agete Bayu Tegene /Ato/</t>
  </si>
  <si>
    <t>አጌጠ ባዩ ተገኔ /አቶ/</t>
  </si>
  <si>
    <t>0922-545374</t>
  </si>
  <si>
    <t>1279</t>
  </si>
  <si>
    <t>Ageze Andualem Adamu /Ato/</t>
  </si>
  <si>
    <t>አገዘ አንዱአለም አዳሙ /አቶ/</t>
  </si>
  <si>
    <t>0934-622544</t>
  </si>
  <si>
    <t>1280</t>
  </si>
  <si>
    <t>Ageze Argiso /Ato/</t>
  </si>
  <si>
    <t>አገዜ አርጊሶ /አቶ/</t>
  </si>
  <si>
    <t>0927-153186</t>
  </si>
  <si>
    <t>1281</t>
  </si>
  <si>
    <t>Ageze Lema Lasho (Ato)</t>
  </si>
  <si>
    <t>አገዘ ለማ ለሾ (አቶ)</t>
  </si>
  <si>
    <t>1282</t>
  </si>
  <si>
    <t>Ageze Lorato /Ato/</t>
  </si>
  <si>
    <t>አገዘ ሎራቶ /አቶ/</t>
  </si>
  <si>
    <t>1283</t>
  </si>
  <si>
    <t>Ageze Taye Alehgn /Ato/</t>
  </si>
  <si>
    <t>አገዘ ታዬ አለህኝ /አቶ/</t>
  </si>
  <si>
    <t>1284</t>
  </si>
  <si>
    <t>Ageze Wachifo Garmamo /Ato/</t>
  </si>
  <si>
    <t>አገዘ ዋጫፎ ጋርማሞ /አቶ/</t>
  </si>
  <si>
    <t>1285</t>
  </si>
  <si>
    <t>Ageze Yigzaw Melsew /Ato/</t>
  </si>
  <si>
    <t>አገዘ ይግዛው መልሰው /አቶ/</t>
  </si>
  <si>
    <t>0918-339729</t>
  </si>
  <si>
    <t>1286</t>
  </si>
  <si>
    <t>Agidew Bizuayeh Menigesha /Ato/</t>
  </si>
  <si>
    <t>አግደው ብዙአየሁ መንገሸ /አቶ/</t>
  </si>
  <si>
    <t>0991-488273</t>
  </si>
  <si>
    <t>1287</t>
  </si>
  <si>
    <t>Agimas Yinges Assaye /Ato/</t>
  </si>
  <si>
    <t>አግማስ ይንገስ አሳየ /አቶ/</t>
  </si>
  <si>
    <t>1288</t>
  </si>
  <si>
    <t>Aginto Alamirew Chekol /Ato/</t>
  </si>
  <si>
    <t>አግንቶ አላምረዉ ቸኮል /አቶ/</t>
  </si>
  <si>
    <t>1289</t>
  </si>
  <si>
    <t>Agire Amisa /Ato/</t>
  </si>
  <si>
    <t>አጅሬ አሚሳ /አቶ/</t>
  </si>
  <si>
    <t>1290</t>
  </si>
  <si>
    <t>Agire Anno /Ato/</t>
  </si>
  <si>
    <t>አጅሬ አኖ /አቶ/</t>
  </si>
  <si>
    <t>1291</t>
  </si>
  <si>
    <t>Agmasu Dereb Mekonnen /Ato/</t>
  </si>
  <si>
    <t>አግማሱ ደርብ መኮንን /አቶ/</t>
  </si>
  <si>
    <t>1292</t>
  </si>
  <si>
    <t>Agolen Alemu/Ato</t>
  </si>
  <si>
    <t>አጎለን አለሙ እንየው /አቶ/</t>
  </si>
  <si>
    <t>1293</t>
  </si>
  <si>
    <t>Agona Areba Debisa /Ato/</t>
  </si>
  <si>
    <t xml:space="preserve">አጎና አርባ ዴቢሳ /አቶ/ </t>
  </si>
  <si>
    <t>0927-070024</t>
  </si>
  <si>
    <t>1294</t>
  </si>
  <si>
    <t>Agonafir Birhanu  G/Madin (Ato)</t>
  </si>
  <si>
    <t>አጎንፍር ብርሃኑ  /አቶ/</t>
  </si>
  <si>
    <t>910122216</t>
  </si>
  <si>
    <t>1295</t>
  </si>
  <si>
    <t>Aguma Chekele Sinshaw /Ato/</t>
  </si>
  <si>
    <t>አጉማ ጫቅለ ስንሻው /አቶ/</t>
  </si>
  <si>
    <t>1296</t>
  </si>
  <si>
    <t>Agumas Alehgn Wase /Ato/</t>
  </si>
  <si>
    <t>አጉማስ አለህኝ ዋሴ /አቶ/</t>
  </si>
  <si>
    <t>1297</t>
  </si>
  <si>
    <t>Agumas Ambelie Biyab /Ato/</t>
  </si>
  <si>
    <t>አጉማስ አምበሊ ቢያብ /አቶ/</t>
  </si>
  <si>
    <t>1298</t>
  </si>
  <si>
    <t>Agumas Debebe Zelelew /Ato/</t>
  </si>
  <si>
    <t>አጉማሰ ደበበ ዘለለወ /አቶ/</t>
  </si>
  <si>
    <t>1299</t>
  </si>
  <si>
    <t>Agumas Genet Mekuriya /Ato/</t>
  </si>
  <si>
    <t>አጉማስ ገነት መኩሪያ /አቶ/</t>
  </si>
  <si>
    <t>1300</t>
  </si>
  <si>
    <t>Agumas Shiferaw Mulu /Ato/</t>
  </si>
  <si>
    <t>አግማስ ሽፈራዉ ሙሉ /አቶ/</t>
  </si>
  <si>
    <t>1301</t>
  </si>
  <si>
    <t>Agumas Yeneneh /Ato/</t>
  </si>
  <si>
    <t>አጉማስ የኔነህ /አቶ/</t>
  </si>
  <si>
    <t xml:space="preserve">Amharic </t>
  </si>
  <si>
    <t>1302</t>
  </si>
  <si>
    <t>Agumass Mengist /Ato/</t>
  </si>
  <si>
    <t>አጉማሰ መንግሰት /አቶ/</t>
  </si>
  <si>
    <t>0928-480648</t>
  </si>
  <si>
    <t>1303</t>
  </si>
  <si>
    <t>Ahemd Abamecha /Ato/</t>
  </si>
  <si>
    <t xml:space="preserve"> አህመድ አባሜቻ /አቶ/</t>
  </si>
  <si>
    <t>0917-054359</t>
  </si>
  <si>
    <t>1304</t>
  </si>
  <si>
    <t>Ahemed Abeduraheman Dr.</t>
  </si>
  <si>
    <t>አህመድ አብዱራህማን /አቶ/</t>
  </si>
  <si>
    <t>1305</t>
  </si>
  <si>
    <t>Ahemed Mohamed A/Bulgu /Ato/</t>
  </si>
  <si>
    <t>አህምድ መሀመድ /አቶ/</t>
  </si>
  <si>
    <t>0970-264121</t>
  </si>
  <si>
    <t>1306</t>
  </si>
  <si>
    <t>Ahemedin Temama /Ato/</t>
  </si>
  <si>
    <t>አሐመዲን ተማማ /አቶ/</t>
  </si>
  <si>
    <t>0961-865324</t>
  </si>
  <si>
    <t>1307</t>
  </si>
  <si>
    <t>Ahibitie Banti Mengaw / Ato/</t>
  </si>
  <si>
    <t>አህብቴ ባንቲ መንጋው /አቶ/</t>
  </si>
  <si>
    <t>1308</t>
  </si>
  <si>
    <t>Ahima A/gumbul A/nanno /Ato/</t>
  </si>
  <si>
    <t>አሂማ አ/ጉምቡል አ/ናኖ /አቶ/</t>
  </si>
  <si>
    <t>1309</t>
  </si>
  <si>
    <t>Ahimad Biya A/Sanbi /Ato/</t>
  </si>
  <si>
    <t>አሂማድ ቢያ አ/ሳንቢ /አቶ/</t>
  </si>
  <si>
    <t>0932-051612</t>
  </si>
  <si>
    <t>1310</t>
  </si>
  <si>
    <t>Ahimed A/bor /Ato/</t>
  </si>
  <si>
    <t>አሂመድ አ/ቦር /አቶ/</t>
  </si>
  <si>
    <t>0934-077525</t>
  </si>
  <si>
    <t>1311</t>
  </si>
  <si>
    <t xml:space="preserve">Ahimed A/jebel A/jihad /Ato/ </t>
  </si>
  <si>
    <t>አሂመድ አ/ጀበል /አቶ/</t>
  </si>
  <si>
    <t>1312</t>
  </si>
  <si>
    <t>Ahimed A/jihad A/daga /Ato/</t>
  </si>
  <si>
    <t>አሂመድ አ/ጂሃድ /አቶ/</t>
  </si>
  <si>
    <t>0940-390180</t>
  </si>
  <si>
    <t>1313</t>
  </si>
  <si>
    <t>Ahimed Dema /Ato/</t>
  </si>
  <si>
    <t>አሀምደ ደማ /አቶ/</t>
  </si>
  <si>
    <t>0926-663494</t>
  </si>
  <si>
    <t>1314</t>
  </si>
  <si>
    <t>Ahimed Sh/Hajji /Ato/</t>
  </si>
  <si>
    <t>አህመድ ሽ/ሀጂ /አቶ/</t>
  </si>
  <si>
    <t>1315</t>
  </si>
  <si>
    <t>Ahimedin Abaoli /Ato/</t>
  </si>
  <si>
    <t>አህመድን አባኦሊ /አቶ/</t>
  </si>
  <si>
    <t>1316</t>
  </si>
  <si>
    <t>Ahimednur Shehsherefedin Semane /Ato/</t>
  </si>
  <si>
    <t xml:space="preserve">አህመድኑር ሸህሸረፍዲን ስማን /አቶ/ </t>
  </si>
  <si>
    <t>0948-482337</t>
  </si>
  <si>
    <t>1317</t>
  </si>
  <si>
    <t>Ahmdin Omer Mohammed /Ato/</t>
  </si>
  <si>
    <t>አህመዲን ኡመር መሀመድ /አቶ/</t>
  </si>
  <si>
    <t>0975-343464/0911-530007</t>
  </si>
  <si>
    <t>1318</t>
  </si>
  <si>
    <t>Ahmdin Omer Mohammed /Ato/ For Eliyana Ahmdin  /Minor/</t>
  </si>
  <si>
    <t>አህመዲን ኡመር መሀመድ /አቶ/ ለኤልያና አህመዲን  /ህፃን/</t>
  </si>
  <si>
    <t>0929-184040</t>
  </si>
  <si>
    <t>1319</t>
  </si>
  <si>
    <t>Ahmdin Omer Mohammed /Ato/ For Zeyneb Ahmdin  /Minor/</t>
  </si>
  <si>
    <t>አህመዲን ኡመር መሀመድ /አቶ/ ለዘይነብ አህመዲን /ህፃን/</t>
  </si>
  <si>
    <t>1320</t>
  </si>
  <si>
    <t>Ahmed A/Fita A/Lulesa /Ato/</t>
  </si>
  <si>
    <t>አህመድ አ/ፊጣ አ/ሉሌሳ /አቶ/</t>
  </si>
  <si>
    <t>1321</t>
  </si>
  <si>
    <t>Ahmed Abdunaser /Ato/ And/or Nebat Izedin Ali /W/o/</t>
  </si>
  <si>
    <t>አህመድ አብዱናስር /አቶ/ እና/ወይም ነባት ኢዘዲን አሊ /ወ/ሮ/</t>
  </si>
  <si>
    <t>1322</t>
  </si>
  <si>
    <t>Ahmed Addis Alkader /Ato/</t>
  </si>
  <si>
    <t>አህመድ አዲስ አለቃድር /አቶ/</t>
  </si>
  <si>
    <t>0921-764250</t>
  </si>
  <si>
    <t>1323</t>
  </si>
  <si>
    <t>Ahmed Ali Dawud /Ato/</t>
  </si>
  <si>
    <t>አህመድ አሊ ዳዉድ /አቶ/</t>
  </si>
  <si>
    <t>0920-846652</t>
  </si>
  <si>
    <t>wasi2930@gmail.com</t>
  </si>
  <si>
    <t>1324</t>
  </si>
  <si>
    <t>Ahmed Bodaya Helem /Ato/</t>
  </si>
  <si>
    <t>አህመድ ቦደያ ሄሌም /አቶም</t>
  </si>
  <si>
    <t>0922-236666</t>
  </si>
  <si>
    <t>inf.heavfre@gmail.ocm</t>
  </si>
  <si>
    <t>1325</t>
  </si>
  <si>
    <t>Ahmed Ibrahim Abdulahe /Ato/</t>
  </si>
  <si>
    <t>አህመድ ኢብራሂም አብዱላሂ /አቶ/</t>
  </si>
  <si>
    <t>0975-195085</t>
  </si>
  <si>
    <t>yaredtekle123@gmail.com</t>
  </si>
  <si>
    <t>1326</t>
  </si>
  <si>
    <t>Ahmed Jemal Mohammed /Ato/</t>
  </si>
  <si>
    <t>አህመድ ጀማል መሀመድ /አቶ/</t>
  </si>
  <si>
    <t>0911-455573</t>
  </si>
  <si>
    <t>getawud@gmail.com</t>
  </si>
  <si>
    <t>1327</t>
  </si>
  <si>
    <t>Ahmed Kasahun Fantahun /Ato/</t>
  </si>
  <si>
    <t>አህመድ ካሳሁን ፋንታሁን /አቶ/</t>
  </si>
  <si>
    <t>1328</t>
  </si>
  <si>
    <t>Ahmed Mohammed Ahmed /Ato/</t>
  </si>
  <si>
    <t>አህመድ መሐመድ አህመድ /አቶ/</t>
  </si>
  <si>
    <t>0912213572
0911088014</t>
  </si>
  <si>
    <t>1329</t>
  </si>
  <si>
    <t>Ahmed Mohammed Taha /Ato/</t>
  </si>
  <si>
    <t>አህመድ መሀመድ ጣሃ /አቶ/</t>
  </si>
  <si>
    <t>0939-886512</t>
  </si>
  <si>
    <t>1330</t>
  </si>
  <si>
    <t>Ahmed Mohammed Yimer /Ato/</t>
  </si>
  <si>
    <t>አህመድ መሀመድ ይመር /አቶ/</t>
  </si>
  <si>
    <t>1331</t>
  </si>
  <si>
    <t>Ahmed Nuru Mehamed /Ato/</t>
  </si>
  <si>
    <t>አህመድ ኑሩ መሀመድ /አቶ/</t>
  </si>
  <si>
    <t>1332</t>
  </si>
  <si>
    <t>1333</t>
  </si>
  <si>
    <t>Ahmed Shehu Mohammed /Ato/</t>
  </si>
  <si>
    <t>አህመድ ሸሁ መሀመድ /አቶ/</t>
  </si>
  <si>
    <t>0920774270</t>
  </si>
  <si>
    <t>1334</t>
  </si>
  <si>
    <t>Ahmed Wolle /Ato/</t>
  </si>
  <si>
    <t>አህመድ ወሌ /አቶ/</t>
  </si>
  <si>
    <t>0926-319336</t>
  </si>
  <si>
    <t>wollefys@gmail.com</t>
  </si>
  <si>
    <t>1335</t>
  </si>
  <si>
    <t>Ahmed Yesuf Umer /Ato/</t>
  </si>
  <si>
    <t>አህመድ የሱፍ ኡመር /አቶ/</t>
  </si>
  <si>
    <t>0919-365132</t>
  </si>
  <si>
    <t>1336</t>
  </si>
  <si>
    <t>Ahmedin Abdulkerim Yousuf /Ato/</t>
  </si>
  <si>
    <t>አህመዲን አብዱልከሪም ዩሱፍ /አቶ/</t>
  </si>
  <si>
    <t>0911-987931</t>
  </si>
  <si>
    <t>natnaelw5@gmail.com</t>
  </si>
  <si>
    <t>1337</t>
  </si>
  <si>
    <t>1338</t>
  </si>
  <si>
    <t>1339</t>
  </si>
  <si>
    <t>Ahmedlhadi Kassa Hasen /Ato/</t>
  </si>
  <si>
    <t>አህመድልሀዲ ካሳ ሀሰን /አቶ/</t>
  </si>
  <si>
    <t>0912-920593</t>
  </si>
  <si>
    <t>sariaelsi@gmail.com</t>
  </si>
  <si>
    <t>1340</t>
  </si>
  <si>
    <t>Ahmro Tiruneh Bekele /Ato/</t>
  </si>
  <si>
    <t>አህምሮ ጥሩነህ በቀለ /አቶ/</t>
  </si>
  <si>
    <t>0924-161759</t>
  </si>
  <si>
    <t>1341</t>
  </si>
  <si>
    <t>Aida H/Mariam Marcos /W/o/</t>
  </si>
  <si>
    <t>አይዳ ሀ/ማርያም ማርቆስ /ወ/ሮ/</t>
  </si>
  <si>
    <t>1342</t>
  </si>
  <si>
    <t>Aida Kebede Alemayehu /W/o/</t>
  </si>
  <si>
    <t>አይዳ ከበደ አለማየሁ /ወ/ሮ/</t>
  </si>
  <si>
    <t>0911-120624</t>
  </si>
  <si>
    <t>1343</t>
  </si>
  <si>
    <t>Aida Mulat Taklewold /W/o/</t>
  </si>
  <si>
    <t>አይዳ ሙላት ተክለወልድ /ወ/ሮ/</t>
  </si>
  <si>
    <t>0911-108037</t>
  </si>
  <si>
    <t>kenhir9@gmail.com</t>
  </si>
  <si>
    <t>1344</t>
  </si>
  <si>
    <t>Aida Mulat Tekelewold /W/o/</t>
  </si>
  <si>
    <t>1345</t>
  </si>
  <si>
    <t>Aiemiro Zeru Tariku /Ato/</t>
  </si>
  <si>
    <t>አዕምሮ ዘሩ ታሪኩ /አቶ/</t>
  </si>
  <si>
    <t>0912-723012</t>
  </si>
  <si>
    <t>1346</t>
  </si>
  <si>
    <t>Ainababa Gashaw Kebede</t>
  </si>
  <si>
    <t>ዓይንአበባ ጋሻው ከበደ/ወ/ሮ/</t>
  </si>
  <si>
    <t>0911-449328
0911-738610
+447982673820</t>
  </si>
  <si>
    <t>ainneg@hotmail.co.uk</t>
  </si>
  <si>
    <t>1347</t>
  </si>
  <si>
    <t>Ainababa Gashaw Kebede /W/o/</t>
  </si>
  <si>
    <t>ዓይንአበባ ጋሻው ከበደ /ወ/ሮ/</t>
  </si>
  <si>
    <t>0911-449328/0911-738610
+447982673820</t>
  </si>
  <si>
    <t>1348</t>
  </si>
  <si>
    <t>Aisha Jibril Suleiman /Dr/</t>
  </si>
  <si>
    <t>አኢሻ ጅብሪል ሱሌይማን /ዶ/ር/</t>
  </si>
  <si>
    <t>0913-263479</t>
  </si>
  <si>
    <t>1349</t>
  </si>
  <si>
    <t>Aishaa Mohammed  /W/O/</t>
  </si>
  <si>
    <t>አይሻ መሀመድ/ወ/ሮ/</t>
  </si>
  <si>
    <t>1350</t>
  </si>
  <si>
    <t>Ajamo Adiro /Ato/</t>
  </si>
  <si>
    <t>አጃሞ አዲሮ /አቶ/</t>
  </si>
  <si>
    <t>1351</t>
  </si>
  <si>
    <t>Ajamo Alago Ambo /Ato/</t>
  </si>
  <si>
    <t>አጃሞ አላንጎ አምቦ /አቶ/</t>
  </si>
  <si>
    <t>0926-121871</t>
  </si>
  <si>
    <t>1352</t>
  </si>
  <si>
    <t>Ajanaw Mola Mekonen /Ato/</t>
  </si>
  <si>
    <t>አጀናው ሞላ መኮነን /አቶ/</t>
  </si>
  <si>
    <t>0909-636577</t>
  </si>
  <si>
    <t>1353</t>
  </si>
  <si>
    <t>Ajebew Yalew Melese /Ato/</t>
  </si>
  <si>
    <t>አጀበዉ ያለዉ መለሰ /አቶ/</t>
  </si>
  <si>
    <t>1354</t>
  </si>
  <si>
    <t>Ajebushi Alem Hailu /W/o/</t>
  </si>
  <si>
    <t>አጀቡሺ አለም ሀይሉ /ወ/ሮ/</t>
  </si>
  <si>
    <t>1355</t>
  </si>
  <si>
    <t>Ajema Tolessa Geda /Ato/</t>
  </si>
  <si>
    <t>አጃማ ቶሎሳ ገዳ /አቶ/</t>
  </si>
  <si>
    <t>0911398505</t>
  </si>
  <si>
    <t>ajematolessa@gmail.com</t>
  </si>
  <si>
    <t>1356</t>
  </si>
  <si>
    <t>Ajinawe Mola Gebeyehu /Kes/</t>
  </si>
  <si>
    <t>አጂናው ሞላ ገበየሁ /ቀስ/</t>
  </si>
  <si>
    <t>1357</t>
  </si>
  <si>
    <t>Ajiso Aboye Amaro /Ato/</t>
  </si>
  <si>
    <t>አጅሶ አቦዬ አማሮ /አቶ/</t>
  </si>
  <si>
    <t>0942-786789</t>
  </si>
  <si>
    <t>1358</t>
  </si>
  <si>
    <t>Akale Mordie /Ato/</t>
  </si>
  <si>
    <t>አካለ ሞርዲ /አቶ/</t>
  </si>
  <si>
    <t>0941-165616</t>
  </si>
  <si>
    <t>1359</t>
  </si>
  <si>
    <t>Akale wudimeneh Agonafer /Ato/</t>
  </si>
  <si>
    <t>አካሌ ወንድምነህ አጎናፍር /አቶ/</t>
  </si>
  <si>
    <t>0910-911169</t>
  </si>
  <si>
    <t>1360</t>
  </si>
  <si>
    <t>Akalu  Endriyas /Ato/</t>
  </si>
  <si>
    <t>አካሉ እንድርያስ /አቶ/</t>
  </si>
  <si>
    <t>0995-514480</t>
  </si>
  <si>
    <t>1361</t>
  </si>
  <si>
    <t>Akalu Abera Biza /Ato/</t>
  </si>
  <si>
    <t>አካሉ አበራ ብዛ /አቶ/</t>
  </si>
  <si>
    <t>0911-643529</t>
  </si>
  <si>
    <t>1362</t>
  </si>
  <si>
    <t>Akalu Abireham Anjelo /Ato/</t>
  </si>
  <si>
    <t>አካሉ አብርሀም  አንጀሎ /አቶ/</t>
  </si>
  <si>
    <t>0916-693683</t>
  </si>
  <si>
    <t>1363</t>
  </si>
  <si>
    <t>Akalu Abraham Bikamo /Ato/</t>
  </si>
  <si>
    <t>አካሉ አብርሐም ቢቃሞ /አቶ/</t>
  </si>
  <si>
    <t>1364</t>
  </si>
  <si>
    <t>Akalu Arba Koyra /Ato/</t>
  </si>
  <si>
    <t>አካሉ አርባ ኮይራ /አቶ/</t>
  </si>
  <si>
    <t>1365</t>
  </si>
  <si>
    <t>Akalu Auy Jabo /Ato/</t>
  </si>
  <si>
    <t>አካሉ ኡይ ጃቦ /አቶ/</t>
  </si>
  <si>
    <t>0974-637320</t>
  </si>
  <si>
    <t>1366</t>
  </si>
  <si>
    <t>Akalu Gensato /Ato/</t>
  </si>
  <si>
    <t>አካሉ ጌንሳቶ /አቶ/</t>
  </si>
  <si>
    <t>1367</t>
  </si>
  <si>
    <t>Akalu Gintamo /Ato/</t>
  </si>
  <si>
    <t>አካ ሉ ግንታሞ /አቶ/</t>
  </si>
  <si>
    <t>1368</t>
  </si>
  <si>
    <t>1369</t>
  </si>
  <si>
    <t>Akalu Mulualem Misfen /Ato/</t>
  </si>
  <si>
    <t>አካሉ ሙሉአለም መሰፍን /አቶ/</t>
  </si>
  <si>
    <t>1370</t>
  </si>
  <si>
    <t>Akalu Serago /Ato/</t>
  </si>
  <si>
    <t>አካሉ ሴራጎ /አቶ/</t>
  </si>
  <si>
    <t>1371</t>
  </si>
  <si>
    <t>Akalu Welde Asfaw /Ato/ and/or Weynshet Ketema /W/o/</t>
  </si>
  <si>
    <t>አካሉ ወልዴ አስፋው  /አቶ/ እና/ወይም ወይንሸት ከተማ /ወ/ሮ/</t>
  </si>
  <si>
    <t>akaluw@att.net</t>
  </si>
  <si>
    <t>1372</t>
  </si>
  <si>
    <t>Akilile Tsegaye Kefele /Ato/</t>
  </si>
  <si>
    <t>አክሊል ፀጋዬ ክፍለ /አቶ/</t>
  </si>
  <si>
    <t>0948-307970</t>
  </si>
  <si>
    <t>1373</t>
  </si>
  <si>
    <t>Akililu Abiye Anichie /Ato/</t>
  </si>
  <si>
    <t>አክሊሉ አብዬ አንቼ /አቶ/</t>
  </si>
  <si>
    <t>0916-555264</t>
  </si>
  <si>
    <t>1374</t>
  </si>
  <si>
    <t>1375</t>
  </si>
  <si>
    <t>Akililu Dane /Ato/</t>
  </si>
  <si>
    <t>አክሊሉ ዳና /አቶ/</t>
  </si>
  <si>
    <t>1376</t>
  </si>
  <si>
    <t>Akililu Etefu G/Michael /Ato/ and/or Tigist Andualem Fekadu /W/o/</t>
  </si>
  <si>
    <t xml:space="preserve">አክሊሉ እጥፉ ገ/ሚካኤል /አቶ/ ትዕግስት አንዱዓለም ፍቃዱ /ወ/ሮ/ </t>
  </si>
  <si>
    <t>0918-072643</t>
  </si>
  <si>
    <t>1377</t>
  </si>
  <si>
    <t>Akililu Ganasha Ganta /Ato/</t>
  </si>
  <si>
    <t>አክሊሉ ጋናሻ ጋንታ /አቶ/</t>
  </si>
  <si>
    <t>1378</t>
  </si>
  <si>
    <t>Akililu Tewamo Tiwato/Ato/</t>
  </si>
  <si>
    <t>አክሊሉ ቲዋሞ ቲዋቶ /አቶ/</t>
  </si>
  <si>
    <t>0916-120046</t>
  </si>
  <si>
    <t>1379</t>
  </si>
  <si>
    <t>Akililu Tiruneh Tamerat /Ato/</t>
  </si>
  <si>
    <t>አክሊሉ ጥሩነህ ታምራት /አቶ/</t>
  </si>
  <si>
    <t>1380</t>
  </si>
  <si>
    <t>Akiliu Admassu G/Michael /Ato/</t>
  </si>
  <si>
    <t>አክሊሉ አድማሱ ገ/ሚካኤል /አቶ/</t>
  </si>
  <si>
    <t>0994-165966</t>
  </si>
  <si>
    <t>derejesahle@ymail.com</t>
  </si>
  <si>
    <t>1381</t>
  </si>
  <si>
    <t>Akiliu Shewangzaw Tefera /Ato/</t>
  </si>
  <si>
    <t>አክሊሉ ሸዋንግዛው ተፈራ /አቶ/</t>
  </si>
  <si>
    <t>0915-826782/0912-394562</t>
  </si>
  <si>
    <t>atg4abiy@yahoo.com</t>
  </si>
  <si>
    <t>1382</t>
  </si>
  <si>
    <t>Akinaw Kibret Dessi /Ato/</t>
  </si>
  <si>
    <t>አቀናዉ ክብረት ደሴ /አቶ/</t>
  </si>
  <si>
    <t>1383</t>
  </si>
  <si>
    <t>Akinaw Menegesha G/georgis /Ato/</t>
  </si>
  <si>
    <t>አቅናዉ መንገሻ ገ/ጊዮርጊስ /አቶ/</t>
  </si>
  <si>
    <t>1384</t>
  </si>
  <si>
    <t>Akinie Tsega/ Ato</t>
  </si>
  <si>
    <t>አቅኔ ፀጋ እሸቴ /አቶ/</t>
  </si>
  <si>
    <t>1385</t>
  </si>
  <si>
    <t>Akisiyon Elias Ankesh /Ato/</t>
  </si>
  <si>
    <t>አክሲዮን ኤልያስ አንከሽ /አቶ/</t>
  </si>
  <si>
    <t>1386</t>
  </si>
  <si>
    <t>Akiya Werku Gudeta /Ato/</t>
  </si>
  <si>
    <t>አኪያ ወርቁ ጉደታ /አቶ/</t>
  </si>
  <si>
    <t>0913-179052</t>
  </si>
  <si>
    <t>1387</t>
  </si>
  <si>
    <t>Aklie Yizengaw Zegeye /W/O/</t>
  </si>
  <si>
    <t>አክሌ ይዘንጋው ዘገየ /ወ/ሮ/</t>
  </si>
  <si>
    <t>1388</t>
  </si>
  <si>
    <t>Aklil Demissie Beru /W/o/</t>
  </si>
  <si>
    <t>አክሊል ደምሴ ብሩ /ወ/ት/</t>
  </si>
  <si>
    <t>0911-693330</t>
  </si>
  <si>
    <t>1389</t>
  </si>
  <si>
    <t>Aklil Dereje Tamene /W/t/</t>
  </si>
  <si>
    <t>አክሊል ደረጄ ታመነ /ወ/ት/</t>
  </si>
  <si>
    <t>0911-129379</t>
  </si>
  <si>
    <t>1390</t>
  </si>
  <si>
    <t>1391</t>
  </si>
  <si>
    <t>Aklile Tsige Mersha /W/o/</t>
  </si>
  <si>
    <t>አክሊለ ፅጌ መርሻ /ወ/ሮ/</t>
  </si>
  <si>
    <t>0916-828708</t>
  </si>
  <si>
    <t>1392</t>
  </si>
  <si>
    <t>Aklilmariam Tensaew /W/o/ for Yeabsira Daniel /Minor/</t>
  </si>
  <si>
    <t>አክሊለማሪያም ትንሳኤው /ወ/ሮ/ ለየአብስራ ዳንኤል /ህጻን/</t>
  </si>
  <si>
    <t>0913-931105</t>
  </si>
  <si>
    <t>1393</t>
  </si>
  <si>
    <t>Aklilu Abera Saletie /Ato/</t>
  </si>
  <si>
    <t>አክሊሉ አበራ ሳልቴ /አቶ/</t>
  </si>
  <si>
    <t>1394</t>
  </si>
  <si>
    <t>Aklilu Adame /Ato/</t>
  </si>
  <si>
    <t>አክሊሉ አዳሜ /አቶ/</t>
  </si>
  <si>
    <t>0942-001936</t>
  </si>
  <si>
    <t>1395</t>
  </si>
  <si>
    <t xml:space="preserve">Aklilu Alemayehu </t>
  </si>
  <si>
    <t>1396</t>
  </si>
  <si>
    <t>Aklilu Alemayehu /Ato/</t>
  </si>
  <si>
    <t>አክሊሉ አለማየሁ /አቶ/</t>
  </si>
  <si>
    <t>1397</t>
  </si>
  <si>
    <t>Aklilu Alemayha Mengiste /Ato/</t>
  </si>
  <si>
    <t>አክሊሉ አለማየሁ መንግስቴ /አቶ/</t>
  </si>
  <si>
    <t>0929-256851</t>
  </si>
  <si>
    <t>mengisteaklilu@gmail.com</t>
  </si>
  <si>
    <t>1398</t>
  </si>
  <si>
    <t>1399</t>
  </si>
  <si>
    <t>Aklilu Amanuel Tesfaye /Ato/</t>
  </si>
  <si>
    <t>አክሊሉ አማኑኤል ተስፋዬ /አቶ/</t>
  </si>
  <si>
    <t>1400</t>
  </si>
  <si>
    <t>Aklilu Amsalu /Ato/ And/or Mekonnen Elfneh /Ato/</t>
  </si>
  <si>
    <t>አክሊሉ አምሳሉ /አቶ/ እና/ወይም መኮንን እልፍነህ /አቶ/</t>
  </si>
  <si>
    <t>0916-855034/0911-708634</t>
  </si>
  <si>
    <t>wodimerso@gmail.com</t>
  </si>
  <si>
    <t>1401</t>
  </si>
  <si>
    <t>Aklilu Ayele /Ato/</t>
  </si>
  <si>
    <t>አክሊሉ አየለ /አቶ/</t>
  </si>
  <si>
    <t>0922-585013</t>
  </si>
  <si>
    <t>1402</t>
  </si>
  <si>
    <t>Aklilu Balach /Ato/</t>
  </si>
  <si>
    <t>አክሊሉ ባላች /አቶ/</t>
  </si>
  <si>
    <t>0913-468264</t>
  </si>
  <si>
    <t>1403</t>
  </si>
  <si>
    <t>Aklilu Berhanu Tsega /Ato/</t>
  </si>
  <si>
    <t>አክሊሉ ብርሀኑ ፀጋ /አቶ/</t>
  </si>
  <si>
    <t>1404</t>
  </si>
  <si>
    <t>Aklilu Chane Mengesha /Ato/ and/or Tewabech Negussie /W/o/</t>
  </si>
  <si>
    <t>አክሊሉ ጫኔ መንገሻ /አቶ/ እና/ወይም ተዋበች ንጉሴ /ወ/ሮ/</t>
  </si>
  <si>
    <t>0932-439387</t>
  </si>
  <si>
    <t>1405</t>
  </si>
  <si>
    <t>Aklilu Getachew /Ato/ For Yemaryam  And Abigel Aklilu /Minors/</t>
  </si>
  <si>
    <t>አክሊሉ ጌታቸዉ /አቶ/ የማርያም አክሊሉ እና አቢጌል አክሊሉ /ህፃን/</t>
  </si>
  <si>
    <t>0922-339612</t>
  </si>
  <si>
    <t>1406</t>
  </si>
  <si>
    <t>Aklilu Hailu /Ato/</t>
  </si>
  <si>
    <t>አክሊሉ ሀይሉ /አቶ/</t>
  </si>
  <si>
    <t>1407</t>
  </si>
  <si>
    <t>Aklilu Kebede Wurga /Ato/</t>
  </si>
  <si>
    <t>አክሊሉ ከበደ ዉርጋ /አቶ/</t>
  </si>
  <si>
    <t>0903-088942</t>
  </si>
  <si>
    <t>aklilu1st@yahoo.com</t>
  </si>
  <si>
    <t>1408</t>
  </si>
  <si>
    <t>አክሊሉ ከበደ ውርጋ /አቶ/</t>
  </si>
  <si>
    <t>0982-105987/0911-219117</t>
  </si>
  <si>
    <t>gebissao@gmail.com</t>
  </si>
  <si>
    <t>1409</t>
  </si>
  <si>
    <t>1410</t>
  </si>
  <si>
    <t>Aklilu Nadew Seta /Ato/</t>
  </si>
  <si>
    <t>አክሊሉ ናደው ሴታ  /አቶ/</t>
  </si>
  <si>
    <t>1411</t>
  </si>
  <si>
    <t>1412</t>
  </si>
  <si>
    <t>Aklilu Tadele Ferko   /Ato/</t>
  </si>
  <si>
    <t>አክሊሉ ታደለ ፈረኮ /አቶ/</t>
  </si>
  <si>
    <t>0911-146803</t>
  </si>
  <si>
    <t>1413</t>
  </si>
  <si>
    <t>Aklilu Tadesse Habtemariam /Ato/</t>
  </si>
  <si>
    <t>አክሊሉ ታደሰ ሀ/ማርያም /አቶ/</t>
  </si>
  <si>
    <t>0963-587576</t>
  </si>
  <si>
    <t>Finland</t>
  </si>
  <si>
    <t>akliluhabtemariam@gmail.com</t>
  </si>
  <si>
    <t>1414</t>
  </si>
  <si>
    <t>Aklilu Tsegaye Bekele /Ato/</t>
  </si>
  <si>
    <t>አክሊሉ ፀጋዬ በቀለ /አቶ/</t>
  </si>
  <si>
    <t>0919-879445</t>
  </si>
  <si>
    <t>1415</t>
  </si>
  <si>
    <t>Aklilu Tsegye Fantaye /Ato/</t>
  </si>
  <si>
    <t>አክሊሉ ፀጋዬ ፋንታዬ /አቶ/</t>
  </si>
  <si>
    <t>614-3819658</t>
  </si>
  <si>
    <t>fisseha.mengistu@yahoo.com</t>
  </si>
  <si>
    <t>1416</t>
  </si>
  <si>
    <t>Aklilu Tulema Jima (Ato)</t>
  </si>
  <si>
    <t xml:space="preserve">አክሊሉ ቱለማ ጂማ /አቶ/  </t>
  </si>
  <si>
    <t>1417</t>
  </si>
  <si>
    <t>Aklilu Wolde Zena /Ato/</t>
  </si>
  <si>
    <t>አክሊሉ ወልዴ ዜና /አቶ/</t>
  </si>
  <si>
    <t>1418</t>
  </si>
  <si>
    <t>Aklok Kibru Mersha /Ato/</t>
  </si>
  <si>
    <t>አክሎክ ክብሩ መርሻ /አቶ/</t>
  </si>
  <si>
    <t>1419</t>
  </si>
  <si>
    <t>Akmel Nassir Sulayman /Ato/</t>
  </si>
  <si>
    <t>አክመል ናስር ሱላይማን /አቶ/</t>
  </si>
  <si>
    <t>0912-214616</t>
  </si>
  <si>
    <t>yenenehs@yahoo.com</t>
  </si>
  <si>
    <t>1420</t>
  </si>
  <si>
    <t>Akram Abdulbasit Ahmed /Ato/</t>
  </si>
  <si>
    <t>አክራም አብዱልባሲጥ አህመድ /አቶ/</t>
  </si>
  <si>
    <t>0911-900097</t>
  </si>
  <si>
    <t>1421</t>
  </si>
  <si>
    <t>Alachew Wale Aschalew /Ato/</t>
  </si>
  <si>
    <t>አላቸው ዋለ አስቻለው /አቶ/</t>
  </si>
  <si>
    <t>0935-482852</t>
  </si>
  <si>
    <t>1422</t>
  </si>
  <si>
    <t>Aladin Nasir A/Mecha /Ato/</t>
  </si>
  <si>
    <t>አላዲን ናስር አ/ሜጫ /አቶ/</t>
  </si>
  <si>
    <t>1423</t>
  </si>
  <si>
    <t>Alaka Adiso /Ato/</t>
  </si>
  <si>
    <t>አላካ አድሶ ልማሶ /አቶ/</t>
  </si>
  <si>
    <t>0916-405963</t>
  </si>
  <si>
    <t>1424</t>
  </si>
  <si>
    <t>Alaka Sadewo /Ato/</t>
  </si>
  <si>
    <t>አለካ ሶዴኦ /አቶ/</t>
  </si>
  <si>
    <t>1425</t>
  </si>
  <si>
    <t xml:space="preserve">Alalew Kebede Lake /Ato/ </t>
  </si>
  <si>
    <t>አታልወ ከብድ ላቀ  /አቶ/</t>
  </si>
  <si>
    <t>1426</t>
  </si>
  <si>
    <t>Alalo Keto Ambecho /Ato/</t>
  </si>
  <si>
    <t>አላሎ ካቶ /አቶ/</t>
  </si>
  <si>
    <t>1427</t>
  </si>
  <si>
    <t>Alam Asha Boasha /Ato/</t>
  </si>
  <si>
    <t>አላም አሻ ቦአሻ /አቶ/</t>
  </si>
  <si>
    <t>1428</t>
  </si>
  <si>
    <t>Alamayu Tefera Negatu /Ato/</t>
  </si>
  <si>
    <t>አለማዩ ተፈራ ንጋቱ /አቶ/</t>
  </si>
  <si>
    <t>0947-733610</t>
  </si>
  <si>
    <t>1429</t>
  </si>
  <si>
    <t>Alamene Alemu Yezengaw /Ato/</t>
  </si>
  <si>
    <t>አላመነ አለሙ ይዘንጋው /አቶ/</t>
  </si>
  <si>
    <t>1430</t>
  </si>
  <si>
    <t>Alamerew Atakelti Gebru /Ato/</t>
  </si>
  <si>
    <t>አላምረው አታክልቲ ገብሩ /አቶ/</t>
  </si>
  <si>
    <t>0925-267031/0911-166058</t>
  </si>
  <si>
    <t>1431</t>
  </si>
  <si>
    <t>Alamerew Setie Worku /Ato/</t>
  </si>
  <si>
    <t>አለምረው ሰጤ ወረቁ /አቶ/</t>
  </si>
  <si>
    <t>1432</t>
  </si>
  <si>
    <t>Alamerwe Abe Mengistu /Ato/</t>
  </si>
  <si>
    <t>አላመረወ አቤ መንግስቱ /አቶ/</t>
  </si>
  <si>
    <t>1433</t>
  </si>
  <si>
    <t>Alamine Ezewodres Cheru /Ato/</t>
  </si>
  <si>
    <t>አላምኔ እዝውድርሰ ቸሩ /አቶ/</t>
  </si>
  <si>
    <t>1434</t>
  </si>
  <si>
    <t>Alamir Mekonenn /Ato/</t>
  </si>
  <si>
    <t>አለምር መኮንን /አቶ/</t>
  </si>
  <si>
    <t>0918-576189</t>
  </si>
  <si>
    <t>1435</t>
  </si>
  <si>
    <t>Alamirew Derso /Ato/</t>
  </si>
  <si>
    <t>አላምረው ደርሶ /አቶ/</t>
  </si>
  <si>
    <t>1436</t>
  </si>
  <si>
    <t>Alamitu Galcho /W/O/</t>
  </si>
  <si>
    <t xml:space="preserve"> አለሚቱ ጋልቾ /ወ/ሮ/</t>
  </si>
  <si>
    <t>1437</t>
  </si>
  <si>
    <t>Alamne Tirife  Temesgen /Ato/</t>
  </si>
  <si>
    <t>አላምኔ ትርፌ ተመሰገን /አቶ/</t>
  </si>
  <si>
    <t>1438</t>
  </si>
  <si>
    <t>Alamudin A/zinab A/milki /Ato/</t>
  </si>
  <si>
    <t>አላሙዲን አ/ዚናብ አ/ሚልኪ /አቶ/</t>
  </si>
  <si>
    <t>1439</t>
  </si>
  <si>
    <t>Alamudin Abdo /Ato/</t>
  </si>
  <si>
    <t>አላሙዲን አብዶ /አቶ/</t>
  </si>
  <si>
    <t>1440</t>
  </si>
  <si>
    <t>Alamudin Gidi /Ato/</t>
  </si>
  <si>
    <t>አላሙዲን ጌዴ /አቶ/</t>
  </si>
  <si>
    <t>0977-851756</t>
  </si>
  <si>
    <t>1441</t>
  </si>
  <si>
    <t xml:space="preserve">Alana Chnduro /Ato / </t>
  </si>
  <si>
    <t xml:space="preserve">አላና ጩንዱሮ  /አቶ/ </t>
  </si>
  <si>
    <t>1442</t>
  </si>
  <si>
    <t>Alanido Taso /Ato/</t>
  </si>
  <si>
    <t>አላንዶ ጦሶ /አቶ/</t>
  </si>
  <si>
    <t>1443</t>
  </si>
  <si>
    <t xml:space="preserve">Alawia Hasan Nasser </t>
  </si>
  <si>
    <t>አላዊያ ሀሰን ናስር</t>
  </si>
  <si>
    <t>0911-976970</t>
  </si>
  <si>
    <t>UAE</t>
  </si>
  <si>
    <t>alawiasamad@gmail.com</t>
  </si>
  <si>
    <t>1444</t>
  </si>
  <si>
    <t>Alaye Abawa Ytayew /Ato/</t>
  </si>
  <si>
    <t>አላየ አባዋ ይታየው /አቶ/</t>
  </si>
  <si>
    <t>0932-270719</t>
  </si>
  <si>
    <t>1445</t>
  </si>
  <si>
    <t>Alaye Dessi  /Ato/</t>
  </si>
  <si>
    <t>አላየ ደሴ ገሰሰ /አቶ/</t>
  </si>
  <si>
    <t>1446</t>
  </si>
  <si>
    <t>Alaye Fosha Chama /Ato/</t>
  </si>
  <si>
    <t xml:space="preserve">አለዬ ፎሻ /አቶ/ </t>
  </si>
  <si>
    <t>1447</t>
  </si>
  <si>
    <t>Alaye Kercto Garemamo /Ato/</t>
  </si>
  <si>
    <t xml:space="preserve"> አላየ ከራቶ ጋራሞ /አቶ/</t>
  </si>
  <si>
    <t>1448</t>
  </si>
  <si>
    <t>Alaye Mekonnen Belay /Ato/</t>
  </si>
  <si>
    <t>አላየ መኮነን በላይ /አቶ/</t>
  </si>
  <si>
    <t>1449</t>
  </si>
  <si>
    <t>Alaye Misker Mareye /Ato/</t>
  </si>
  <si>
    <t>አላየ ምስከር ማርዬ /አቶ/</t>
  </si>
  <si>
    <t>1450</t>
  </si>
  <si>
    <t>1451</t>
  </si>
  <si>
    <t>Alayu Bekele Tafese /Ato/</t>
  </si>
  <si>
    <t>አላዩ በቀለ ታፈስ /አቶ/</t>
  </si>
  <si>
    <t>0914-490301</t>
  </si>
  <si>
    <t>1452</t>
  </si>
  <si>
    <t>Alayu Mengistu Beyene /Ato/</t>
  </si>
  <si>
    <t>አላዩ መንግስቱ በየነ /አቶ/</t>
  </si>
  <si>
    <t>1453</t>
  </si>
  <si>
    <t>Alazar Asnake Usato /Ato/</t>
  </si>
  <si>
    <t>አላዛር አሰናቀ ኡሳቶ /አቶ/</t>
  </si>
  <si>
    <t>0916-650700</t>
  </si>
  <si>
    <t>1454</t>
  </si>
  <si>
    <t>Alazar Assefa Sebaga /Ato/</t>
  </si>
  <si>
    <t>አልዓዛር አሰፋ ሰባጋ /አቶ/</t>
  </si>
  <si>
    <t>0911-569831</t>
  </si>
  <si>
    <t>1455</t>
  </si>
  <si>
    <t>Alazar Ephrem Disasa /Ato/</t>
  </si>
  <si>
    <t>አላዛር ኤፍሬም ዲሣሣ /አቶ/</t>
  </si>
  <si>
    <t>0913-746977</t>
  </si>
  <si>
    <t>lazarusic20@gmail.com</t>
  </si>
  <si>
    <t>1456</t>
  </si>
  <si>
    <t>Alazar Fikru Berhe /Ato/</t>
  </si>
  <si>
    <t>አላዛር ፍቅሩ በርሔ /አቶ/</t>
  </si>
  <si>
    <t>0989-163639</t>
  </si>
  <si>
    <t>1457</t>
  </si>
  <si>
    <t>Alazar Habte Daniel /Ato/</t>
  </si>
  <si>
    <t>አልአዛር ሀብተ ዳንኤል /አቶ/</t>
  </si>
  <si>
    <t>0920-315979
0908-768555</t>
  </si>
  <si>
    <t>1458</t>
  </si>
  <si>
    <t>Alazar Kelele Geremew /Ato/ and/or Shitaye Wondemu Haile /W/o/</t>
  </si>
  <si>
    <t>አልአዛር ከለላ ገረመው /አቶ/ እና/ወይም ሽታዬ ወንድሙ ሀይሌ /ወ/ሮ/</t>
  </si>
  <si>
    <t>0920-562938</t>
  </si>
  <si>
    <t>birhanumelese@gmail.com</t>
  </si>
  <si>
    <t>1459</t>
  </si>
  <si>
    <t>Alazar Mulegeta Tadesse /Ato/</t>
  </si>
  <si>
    <t>አላዛር ሙሉጌታ ታደሰ /አቶ/</t>
  </si>
  <si>
    <t>1460</t>
  </si>
  <si>
    <t>Alazar Nigusse Shale /Ato/</t>
  </si>
  <si>
    <t>አላዛር  ንጉሴ  ሣህሌ  /አቶ/</t>
  </si>
  <si>
    <t>1461</t>
  </si>
  <si>
    <t>Alazar Solomon /Ato/</t>
  </si>
  <si>
    <t>አልአዛር ሰለሞን ከበደ /አቶ/</t>
  </si>
  <si>
    <t>0911-660387</t>
  </si>
  <si>
    <t>1462</t>
  </si>
  <si>
    <t>Alazar Zenebe Haregewoin /Ato/</t>
  </si>
  <si>
    <t>አላዛር ዘነበ ሀረገወይን /አቶ/</t>
  </si>
  <si>
    <t>0909-543979</t>
  </si>
  <si>
    <t>1463</t>
  </si>
  <si>
    <t>Alazare Wondwosen Tesfay /Ato/</t>
  </si>
  <si>
    <t>አላዛር ወንድወሰን ተስፋይ /አቶ/</t>
  </si>
  <si>
    <t>0913-269628</t>
  </si>
  <si>
    <t>1464</t>
  </si>
  <si>
    <t>Alazer Tsehaye Dechassa /Ato/</t>
  </si>
  <si>
    <t>አልዓዛር ፀሀዬ ደቻሳ /አቶ/</t>
  </si>
  <si>
    <t>0910-316520</t>
  </si>
  <si>
    <t>sezyoh102@gmail.com</t>
  </si>
  <si>
    <t>1465</t>
  </si>
  <si>
    <t>Alebachew Akal Tegegne /Ato/</t>
  </si>
  <si>
    <t>አለባቸው አካል ተገኘ /አቶ/</t>
  </si>
  <si>
    <t>0970-784293</t>
  </si>
  <si>
    <t>1466</t>
  </si>
  <si>
    <t>Alebachew Asnake Basaznew /Ato/</t>
  </si>
  <si>
    <t>አለባቸው አስናቀ ባሳዝነው /አቶ/</t>
  </si>
  <si>
    <t>0911-559390</t>
  </si>
  <si>
    <t>1467</t>
  </si>
  <si>
    <t>Alebachew Bayelign Mekonnen /Kes/</t>
  </si>
  <si>
    <t>አለባቸው ባይለየኝ መኮንን /ቄስ/</t>
  </si>
  <si>
    <t>1468</t>
  </si>
  <si>
    <t>Alebachew Demissie /Ato/ and/or Tsehay Engida /W/o/</t>
  </si>
  <si>
    <t>አለባቸው ደምሴ /አቶ/ እና/ወይም ìሀይ እንግዳ /ወ/ሮ/</t>
  </si>
  <si>
    <t>157-143-55168/0923-800335</t>
  </si>
  <si>
    <t>aklilushewangzaw@gmail.com</t>
  </si>
  <si>
    <t>1469</t>
  </si>
  <si>
    <t>Alebachew Fante Mekonen /Ato/</t>
  </si>
  <si>
    <t>አለባቸው ፋንቴ መኮንን /አቶ/</t>
  </si>
  <si>
    <t>1470</t>
  </si>
  <si>
    <t>Alebachew Getie /Ato/</t>
  </si>
  <si>
    <t>አለባቸው ጌቴ /አቶ/</t>
  </si>
  <si>
    <t>1471</t>
  </si>
  <si>
    <t>Alebachew Kebad Kasse /Ato/</t>
  </si>
  <si>
    <t>አለባቸው ከበድ ካሳ /አቶ/</t>
  </si>
  <si>
    <t>1472</t>
  </si>
  <si>
    <t>Alebachew Mekonen Alemu /Ato/</t>
  </si>
  <si>
    <t>አለባቸዉ መኮንን አለሙ /አቶ/</t>
  </si>
  <si>
    <t>1473</t>
  </si>
  <si>
    <t>Alebachew Tesfa Wendimneh  /Ato/</t>
  </si>
  <si>
    <t>አለባቸው ተስፋ ወንድምነህ /አቶ/</t>
  </si>
  <si>
    <t>1474</t>
  </si>
  <si>
    <t>Alebachew Wondifraw Tsega /Rise Debir/</t>
  </si>
  <si>
    <t>አለባቸዉ ወንድይፍራዉ ፀጋ /ርዕሰ ደብር/</t>
  </si>
  <si>
    <t>1475</t>
  </si>
  <si>
    <t>Alebase Belew Andarge /W/o/</t>
  </si>
  <si>
    <t>አልባሴ በለው አንዳርጌ /ወ/ሮ/</t>
  </si>
  <si>
    <t>0937-466731</t>
  </si>
  <si>
    <t>1476</t>
  </si>
  <si>
    <t>Alebe Haile Wendemagegne /Ato/</t>
  </si>
  <si>
    <t>አለበ ሀይሌ ወንደማገኝ /አቶ/</t>
  </si>
  <si>
    <t>1477</t>
  </si>
  <si>
    <t>Alebel Aychilie Getie /Ato/</t>
  </si>
  <si>
    <t>አለበል አይችሌ ጌቴ /አቶ/</t>
  </si>
  <si>
    <t>0919-727486</t>
  </si>
  <si>
    <t>beimnetberhanu@yahoo.com</t>
  </si>
  <si>
    <t>1478</t>
  </si>
  <si>
    <t>Alebel Tayelgn /Ato/</t>
  </si>
  <si>
    <t>አለበል ታየልኝ /አቶ/</t>
  </si>
  <si>
    <t>1479</t>
  </si>
  <si>
    <t>Alebel Techane Yeneabet /Ato/</t>
  </si>
  <si>
    <t>አለበል ተጫኔ የኔአበት /አቶ/</t>
  </si>
  <si>
    <t>0960-083351</t>
  </si>
  <si>
    <t>1480</t>
  </si>
  <si>
    <t>Aledres Teka Amare /W/o/</t>
  </si>
  <si>
    <t xml:space="preserve"> አለድረስ ተካ አማረ /ወ/ሮ/</t>
  </si>
  <si>
    <t>0922-489926</t>
  </si>
  <si>
    <t>yohannesberhanu76@gmail.com</t>
  </si>
  <si>
    <t>1481</t>
  </si>
  <si>
    <t>Alefe Adimas Berihun /Ato/</t>
  </si>
  <si>
    <t>አለፈ አዲስ በሪሁን /አቶ/</t>
  </si>
  <si>
    <t>1482</t>
  </si>
  <si>
    <t>Alefe Alebe Chuba /Ato/</t>
  </si>
  <si>
    <t>አሰፈ አልቤ ጩባ /አቶ/</t>
  </si>
  <si>
    <t>1483</t>
  </si>
  <si>
    <t>Alegeta Bante Adamu /Ato/</t>
  </si>
  <si>
    <t>አለጌታ ባንቲ አዳሙ /አቶ/</t>
  </si>
  <si>
    <t>0943-501933</t>
  </si>
  <si>
    <t>1484</t>
  </si>
  <si>
    <t>Alegnsew Mulie Nega /Ato/</t>
  </si>
  <si>
    <t>አለኝሰው ሙሌ ነጋ  /አቶ/</t>
  </si>
  <si>
    <t>1485</t>
  </si>
  <si>
    <t xml:space="preserve">Alegnsew Tigabu Yisimaw /Ato/ </t>
  </si>
  <si>
    <t>አለኝሰው ጥጋቡ የሺማው /አቶ/</t>
  </si>
  <si>
    <t>1486</t>
  </si>
  <si>
    <t>Alehegn Bitew Melese(Ato)</t>
  </si>
  <si>
    <t>አለሀኝ ቢተው መለሰ /አቶ/</t>
  </si>
  <si>
    <t>1487</t>
  </si>
  <si>
    <t>Alehegn Eniyew /Ato/</t>
  </si>
  <si>
    <t>አለህኝ እንየው /አቶ/</t>
  </si>
  <si>
    <t>0920-767842</t>
  </si>
  <si>
    <t>1488</t>
  </si>
  <si>
    <t>Alehegn Gebeyehu Tadele /Ato/</t>
  </si>
  <si>
    <t>አለኸኝ ገበየሁ ታደለ /አቶ/</t>
  </si>
  <si>
    <t>0922268312</t>
  </si>
  <si>
    <t>1489</t>
  </si>
  <si>
    <t>Alehegn Jenberie Eniyew/Kies/</t>
  </si>
  <si>
    <t>አለህኝ ጀንበሬ እንየው /ቄስ/</t>
  </si>
  <si>
    <t>1490</t>
  </si>
  <si>
    <t>1491</t>
  </si>
  <si>
    <t>Alehegn Walelegn /Kes/</t>
  </si>
  <si>
    <t>አለኸኝ ዋለልኝ ፀጋየ /ቄስ/</t>
  </si>
  <si>
    <t>0962-964151</t>
  </si>
  <si>
    <t>1492</t>
  </si>
  <si>
    <t>Alehgn Bishaw Chokele /Ato/</t>
  </si>
  <si>
    <t>አለህኝ ቢሻው ጮሌ /አቶ/</t>
  </si>
  <si>
    <t>1493</t>
  </si>
  <si>
    <t>Alehgn Melese Akalu /Ato/</t>
  </si>
  <si>
    <t>አለህኝ መለስ አካሉ /አቶ/</t>
  </si>
  <si>
    <t>1494</t>
  </si>
  <si>
    <t>Alehgn Wondimu Adimasu /Kis/</t>
  </si>
  <si>
    <t>ቄ/ አለኸኝ ወንድሙ አድማስ</t>
  </si>
  <si>
    <t>1495</t>
  </si>
  <si>
    <t>Alehgne Getu Hailu /Ato/</t>
  </si>
  <si>
    <t>አለህኝ ጌቱ ሀይሉ /አቶ/</t>
  </si>
  <si>
    <t>1496</t>
  </si>
  <si>
    <t>Alehgne Temesgen Mihirete /Ato/</t>
  </si>
  <si>
    <t>አለኸኝ ተመስጌን</t>
  </si>
  <si>
    <t>1497</t>
  </si>
  <si>
    <t>Alehna Muche Werkneh /Ato/</t>
  </si>
  <si>
    <t>አለኽኘ ሙጨ ወርቅነህ /አቶ/</t>
  </si>
  <si>
    <t>1498</t>
  </si>
  <si>
    <t>Alehubel Tayachew Hailu /Ato/</t>
  </si>
  <si>
    <t>አለሁቢል ታያቸው ሀይሉ /አቶ/</t>
  </si>
  <si>
    <t>0905-350674</t>
  </si>
  <si>
    <t>1499</t>
  </si>
  <si>
    <t>Alehubile Tayachew Hailu /Ato/</t>
  </si>
  <si>
    <t>አለሁቢሌ ታያቸው ኃይሉ /አቶ/</t>
  </si>
  <si>
    <t>1500</t>
  </si>
  <si>
    <t>Aleka Birkuwondifraw /Ato/</t>
  </si>
  <si>
    <t>አለቃ ብርቁ ወንዲፍራዉ /አቶ/</t>
  </si>
  <si>
    <t>1501</t>
  </si>
  <si>
    <t>Aleka Debeb Mekonnen /Ato/</t>
  </si>
  <si>
    <t>አለቃ ደበበ መኮንን /አቶ/</t>
  </si>
  <si>
    <t>1502</t>
  </si>
  <si>
    <t>Aleka Gelie Tamirat /Ato/</t>
  </si>
  <si>
    <t>አለቃ ገሌ ታምራት /አቶ/</t>
  </si>
  <si>
    <t>1503</t>
  </si>
  <si>
    <t>Alekaw Debas Meri /Ato/</t>
  </si>
  <si>
    <t>አለቃው ደባስ መሪ /አቶ/</t>
  </si>
  <si>
    <t>1504</t>
  </si>
  <si>
    <t>Aleke Zelie/Ato/</t>
  </si>
  <si>
    <t>አለቀ ዘሌ ተደሰ /አቶ/</t>
  </si>
  <si>
    <t>1505</t>
  </si>
  <si>
    <t>Alelcha Adisu Atara /Ato/</t>
  </si>
  <si>
    <t>አላልቻ አድሱ አታራ /አቶ/</t>
  </si>
  <si>
    <t>1506</t>
  </si>
  <si>
    <t>Alelgn Gezie Mengest /Ato/</t>
  </si>
  <si>
    <t>አለልኝ ገዜ መንግሰቴ /አቶ/</t>
  </si>
  <si>
    <t>0937139192</t>
  </si>
  <si>
    <t>1507</t>
  </si>
  <si>
    <t>Alelgn Hailu Mamo /Ato/</t>
  </si>
  <si>
    <t>አለልኝ ሀይሉ ማሞ /አቶ/</t>
  </si>
  <si>
    <t>1508</t>
  </si>
  <si>
    <t>Alelgn Muche Denkew /Ato/</t>
  </si>
  <si>
    <t>አለልኝ ሙጨ ደንቀው /አቶ/</t>
  </si>
  <si>
    <t>0930-974997</t>
  </si>
  <si>
    <t>1509</t>
  </si>
  <si>
    <t>Alelgne Kebede Tesema /Ato/</t>
  </si>
  <si>
    <t>አለልኝ ከበደ ተሰማ /አቶ/</t>
  </si>
  <si>
    <t>1510</t>
  </si>
  <si>
    <t>Alelgne Mengstu Asires /Ato/</t>
  </si>
  <si>
    <t>አለልኝ መንግስቱ አስረስ /አቶ/</t>
  </si>
  <si>
    <t>1511</t>
  </si>
  <si>
    <t>Alelign Alemu Bishaw /Ato/</t>
  </si>
  <si>
    <t>አለልኝ አለሙ ቢሻው /አቶ/</t>
  </si>
  <si>
    <t>1512</t>
  </si>
  <si>
    <t>Alelign Ashebir /Ato/</t>
  </si>
  <si>
    <t>አለልኝ አሸብር /አቶ/</t>
  </si>
  <si>
    <t>1513</t>
  </si>
  <si>
    <t>Alelign Chane Workneh /Ato/</t>
  </si>
  <si>
    <t>አለልኝ ጫኔ ወርቅነህ /አቶ/</t>
  </si>
  <si>
    <t>1514</t>
  </si>
  <si>
    <t>Alelign Mekuye Ayele /Ato/</t>
  </si>
  <si>
    <t>አለልኝ መኩየ አየለ /አቶ/</t>
  </si>
  <si>
    <t>1515</t>
  </si>
  <si>
    <t>Alelign Tadege Ayicheh /Ato/</t>
  </si>
  <si>
    <t>አለልኝ ታደገ አይቸህ /አቶ/</t>
  </si>
  <si>
    <t>0963-848236</t>
  </si>
  <si>
    <t>1516</t>
  </si>
  <si>
    <t>Alelign Tegod Admas /Ato/</t>
  </si>
  <si>
    <t>አለልኝ ተጎደ አድማሰ /አቶ/</t>
  </si>
  <si>
    <t>1517</t>
  </si>
  <si>
    <t>Alelign Tewachew Tebkew /Ato/</t>
  </si>
  <si>
    <t>አለልኝ ተዋቸዉ ጠብቀዉ /አቶ/</t>
  </si>
  <si>
    <t>1518</t>
  </si>
  <si>
    <t>Alelign Tilaye Teshager /Ato/</t>
  </si>
  <si>
    <t>አለልኝ ጥላዬ ተሻገር   /አቶ/</t>
  </si>
  <si>
    <t>1519</t>
  </si>
  <si>
    <t>Alelign Wubale Ayalew /Ato/</t>
  </si>
  <si>
    <t>አለልኝ ውባለ አያሌው /አቶ/</t>
  </si>
  <si>
    <t>0934-649472</t>
  </si>
  <si>
    <t>1520</t>
  </si>
  <si>
    <t>Alelign Yeshu Belay /Ato/</t>
  </si>
  <si>
    <t>አለልኝ የሹ በላይ /አቶ/</t>
  </si>
  <si>
    <t>Durbetie</t>
  </si>
  <si>
    <t>1521</t>
  </si>
  <si>
    <t>Alem Abebe G/yohanis /W/o/</t>
  </si>
  <si>
    <t>አለም አበበ ገ/ዮሀንስ /ወ/ሮ/</t>
  </si>
  <si>
    <t>1522</t>
  </si>
  <si>
    <t>Alem Abebe Tessema /W/o</t>
  </si>
  <si>
    <t>አለም አበበ ተሰማ /ወ/ሮ/</t>
  </si>
  <si>
    <t>0943-075562</t>
  </si>
  <si>
    <t>1523</t>
  </si>
  <si>
    <t>Alem Adrissie Barkineh /W/o/</t>
  </si>
  <si>
    <t>አለም አድርሴ ባርክነህ /ወ/ሮ/</t>
  </si>
  <si>
    <t>0912-159725</t>
  </si>
  <si>
    <t>1524</t>
  </si>
  <si>
    <t>1525</t>
  </si>
  <si>
    <t>Alem Alemayehu /Ato/</t>
  </si>
  <si>
    <t>አለሙ አለማየሁ ገ/እግዚአብሔር /አቶ/</t>
  </si>
  <si>
    <t>1526</t>
  </si>
  <si>
    <t>Alem Amesha Alehegn /Ato/</t>
  </si>
  <si>
    <t>አለሙ አመሸ አለህኝ /አቶ/</t>
  </si>
  <si>
    <t>1527</t>
  </si>
  <si>
    <t>1528</t>
  </si>
  <si>
    <t>Alem Asinake Bogale /W/O/</t>
  </si>
  <si>
    <t>አለም አሰናቀ ቦጋለ /ወ/ሮ/</t>
  </si>
  <si>
    <t>0921-848427</t>
  </si>
  <si>
    <t>1529</t>
  </si>
  <si>
    <t>Alem Asmerom Tekleab /W/O And/Or Teshome Mekonnen Mekuria /Ato/</t>
  </si>
  <si>
    <t>አለም አስምሮ ተክለአብ /ወሮ/ እና/ወይም ተሾመ መኮንን መኩሪያ /አቶ/</t>
  </si>
  <si>
    <t>0911-404403</t>
  </si>
  <si>
    <t>1530</t>
  </si>
  <si>
    <t>Alem Bekele Abdi /W/o/</t>
  </si>
  <si>
    <t>አለም በቀለ አብዲ /ወ/ሮ/</t>
  </si>
  <si>
    <t>1531</t>
  </si>
  <si>
    <t>Alem Bekele Tessema /W/o/</t>
  </si>
  <si>
    <t>አለም በቀለ /ወ/ሮ/</t>
  </si>
  <si>
    <t>0904-286628
0966-193514</t>
  </si>
  <si>
    <t>1532</t>
  </si>
  <si>
    <t>Alem Belay Alagaw /W/o/ and/or Yohannes Afework Gedamu /Ato/</t>
  </si>
  <si>
    <t xml:space="preserve">አለም በላይ አላጋው /ወ/ሮ/ እና/ወይም Äሐንስ አፈወርቅ ገዳሙ /አቶ/ </t>
  </si>
  <si>
    <t>0914-074878</t>
  </si>
  <si>
    <t>1533</t>
  </si>
  <si>
    <t>አለም በላይ አላጋው /ወ/ሮ/ እና/ወይም Äሐንስ አፈወርቅ ገዳሙ /አቶ/</t>
  </si>
  <si>
    <t>1534</t>
  </si>
  <si>
    <t>Alem Beyene Schulz /W/o/</t>
  </si>
  <si>
    <t>አለም በየነ ሽልዝ /ወ/ሮ/</t>
  </si>
  <si>
    <t>0911-673300</t>
  </si>
  <si>
    <t>1535</t>
  </si>
  <si>
    <t>Alem Dagne /W/o/ For Amron Masresha /Minor/</t>
  </si>
  <si>
    <t>አለም ዳኜ /ወ/ሮ/ ለአምሮን ማስረሻ /ህጻን/</t>
  </si>
  <si>
    <t>1536</t>
  </si>
  <si>
    <t>Alem Dagne /W/o/ For Meklit Masresha /Minor/</t>
  </si>
  <si>
    <t>አለም ዳኜ /ወ/ሮ/ ለመክሊት ማስረሻ /ህጻን/</t>
  </si>
  <si>
    <t>1537</t>
  </si>
  <si>
    <t xml:space="preserve">Alem Dagne Tekalegne /W/o/ </t>
  </si>
  <si>
    <t>አለም ዳኜ ተካልኝ /ወ/ሮ/</t>
  </si>
  <si>
    <t>1538</t>
  </si>
  <si>
    <t>Alem G/Mariam Aregawi /Ato/</t>
  </si>
  <si>
    <t>አለም ገ/ማርያም አረጋዊ /አቶ/</t>
  </si>
  <si>
    <t>0901-222231/
0911-467335</t>
  </si>
  <si>
    <t>1539</t>
  </si>
  <si>
    <t>Alem Getachew Kibret /W/o/</t>
  </si>
  <si>
    <t>ዓለም ጌታቸዉ ክብረት /ወ/ሮ/</t>
  </si>
  <si>
    <t>1540</t>
  </si>
  <si>
    <t>Alem Kante Mekonen /Ato/</t>
  </si>
  <si>
    <t>አለም ካንተ መኮንን /አቶ/</t>
  </si>
  <si>
    <t>0960-007280</t>
  </si>
  <si>
    <t>1541</t>
  </si>
  <si>
    <t>Alem Kassa Tesfa /W/o/</t>
  </si>
  <si>
    <t>አለም ካሳ ተስፋ /ወ/ሮ/</t>
  </si>
  <si>
    <t>1542</t>
  </si>
  <si>
    <t>1543</t>
  </si>
  <si>
    <t>Alem Mengistu /Ato/</t>
  </si>
  <si>
    <t>አለም መንግስቱ /አቶ/</t>
  </si>
  <si>
    <t>1544</t>
  </si>
  <si>
    <t>Alem Mulugeta /W/o</t>
  </si>
  <si>
    <t>አለም ሙሉጌታ /ወ/ሮ/</t>
  </si>
  <si>
    <t>0913-184060
0912-073521</t>
  </si>
  <si>
    <t>1545</t>
  </si>
  <si>
    <t>Alem Nedi /W/o/</t>
  </si>
  <si>
    <t>አለም ነዲ /ወ/ሮ/</t>
  </si>
  <si>
    <t>0911-224244</t>
  </si>
  <si>
    <t>1546</t>
  </si>
  <si>
    <t>Alem Nedi Weyecha /W/o/ and/or Genet Nedi /W/o/</t>
  </si>
  <si>
    <t>አለም ነዲ ወየቻ /ወ/ሮ/ እና/ወይም ገነት ነዲ /ወ/ሮ/</t>
  </si>
  <si>
    <t>0912-139053/0913-641359</t>
  </si>
  <si>
    <t>kediest.mamo@gmail.com</t>
  </si>
  <si>
    <t>1547</t>
  </si>
  <si>
    <t>Alem Shiferaw Bekele /W/o/</t>
  </si>
  <si>
    <t>አለም ሽፈራዉ በቀለ /ወ/ሮ/</t>
  </si>
  <si>
    <t>1548</t>
  </si>
  <si>
    <t>Alem Zergaw Bereka /W/o/</t>
  </si>
  <si>
    <t>አለም ዘርጋው በረካ /ወ/ሮ</t>
  </si>
  <si>
    <t>1549</t>
  </si>
  <si>
    <t>Alemaye Anjulo /Ato/</t>
  </si>
  <si>
    <t>አልማዬ አንጁሎ /አቶ/</t>
  </si>
  <si>
    <t>1550</t>
  </si>
  <si>
    <t>Alemayehu Abebe /Ato/</t>
  </si>
  <si>
    <t>አለማየሁ አበበ  /አቶ/</t>
  </si>
  <si>
    <t>1551</t>
  </si>
  <si>
    <t>Alemayehu Abera Aganeje /Ato/</t>
  </si>
  <si>
    <t>አለማየሁ አበራ አጋኔ /አቶ/</t>
  </si>
  <si>
    <t>0916-157747</t>
  </si>
  <si>
    <t>1552</t>
  </si>
  <si>
    <t>Alemayehu Abito Dinkayehu /Ato/</t>
  </si>
  <si>
    <t>አለማየሁ አቢቶ  ድንቃየሁ/አቶ/</t>
  </si>
  <si>
    <t>1553</t>
  </si>
  <si>
    <t>Alemayehu Abraham /Ato/</t>
  </si>
  <si>
    <t>አለማየሁ አብርሀም /አቶ/</t>
  </si>
  <si>
    <t>0919-218670</t>
  </si>
  <si>
    <t>1554</t>
  </si>
  <si>
    <t>Alemayehu Abraham Aselie /Ato/</t>
  </si>
  <si>
    <t>አለማዩሁ አበራሃም አሣሌ  /አቶ/</t>
  </si>
  <si>
    <t>0916-471744</t>
  </si>
  <si>
    <t>1555</t>
  </si>
  <si>
    <t>Alemayehu Adamu Asres /Ato/</t>
  </si>
  <si>
    <t>አለማየሁ አዳሙ አስረስ /አቶ/</t>
  </si>
  <si>
    <t>1556</t>
  </si>
  <si>
    <t>Alemayehu Adane Tadesse /Ato/</t>
  </si>
  <si>
    <t>አለማየሁ አዳነ ታደሠ /አቶ/</t>
  </si>
  <si>
    <t>1557</t>
  </si>
  <si>
    <t>Alemayehu Ado Gafo /Ato/</t>
  </si>
  <si>
    <t>አለማየሁ አዶ ጋፎ /አቶ/</t>
  </si>
  <si>
    <t>1558</t>
  </si>
  <si>
    <t>Alemayehu Ajab Alembo /Ato/</t>
  </si>
  <si>
    <t>አለማየሁ አጀብ አለምቦ /አቶ/</t>
  </si>
  <si>
    <t>1559</t>
  </si>
  <si>
    <t>Alemayehu Ajabo /Ato/</t>
  </si>
  <si>
    <t>አለማየሁ አጃቦ /አቶ/</t>
  </si>
  <si>
    <t>1560</t>
  </si>
  <si>
    <t>Alemayehu Ajebo Adaye /Ato/</t>
  </si>
  <si>
    <t>አለማየሁ አጀቦ አዳዬ /አቶ/</t>
  </si>
  <si>
    <t>0916-865628</t>
  </si>
  <si>
    <t>1561</t>
  </si>
  <si>
    <t>Alemayehu Alanbo Abeto /Ato/</t>
  </si>
  <si>
    <t>አለማየሁ አላንቦ አበቶ /አቶ/</t>
  </si>
  <si>
    <t>0953-329299</t>
  </si>
  <si>
    <t>1562</t>
  </si>
  <si>
    <t>Alemayehu Alaro Aslo /Ato/</t>
  </si>
  <si>
    <t>አለማየሁ አላሮ አስሎ /አቶ/</t>
  </si>
  <si>
    <t>1563</t>
  </si>
  <si>
    <t>Alemayehu Alato Ado /Ato/</t>
  </si>
  <si>
    <t>አለማየሁ አላቶ አዶ /አቶ/</t>
  </si>
  <si>
    <t>0992-489970</t>
  </si>
  <si>
    <t>1564</t>
  </si>
  <si>
    <t>Alemayehu Alemu Ayansa /Ato/</t>
  </si>
  <si>
    <t>ዓለማየሁ ዓለሙ አያንሳ /አቶ/</t>
  </si>
  <si>
    <t>1565</t>
  </si>
  <si>
    <t>Alemayehu Altaye /Ato/</t>
  </si>
  <si>
    <t>አለማዬሁ አልታዬ /አቶ/</t>
  </si>
  <si>
    <t>0937-245103</t>
  </si>
  <si>
    <t>1566</t>
  </si>
  <si>
    <t>Alemayehu Alumbu /Ato/</t>
  </si>
  <si>
    <t>አለማዩሁ አሉነቡ /አቶ/</t>
  </si>
  <si>
    <t>0964-395201</t>
  </si>
  <si>
    <t>1567</t>
  </si>
  <si>
    <t>Alemayehu Amalo Garie /Ato/</t>
  </si>
  <si>
    <t>አለማየሁ አማሎ ጋሬ /አቶ/</t>
  </si>
  <si>
    <t>0969-154998</t>
  </si>
  <si>
    <t>1568</t>
  </si>
  <si>
    <t>Alemayehu Ashenafi Andsa /Ato/</t>
  </si>
  <si>
    <t>አለማየሁ አሸናፊ አንዳሳ /አቶ/</t>
  </si>
  <si>
    <t>1569</t>
  </si>
  <si>
    <t>Alemayehu Ayele Asefa /Ato/</t>
  </si>
  <si>
    <t>አለማየሁ አየለ አስፋ /አቶ/</t>
  </si>
  <si>
    <t>1570</t>
  </si>
  <si>
    <t>Alemayehu Bayu Tegenu /Ato/</t>
  </si>
  <si>
    <t>አለም ባዩ ተገኙ /አቶ/</t>
  </si>
  <si>
    <t>1571</t>
  </si>
  <si>
    <t>Alemayehu Befekadu Endshaw /Ato/</t>
  </si>
  <si>
    <t>አለማየሁ በፍቃዱ እንደሻው /አቶ/</t>
  </si>
  <si>
    <t>0921-125101</t>
  </si>
  <si>
    <t>1572</t>
  </si>
  <si>
    <t>Alemayehu Bekele Likeleh /Ato/</t>
  </si>
  <si>
    <t>አለማየሁ በቀለ ልኬለህ /አቶ/</t>
  </si>
  <si>
    <t>0922-597610</t>
  </si>
  <si>
    <t>1573</t>
  </si>
  <si>
    <t>Alemayehu Belayneh W/Michael /Ato/</t>
  </si>
  <si>
    <t>አለማየሁ በላይነህ ወልደሚካኤል /አቶ/</t>
  </si>
  <si>
    <t>0991-143671</t>
  </si>
  <si>
    <t>rhobothailu77@gmail.com</t>
  </si>
  <si>
    <t>1574</t>
  </si>
  <si>
    <t>Alemayehu Belete W/Maskl /Ato/</t>
  </si>
  <si>
    <t>አለማየሁ በለጠ ወ/መስቀል /አቶ/</t>
  </si>
  <si>
    <t>0911-728972</t>
  </si>
  <si>
    <t>alemayehu.weldmaskl@gmail.com</t>
  </si>
  <si>
    <t>1575</t>
  </si>
  <si>
    <t>Alemayehu Bisa Belate /Ato/</t>
  </si>
  <si>
    <t>አለማየሁ ቢሣ ብላቴ /አቶ/</t>
  </si>
  <si>
    <t>0910-707343</t>
  </si>
  <si>
    <t>1576</t>
  </si>
  <si>
    <t>Alemayehu Dala Dejemo /Ato /</t>
  </si>
  <si>
    <t>አለማየሁ ዳላ ደጀሞ /አቶ/</t>
  </si>
  <si>
    <t>0916-759103</t>
  </si>
  <si>
    <t>1577</t>
  </si>
  <si>
    <t>Alemayehu Damota Chuchuma /Ato/</t>
  </si>
  <si>
    <t>አለማየሁ ዳሞታ ቹቹማ /አቶ/</t>
  </si>
  <si>
    <t>0910-011259</t>
  </si>
  <si>
    <t>1578</t>
  </si>
  <si>
    <t>Alemayehu Data  /Ato/</t>
  </si>
  <si>
    <t>አለማየሁ ዳታ ደቡሎ  /አቶ/</t>
  </si>
  <si>
    <t>0916-746733</t>
  </si>
  <si>
    <t>1579</t>
  </si>
  <si>
    <t>Alemayehu Dede Tulicha /Ato/</t>
  </si>
  <si>
    <t>አለማየሁ ዴዴ ቱልቻ /አቶ/</t>
  </si>
  <si>
    <t>1580</t>
  </si>
  <si>
    <t>Alemayehu Defar Lemillo /Ato/</t>
  </si>
  <si>
    <t>አለማየሁ ደፋር ለሚሎ /አቶ/</t>
  </si>
  <si>
    <t>0986-568781</t>
  </si>
  <si>
    <t>1581</t>
  </si>
  <si>
    <t>Alemayehu Demelashi Belay /Ato/</t>
  </si>
  <si>
    <t xml:space="preserve">አለማየሁ ደመላሽ </t>
  </si>
  <si>
    <t>1582</t>
  </si>
  <si>
    <t>1583</t>
  </si>
  <si>
    <t>1584</t>
  </si>
  <si>
    <t>Alemayehu Enbiale Kassa /Ato/</t>
  </si>
  <si>
    <t>አለማየሁ እንበያለ ካሳ /አቶ/</t>
  </si>
  <si>
    <t>0961-120362</t>
  </si>
  <si>
    <t>1585</t>
  </si>
  <si>
    <t>Alemayehu Eshete Abate /Ato/</t>
  </si>
  <si>
    <t>አለማየሁ እሸቴ አባተ /አቶ/</t>
  </si>
  <si>
    <t>1586</t>
  </si>
  <si>
    <t>Alemayehu Fele Dereh /Ato/</t>
  </si>
  <si>
    <t>አለማየሁ ፈለገ ደረህ /አቶ/</t>
  </si>
  <si>
    <t>1587</t>
  </si>
  <si>
    <t>Alemayehu Firew Masresha /Ato/</t>
  </si>
  <si>
    <t>አለማየሁ ፍሬው ማስረሻ /አቶ/</t>
  </si>
  <si>
    <t>0975-387081</t>
  </si>
  <si>
    <t>1588</t>
  </si>
  <si>
    <t xml:space="preserve">Alemayehu Fitamo (Ato) </t>
  </si>
  <si>
    <t>አለማየሁ ፊታሞ /አቶ/</t>
  </si>
  <si>
    <t>1589</t>
  </si>
  <si>
    <t>Alemayehu Fola /Ato/</t>
  </si>
  <si>
    <t>አለማየሁ ፎላ /አቶ/</t>
  </si>
  <si>
    <t>1590</t>
  </si>
  <si>
    <t>Alemayehu Gato Sefo /Ato/</t>
  </si>
  <si>
    <t>አለማየሁ ጋቶ ሰፎ /አቶ/</t>
  </si>
  <si>
    <t>0911-082580</t>
  </si>
  <si>
    <t>1591</t>
  </si>
  <si>
    <t>Alemayehu Gawula /Ato/</t>
  </si>
  <si>
    <t>አለማየሁ ጋዉላ /አቶ/</t>
  </si>
  <si>
    <t>1592</t>
  </si>
  <si>
    <t>Alemayehu Gebru Wondaferew /Ato/</t>
  </si>
  <si>
    <t>አለማየሁ ገብሩ ወንድአፈረዉ /አቶ/</t>
  </si>
  <si>
    <t>0939-993694</t>
  </si>
  <si>
    <t>1593</t>
  </si>
  <si>
    <t>Alemayehu Getachew Adinew /Ato/</t>
  </si>
  <si>
    <t>አለማየሁ ጌታቸዉ አድነዉ /አቶ/</t>
  </si>
  <si>
    <t>0913-395399</t>
  </si>
  <si>
    <t>1594</t>
  </si>
  <si>
    <t>Alemayehu Getachew Belete /Ato/</t>
  </si>
  <si>
    <t>አለማየሁ ጌታቸው በለጠ /አቶ/</t>
  </si>
  <si>
    <t>0911-400781</t>
  </si>
  <si>
    <t>tilahunayalew691@gmail.com</t>
  </si>
  <si>
    <t>1595</t>
  </si>
  <si>
    <t>Alemayehu Getenet Taye /Ato/</t>
  </si>
  <si>
    <t>አለማየሁ ጌትነት ታዬ /አቶ</t>
  </si>
  <si>
    <t>1596</t>
  </si>
  <si>
    <t>Alemayehu Hankamo Horesa /Ato/</t>
  </si>
  <si>
    <t>አለማየሁ ሀንቃሞ ሆርሳ /አቶ/</t>
  </si>
  <si>
    <t>1597</t>
  </si>
  <si>
    <t>Alemayehu Haylu Dagoye /Ato/</t>
  </si>
  <si>
    <t>አለማየሁ ኃይሉ ዳጎዬ /አቶ/</t>
  </si>
  <si>
    <t>1598</t>
  </si>
  <si>
    <t>Alemayehu Jerege Boresam /Ato/</t>
  </si>
  <si>
    <t>አለማየሁ ጀረገ ቦሬሳም /አቶ/</t>
  </si>
  <si>
    <t>1599</t>
  </si>
  <si>
    <t>Alemayehu Jima Oyda /Ato/</t>
  </si>
  <si>
    <t>አለማየሁ ጅማ ኦይዳ /አቶ/</t>
  </si>
  <si>
    <t>0910-213629</t>
  </si>
  <si>
    <t>1600</t>
  </si>
  <si>
    <t>Alemayehu Kassa Gidey /Ato/</t>
  </si>
  <si>
    <t>አለማየሁ ካሣ ግደይ /አቶ/</t>
  </si>
  <si>
    <t>1601</t>
  </si>
  <si>
    <t>Alemayehu Ketema Bisheto /Ato/</t>
  </si>
  <si>
    <t>አለማየሁ ከተማ ብሸቶ /አቶ/</t>
  </si>
  <si>
    <t>1602</t>
  </si>
  <si>
    <t>Alemayehu Kocheto Kalo /Ato/</t>
  </si>
  <si>
    <t>አለማየሁ ቆጨቶ ከሎ /አቶ/</t>
  </si>
  <si>
    <t>1603</t>
  </si>
  <si>
    <t>Alemayehu Lema Dango/Ato/</t>
  </si>
  <si>
    <t>አለማየሁ ለማ ዳንጎ/አቶ/</t>
  </si>
  <si>
    <t>1604</t>
  </si>
  <si>
    <t>Alemayehu Lenteto /Ato/</t>
  </si>
  <si>
    <t>አለማየሁ ለንተቶ /አቶ/</t>
  </si>
  <si>
    <t>1605</t>
  </si>
  <si>
    <t>Alemayehu Midiksa Sima /Ato/</t>
  </si>
  <si>
    <t>አለማየሁ ሚዲቅሳ ሲማ /አቶ/</t>
  </si>
  <si>
    <t>1606</t>
  </si>
  <si>
    <t>1607</t>
  </si>
  <si>
    <t>Alemayehu Mulatu /Ato/ For Asier Alemayehu /Minor/</t>
  </si>
  <si>
    <t>አለማየሁ ሙላቱ /አቶ/ ለአሴር አለማየሁ /ህፃን/</t>
  </si>
  <si>
    <t>1608</t>
  </si>
  <si>
    <t>Alemayehu Mulatu /Ato/ For Mira Alemayehu /Minor/</t>
  </si>
  <si>
    <t>አለማየሁ ሙላቱ /አቶ/ ለሚራ አለማየሁ /ህፃን/</t>
  </si>
  <si>
    <t>1609</t>
  </si>
  <si>
    <t>Alemayehu Mulatu /Ato/ For Nathanim Alemayehu /Minor/</t>
  </si>
  <si>
    <t>አለማየሁ ሙላቱ /አቶ/ ለናታኒም አለማየሁ /ህፃን/</t>
  </si>
  <si>
    <t>1610</t>
  </si>
  <si>
    <t>Alemayehu Muleta Gelelcha /Ato/</t>
  </si>
  <si>
    <t>አለማየሁ ሙለታ ገላለቻ/አቶ/</t>
  </si>
  <si>
    <t>0911-169957</t>
  </si>
  <si>
    <t>1611</t>
  </si>
  <si>
    <t>Alemayehu Nega Ewenatu /Ato/</t>
  </si>
  <si>
    <t>አለማየሁ ነጋ እውነቱ /አቶ/</t>
  </si>
  <si>
    <t>1612</t>
  </si>
  <si>
    <t>Alemayehu Oudro Oshie /Ato/</t>
  </si>
  <si>
    <t>አለማየሁ ኦዶሮ ኦሼ /አቶ/</t>
  </si>
  <si>
    <t>1613</t>
  </si>
  <si>
    <t xml:space="preserve">Alemayehu Pawlose Abagaro /Ato/ </t>
  </si>
  <si>
    <t>አለማየሁ ጳዉሎስ አባገሮ /አቶ/</t>
  </si>
  <si>
    <t>1614</t>
  </si>
  <si>
    <t>Alemayehu Petros  Wasena /Ato/</t>
  </si>
  <si>
    <t>አለማየሁ ጴጥሮስ ዋሴና /አቶ/</t>
  </si>
  <si>
    <t>1615</t>
  </si>
  <si>
    <t>Alemayehu Sheno Gota /Ato/</t>
  </si>
  <si>
    <t>አለማየሁ ሸኖ ጎታ /አቶ/</t>
  </si>
  <si>
    <t>0922-940297</t>
  </si>
  <si>
    <t>1616</t>
  </si>
  <si>
    <t>Alemayehu Tadesse Gurmu /Ato/</t>
  </si>
  <si>
    <t>አለማየሁ ታደሰ ጉርሙ /አቶ/</t>
  </si>
  <si>
    <t>0911-103766</t>
  </si>
  <si>
    <t>1617</t>
  </si>
  <si>
    <t>1618</t>
  </si>
  <si>
    <t>Alemayehu Tekilie Adewana /Ato/</t>
  </si>
  <si>
    <t>አለማዬሁ ተክሌ አደዋና /አቶ/</t>
  </si>
  <si>
    <t>0941-076822</t>
  </si>
  <si>
    <t>1619</t>
  </si>
  <si>
    <t>Alemayehu Terefe /Ato/ and Sultan Awol /Ato/</t>
  </si>
  <si>
    <t>አለማየሁ ተረፈ /አቶ/ እና ሱልጣን አወል /አቶ/</t>
  </si>
  <si>
    <t>1620</t>
  </si>
  <si>
    <t>Alemayehu Teresa Daba /Ato/</t>
  </si>
  <si>
    <t>አለማየሁ ተሬሳ ዳባ /አቶ/</t>
  </si>
  <si>
    <t>0911-552882</t>
  </si>
  <si>
    <t>1621</t>
  </si>
  <si>
    <t>Alemayehu Tesfa Getachew /Ato/</t>
  </si>
  <si>
    <t>አለማየሁ ተስፋ ጌታቸዉ /አቶ/</t>
  </si>
  <si>
    <t>1622</t>
  </si>
  <si>
    <t>Alemayehu Teshome Bekele /Ato/</t>
  </si>
  <si>
    <t>አለማየሁ ተሾመ በቀለ /አቶ/</t>
  </si>
  <si>
    <t>1623</t>
  </si>
  <si>
    <t>Alemayehu Tessema  /Ato/ and/or Fasika Tesfaye  /W/o/</t>
  </si>
  <si>
    <t>አለማየሁ ተሰማ /አቶ/ እና/ወይም ፋሲካ ተስፋዬ  /ወ/ሮ/</t>
  </si>
  <si>
    <t>0911-109292/140-396-636-632</t>
  </si>
  <si>
    <t>rozafilimon@gmail.com</t>
  </si>
  <si>
    <t>1624</t>
  </si>
  <si>
    <t>Alemayehu Tilahun Alemu /Ato/</t>
  </si>
  <si>
    <t>አለማየሁ ጥላሁን አለሙ /አቶ/</t>
  </si>
  <si>
    <t>0967-029028</t>
  </si>
  <si>
    <t>1625</t>
  </si>
  <si>
    <t>Alemayehu Toyebo /Ato/</t>
  </si>
  <si>
    <t>አለማየሁ ቶየቦ /አቶ/</t>
  </si>
  <si>
    <t>1626</t>
  </si>
  <si>
    <t>Alemayehu Worku Yayeh /Ato/</t>
  </si>
  <si>
    <t>አለማየሁ ወርቁ ያየህ /አቶ/</t>
  </si>
  <si>
    <t>1627</t>
  </si>
  <si>
    <t>Alemayehu Yegizaw Webe /Ato/</t>
  </si>
  <si>
    <t>አለማየሁ ይግዛው ውቤ /አቶ/</t>
  </si>
  <si>
    <t>1628</t>
  </si>
  <si>
    <t>Alemayehu Yene Alemu /Ato/</t>
  </si>
  <si>
    <t>አለማየሁ የኔ አለም /አቶ/</t>
  </si>
  <si>
    <t>1629</t>
  </si>
  <si>
    <t>Alemayehu Yirega /Ato/</t>
  </si>
  <si>
    <t>አለማየሁ ይርጋ /አቶ/</t>
  </si>
  <si>
    <t>1630</t>
  </si>
  <si>
    <t>Alemayehu Zeleke Tulu /Ato/</t>
  </si>
  <si>
    <t>አለማየሁ ዘለቀ ቱሉ /አቶ/</t>
  </si>
  <si>
    <t>0984-756367</t>
  </si>
  <si>
    <t>1631</t>
  </si>
  <si>
    <t>Alemayhew Amera Tegegn/Ato/</t>
  </si>
  <si>
    <t>አለማየው አመራ ተገኝ/አቶ/</t>
  </si>
  <si>
    <t>1632</t>
  </si>
  <si>
    <t>Alemayhu Igi Chekuala /W/o/</t>
  </si>
  <si>
    <t>አለማየሁ ኢጊ ጭቋላ/አቶ/</t>
  </si>
  <si>
    <t>1633</t>
  </si>
  <si>
    <t>Alemayrhu Mena Wora /Ato/</t>
  </si>
  <si>
    <t>አለማየሁ ማና ዋራ /አቶ/</t>
  </si>
  <si>
    <t>0919-604795</t>
  </si>
  <si>
    <t>1634</t>
  </si>
  <si>
    <t>Alemaz Alemu Ashami /Ato/</t>
  </si>
  <si>
    <t>አልማዝ አለሙ አሻሚ /አቶ/</t>
  </si>
  <si>
    <t>0911-854883</t>
  </si>
  <si>
    <t>1635</t>
  </si>
  <si>
    <t>Alemaz Banja Bako /Ato/</t>
  </si>
  <si>
    <t>አለማዝ ባንጃ ባኮ /አቶ/</t>
  </si>
  <si>
    <t>1636</t>
  </si>
  <si>
    <t>Alemaz Mekonnen Sisay /W/O/</t>
  </si>
  <si>
    <t>አለማዝ መኮንን ሲሳይ /ወ/ሮ/</t>
  </si>
  <si>
    <t>0924-140609</t>
  </si>
  <si>
    <t>1637</t>
  </si>
  <si>
    <t>Alemaz Shaweka /W/O/</t>
  </si>
  <si>
    <t>አልማዝ ሻውካ /ወ/ሮ/</t>
  </si>
  <si>
    <t>1638</t>
  </si>
  <si>
    <t>Alemaz Shiferaw Langasha /W/o/</t>
  </si>
  <si>
    <t>አልማዝ ሸፈራው ላንጋሻ /ወ/ሮ/</t>
  </si>
  <si>
    <t>0938-659628</t>
  </si>
  <si>
    <t>1639</t>
  </si>
  <si>
    <t>Alemaz Tadesse Mulugeta /W/o/</t>
  </si>
  <si>
    <t>አልማዝ ታደሰ ሙሉጌታ /ወ/ሮ/</t>
  </si>
  <si>
    <t>0901-045417</t>
  </si>
  <si>
    <t>1640</t>
  </si>
  <si>
    <t>Alemaze Kama Dechasa /W/o/</t>
  </si>
  <si>
    <t>አለማዘ ካማ ደቻሳ /ወ/ኦ/</t>
  </si>
  <si>
    <t>1641</t>
  </si>
  <si>
    <t>Aleme  Melese Kassa /Ato/</t>
  </si>
  <si>
    <t>አለሜ መለሰ ካሳ /አቶ/</t>
  </si>
  <si>
    <t>0910-433958</t>
  </si>
  <si>
    <t>1642</t>
  </si>
  <si>
    <t>Aleme Ayichaw /W/o/</t>
  </si>
  <si>
    <t>አለሜ አይቻው /ወ/ኦ/</t>
  </si>
  <si>
    <t>1643</t>
  </si>
  <si>
    <t>Aleme Fenta Abetew /Ato/</t>
  </si>
  <si>
    <t>አለሜ ፈንታ አብተው /አቶ/</t>
  </si>
  <si>
    <t>0918-404521</t>
  </si>
  <si>
    <t>1644</t>
  </si>
  <si>
    <t>Aleme Yohannes Afework /Ato/</t>
  </si>
  <si>
    <t>አለሜ ዮሐንስ አፈወርቅ /አቶ/</t>
  </si>
  <si>
    <t>0910-450617</t>
  </si>
  <si>
    <t>1645</t>
  </si>
  <si>
    <t>Alemensh Demessie H/mariam /W/o/</t>
  </si>
  <si>
    <t>አለምነሽ ደምሴ ሀ/ማርያም /ወ/ሮ/</t>
  </si>
  <si>
    <t>1646</t>
  </si>
  <si>
    <t>Alemesayehu Asrat Zeleke/Ato/</t>
  </si>
  <si>
    <t>አለመሳየሁ አስራት ዘለቀ /አቶ/</t>
  </si>
  <si>
    <t>1647</t>
  </si>
  <si>
    <t>Alemeshet Siyoum Zewde /W/o/</t>
  </si>
  <si>
    <t>አለምእሸት ስዩም ዘውዴ /ወ/ሮ/</t>
  </si>
  <si>
    <t>0916-828955</t>
  </si>
  <si>
    <t>tewodrosluwam@gmail.com</t>
  </si>
  <si>
    <t>1648</t>
  </si>
  <si>
    <t xml:space="preserve">Alemezerf Sebsibe Abegaz </t>
  </si>
  <si>
    <t xml:space="preserve">አለሜዘርፍ ሰብሰቤ አበጋዝ </t>
  </si>
  <si>
    <t>0911-655786</t>
  </si>
  <si>
    <t>mamalem6000@gmail.com</t>
  </si>
  <si>
    <t>1649</t>
  </si>
  <si>
    <t>Alemgenet Hailu Hadege /Ato/</t>
  </si>
  <si>
    <t>አለምገነት ሐይሉ ሀደጌ /አቶ/</t>
  </si>
  <si>
    <t>0970-4120237</t>
  </si>
  <si>
    <t>1650</t>
  </si>
  <si>
    <t>Alemineh Gelaw Balew /Ato/</t>
  </si>
  <si>
    <t>አለምነህ ገላው በለው /አቶ/</t>
  </si>
  <si>
    <t>1651</t>
  </si>
  <si>
    <t>Aleminesh Endale Bakala /W/t/</t>
  </si>
  <si>
    <t>አለምነሽ እንዳለ በቀለ /ወ/ት/</t>
  </si>
  <si>
    <t>0911-651690</t>
  </si>
  <si>
    <t>1652</t>
  </si>
  <si>
    <t>1653</t>
  </si>
  <si>
    <t>Alemitu Ali Siraj /W/o/</t>
  </si>
  <si>
    <t>አለሚቱ አሊ ሲራጅ /ወ/ሮ/</t>
  </si>
  <si>
    <t>1654</t>
  </si>
  <si>
    <t>Alemitu Ayesa /W/O/</t>
  </si>
  <si>
    <t>አለሚቱ አይሳ /ወ/ሮ/</t>
  </si>
  <si>
    <t>0913-945622</t>
  </si>
  <si>
    <t>1655</t>
  </si>
  <si>
    <t>Alemitu Bafa /W/O/</t>
  </si>
  <si>
    <t>አለሚቱ ባፋ /ወ/ሮ/</t>
  </si>
  <si>
    <t>1656</t>
  </si>
  <si>
    <t>Alemitu Bakalu Baza /W/O/</t>
  </si>
  <si>
    <t>አለሚቱ ባካሎ ባዛ /አቶ/</t>
  </si>
  <si>
    <t>1657</t>
  </si>
  <si>
    <t>Alemitu Bekele Bedane /W/o/</t>
  </si>
  <si>
    <t>አለሚቱ በቀለ በዳኔ /ወ/ሮ/</t>
  </si>
  <si>
    <t>0946-455238</t>
  </si>
  <si>
    <t>1658</t>
  </si>
  <si>
    <t>Alemitu Chumua Chukulo /Ato/</t>
  </si>
  <si>
    <t>አለሚቱ ጩሙአ ጩኩሎ /ወ/ሮ/</t>
  </si>
  <si>
    <t>1659</t>
  </si>
  <si>
    <t>Alemitu Eseraele /W/o/</t>
  </si>
  <si>
    <t>አለምቱ እስራኤል /አቶ/</t>
  </si>
  <si>
    <t>1660</t>
  </si>
  <si>
    <t>Alemitu Feleke Wedalo /W/O/</t>
  </si>
  <si>
    <t>አለሚቱ ፈለቀ ወዳሎ /አቶ/</t>
  </si>
  <si>
    <t>0938-963522</t>
  </si>
  <si>
    <t>1661</t>
  </si>
  <si>
    <t>Alemitu Gama Figa /W/O/</t>
  </si>
  <si>
    <t>አለሚቱ ጋማ ፊጋ /አቶ/</t>
  </si>
  <si>
    <t>0968-017464</t>
  </si>
  <si>
    <t>1662</t>
  </si>
  <si>
    <t>Alemitu Lanka /W/O/</t>
  </si>
  <si>
    <t>አለሚቱ ላንቀ /ወ.ሮ/</t>
  </si>
  <si>
    <t>0916-649283</t>
  </si>
  <si>
    <t>1663</t>
  </si>
  <si>
    <t>Alemitu Oluma Beri /Ato/</t>
  </si>
  <si>
    <t>አለሚቱ ኦሉማ በሪ /አቶ/</t>
  </si>
  <si>
    <t>1664</t>
  </si>
  <si>
    <t>Alemitu Selemon Demssie /Ato/</t>
  </si>
  <si>
    <t>አለሚቱ ሰለሞን ደምሴ /አቶ/</t>
  </si>
  <si>
    <t>1665</t>
  </si>
  <si>
    <t>Alemken Demas /Ato/</t>
  </si>
  <si>
    <t>አለምቀን ደማሰ /አቶ/</t>
  </si>
  <si>
    <t>1666</t>
  </si>
  <si>
    <t>Alemnat Gelaw /Emahoy /</t>
  </si>
  <si>
    <t>አለምናት ገላው /እማሆይ/</t>
  </si>
  <si>
    <t>1667</t>
  </si>
  <si>
    <t>Alemneh asefa Sheferaw /Ato/</t>
  </si>
  <si>
    <t>አለምነህ አስፋ ሸፈራው /አቶ/</t>
  </si>
  <si>
    <t>1668</t>
  </si>
  <si>
    <t>Alemneh Bezualem Zewede /Ato/</t>
  </si>
  <si>
    <t>አለምነህ ብዙአለም ዘውዴ /አቶ/</t>
  </si>
  <si>
    <t>1669</t>
  </si>
  <si>
    <t>Alemneh Gesese Jember /Ato/</t>
  </si>
  <si>
    <t>አለምነህ ገሰሰ ጀምበር /አቶ/</t>
  </si>
  <si>
    <t>1670</t>
  </si>
  <si>
    <t>Alemneh Kassahun Agazie/Ato/</t>
  </si>
  <si>
    <t xml:space="preserve"> አለምነህ ካሳሁን አጋዚ/አቶ/</t>
  </si>
  <si>
    <t>1671</t>
  </si>
  <si>
    <t>Alemneh Leyew Bekele /Kes/</t>
  </si>
  <si>
    <t>አለምነህ ልየው በቀለ /ቀስ/</t>
  </si>
  <si>
    <t>1672</t>
  </si>
  <si>
    <t>Alemneh Sahlu /Ato/</t>
  </si>
  <si>
    <t>አለምነህ ሳህሉ /አቶ/</t>
  </si>
  <si>
    <t>1673</t>
  </si>
  <si>
    <t>Alemneh Sisay /Ato/</t>
  </si>
  <si>
    <t>አለምነህ ሲሳይ /አቶ/</t>
  </si>
  <si>
    <t>1674</t>
  </si>
  <si>
    <t>Alemneh Snshaw Shita /Ato/</t>
  </si>
  <si>
    <t>አለምነህ ስንሻው ሽቱ /አቶ/</t>
  </si>
  <si>
    <t>0948-762290</t>
  </si>
  <si>
    <t>1675</t>
  </si>
  <si>
    <t>Alemneh Tsehay Muluye /Ato/</t>
  </si>
  <si>
    <t>አለምነህ ፀሀይ ሙሉየ</t>
  </si>
  <si>
    <t>1676</t>
  </si>
  <si>
    <t>Alemnesh Abebe  /W/o/ and/or Kadi Haji Jama /Ato/</t>
  </si>
  <si>
    <t>አለምነሽ አበበ /ወ/ሮ/ እና/ወይም ቃዲ ሐጂ ጃማ /አቶ/</t>
  </si>
  <si>
    <t>0927-104910</t>
  </si>
  <si>
    <t>1677</t>
  </si>
  <si>
    <t>Alemnesh Challa W/Mariam /W/o/</t>
  </si>
  <si>
    <t>አለምነሽ ጫላ ወ/ማርያም /ወ/ሮ/</t>
  </si>
  <si>
    <t>0913-746876</t>
  </si>
  <si>
    <t>1678</t>
  </si>
  <si>
    <t>Alemnesh Endale Bakelo /W/o/</t>
  </si>
  <si>
    <t>አለምነሽ እንዳለ ባካሎ /ወ/ሮ/</t>
  </si>
  <si>
    <t>1679</t>
  </si>
  <si>
    <t>Alemnesh Legesse Wessman /W/o/</t>
  </si>
  <si>
    <t>አለምነሽ ለገሰ ወስማን /ወ/ሮ/</t>
  </si>
  <si>
    <t>0939-874694</t>
  </si>
  <si>
    <t>legessewessman.alem@gmail.com</t>
  </si>
  <si>
    <t>1680</t>
  </si>
  <si>
    <t>Alemnesh Mandefro Ereta /W/O/</t>
  </si>
  <si>
    <t>አለምነሸ ማንደደፍሮ እረታ /አቶ/</t>
  </si>
  <si>
    <t>1681</t>
  </si>
  <si>
    <t>Alemnesh Negewo Melka /W/o/</t>
  </si>
  <si>
    <t>አለምነሽ ነጋዎ መልካ /ወ/ሮ/</t>
  </si>
  <si>
    <t>1682</t>
  </si>
  <si>
    <t>Alemnesh Tekilu Weledie /W/o/</t>
  </si>
  <si>
    <t>አለምገሸ ተክሉ ወልዴ /ወ/ሮ/</t>
  </si>
  <si>
    <t>1683</t>
  </si>
  <si>
    <t>Alemnesh Yenesew /W/o/ For Tsion G/Michael /Minor/</t>
  </si>
  <si>
    <t>አለምነሽ የኔሰዉ /ወ/ሮ/ ለፅዮን ገ/ሚካኤል ገ/መድህን /ህፃን/</t>
  </si>
  <si>
    <t>0911-898528/0976-068198</t>
  </si>
  <si>
    <t>1684</t>
  </si>
  <si>
    <t>1685</t>
  </si>
  <si>
    <t>Alemnew Metadel Tilahun /Ato/</t>
  </si>
  <si>
    <t>አለምነዉ መታደል ጥላሁን /አቶ/</t>
  </si>
  <si>
    <t>1686</t>
  </si>
  <si>
    <t>Alemnshi Tewaj Bereka /W/o/</t>
  </si>
  <si>
    <t>አለምነሽ ተዋጀ በረካ /ወ/ሮ/</t>
  </si>
  <si>
    <t>1687</t>
  </si>
  <si>
    <t>Alemseged Kebede Mekonnen /Ato/ and/or Meseret Yilma Gurumu /W/o/</t>
  </si>
  <si>
    <t>አለምሰገድ ከበደ መኮንን /አቶ/ እና/ወይም መሰረት ይልማ ጉርሙ /ወ/ሮ/</t>
  </si>
  <si>
    <t>1688</t>
  </si>
  <si>
    <t>Alemseged Mindaye Delelew /Ato/</t>
  </si>
  <si>
    <t>ዓለምሰገድ ምንዳዬ ደለለዉ /አቶ/</t>
  </si>
  <si>
    <t>0926-113204</t>
  </si>
  <si>
    <t>1689</t>
  </si>
  <si>
    <t>Alemseged Teka Sisay /Ato/</t>
  </si>
  <si>
    <t>ዓለምሠገድ ተካ ሲሳይ /አቶ/</t>
  </si>
  <si>
    <t>0913-281393</t>
  </si>
  <si>
    <t>1690</t>
  </si>
  <si>
    <t>Alemseged Tesfaye Tekle /Ato/ And/or Alemtsehay Dadi Eshetu /W/o/</t>
  </si>
  <si>
    <t>አለምሰገድ ተስፋዬ ተክሌ /አቶ/ እና/ወይም አለምፀይ ዳዲ /ወ/ሮ/</t>
  </si>
  <si>
    <t>0913-418343</t>
  </si>
  <si>
    <t>1691</t>
  </si>
  <si>
    <t>Alemseged Tsegaye Tesfaye /Ato/ And/or Behailu Tsegaye Tesfaye /Ato/</t>
  </si>
  <si>
    <t>አለምሰገድ ፀጋዬ ተስፋዬ /አቶ/ እና/ወይም በሀይሉ ፀጋዬ ተስፋዬ /አቶ/</t>
  </si>
  <si>
    <t>702-2921424
612-6009536</t>
  </si>
  <si>
    <t>alemsegedtsfy@gmail.com</t>
  </si>
  <si>
    <t>1692</t>
  </si>
  <si>
    <t>Alemseged Tsegaye Tesfaye /Ato/ And/or Gezahegn Gonfa Degabaso /Ato/</t>
  </si>
  <si>
    <t>አለምሰገድ ፀጋዬ ተስፋዬ /አቶ/ እና/ወይም ገዛኸኝ ጉንፋ ደገባሰ /አቶ/</t>
  </si>
  <si>
    <t>612-423-9429
612-600-9536</t>
  </si>
  <si>
    <t>alemsegedtsfy@gmail.com
gezahegn.degebaso@gmail.com</t>
  </si>
  <si>
    <t>1693</t>
  </si>
  <si>
    <t>Alemseged Tsegaye Tesfaye /Ato/ And/or Yvesantoine Tsegaye Tesfaye /Ato/</t>
  </si>
  <si>
    <t>አለምሰገድ ፀጋዬ ተስፋዬ /አቶ/ እና/ወይም ኢቭ አንቱዋን ፀጋዬ ተስፋዬ /አቶ/</t>
  </si>
  <si>
    <t>612-6009536/336-726-43620</t>
  </si>
  <si>
    <t>Yvesantoine2001@yahoo.fr</t>
  </si>
  <si>
    <t>1694</t>
  </si>
  <si>
    <t>Alemseged Weretaw Alemu /Ato/</t>
  </si>
  <si>
    <t>አለምሰገድ ወረታዉ አለሙ /አቶ/</t>
  </si>
  <si>
    <t>1695</t>
  </si>
  <si>
    <t>1696</t>
  </si>
  <si>
    <t>Alemshet Getachew Sharew /W/T/</t>
  </si>
  <si>
    <t>አለምሸት ጌታቸው ሻረው /ወ/ት/</t>
  </si>
  <si>
    <t>0906-643130</t>
  </si>
  <si>
    <t>1697</t>
  </si>
  <si>
    <t>Alemshet Sisay Haile /Ato/</t>
  </si>
  <si>
    <t>አለምሸት ሲሳይ ሀይሌ /አቶ/</t>
  </si>
  <si>
    <t>0911-714462</t>
  </si>
  <si>
    <t>yosephzethio@gmail.com</t>
  </si>
  <si>
    <t>1698</t>
  </si>
  <si>
    <t>1699</t>
  </si>
  <si>
    <t>1700</t>
  </si>
  <si>
    <t>Alemtsehay Abdi Abagro  /W/O/</t>
  </si>
  <si>
    <t>አለምፀሀይ አብዲ አባገሮ /ወ/ሮ/</t>
  </si>
  <si>
    <t>0911-609085</t>
  </si>
  <si>
    <t>ntsuh17@gmail.com</t>
  </si>
  <si>
    <t>1701</t>
  </si>
  <si>
    <t>Alemtsehay Aregaw /W/O/</t>
  </si>
  <si>
    <t>አለምፀሐይ አረጋው /ወ/ሮ/</t>
  </si>
  <si>
    <t>0964-987470</t>
  </si>
  <si>
    <t>ደ/ም/አ/ክ</t>
  </si>
  <si>
    <t>1702</t>
  </si>
  <si>
    <t>Alemtsehay Ashenafi Demisu /Ato/</t>
  </si>
  <si>
    <t>አለምፀሐይ አሸናፊ ደምሱ /አቶ/</t>
  </si>
  <si>
    <t>1703</t>
  </si>
  <si>
    <t>Alemtsehay Ashine Tsedek /W/t/</t>
  </si>
  <si>
    <t>አለምìሀይ አሽኔ ጸደቀ /ወ/ት/</t>
  </si>
  <si>
    <t>1704</t>
  </si>
  <si>
    <t>Alemtsehay Biru /W/o/ For Abel Girma /Minor/</t>
  </si>
  <si>
    <t>አለምፀሐይ ብሩ /ወ/ሮ/ ለአቤል ግርማ /ህፃን /</t>
  </si>
  <si>
    <t>0941-176351</t>
  </si>
  <si>
    <t>1705</t>
  </si>
  <si>
    <t>Alemtsehay Fikre Weldeyes /W/o/</t>
  </si>
  <si>
    <t>አለምፀሀይ ፍቅሬ ወልደየስ /ወ/ሮ/</t>
  </si>
  <si>
    <t>1706</t>
  </si>
  <si>
    <t>Alemtsehay Fiseha Kebede /W/O/</t>
  </si>
  <si>
    <t>አለምፀሐይ ፈሰሐ ከበድ /ወ/ሮ/</t>
  </si>
  <si>
    <t>0942-327511</t>
  </si>
  <si>
    <t>1707</t>
  </si>
  <si>
    <t>Alemtsehay Kibite W/Mariam  /W/o/</t>
  </si>
  <si>
    <t>አለምፀሀይ ክብቴ ወ/ማርያም /ወ/ሮ/</t>
  </si>
  <si>
    <t>0911-445980/
0920-601098</t>
  </si>
  <si>
    <t>1708</t>
  </si>
  <si>
    <t>Alemtsehay Mamo Abe /W/o/</t>
  </si>
  <si>
    <t>አለምፀሀይ ማሞ አቤ /ወ/ሮ/</t>
  </si>
  <si>
    <t>0911-659455</t>
  </si>
  <si>
    <t>biniamgirma@yahoo.com</t>
  </si>
  <si>
    <t>1709</t>
  </si>
  <si>
    <t>Alemtsehay Mena /W/o/ for Yuniyan Girum /Minor/</t>
  </si>
  <si>
    <t>አልምፀሐይ መና /ወ/ሮ/ ለዩንያን ግሩም /ህጻን/</t>
  </si>
  <si>
    <t>0923-073839</t>
  </si>
  <si>
    <t>1710</t>
  </si>
  <si>
    <t>Alemtsehay Mitiku Gebre /W/o</t>
  </si>
  <si>
    <t>አለምፀሀይ ምትኩ ገብሬ /ወ/ሮ/</t>
  </si>
  <si>
    <t>0904-160655</t>
  </si>
  <si>
    <t>Belgium</t>
  </si>
  <si>
    <t>mitikujo@gmail.com</t>
  </si>
  <si>
    <t>1711</t>
  </si>
  <si>
    <t>Alemtsehay Negash Meshesha /W/o/</t>
  </si>
  <si>
    <t xml:space="preserve">"አለምፀሀይ ነጋሽ </t>
  </si>
  <si>
    <t>1712</t>
  </si>
  <si>
    <t>1713</t>
  </si>
  <si>
    <t>Alemtsehay Teklebirhan Mohammed /W/o/</t>
  </si>
  <si>
    <t>አለምፀሀይ ተክለብርሃን መሀመድ /ወ/ሮ/</t>
  </si>
  <si>
    <t>0961-402376</t>
  </si>
  <si>
    <t>United Kinkdom</t>
  </si>
  <si>
    <t>almeteklu81@yahoo.com</t>
  </si>
  <si>
    <t>1714</t>
  </si>
  <si>
    <t>Alemtsehay Yeshak Tekele /W/o/</t>
  </si>
  <si>
    <t>አለምፀሃይ ይስሐቅ ተክሌ /ወ/ሮ/</t>
  </si>
  <si>
    <t>1715</t>
  </si>
  <si>
    <t>Alemtshay Biru /W/o/ For Mikias Girma /Minor/</t>
  </si>
  <si>
    <t>አለምፀሀይ ብሩ /ወ/ሮ/ ለሚኪያስ ግርማ /ህፃን/</t>
  </si>
  <si>
    <t>0913-780538</t>
  </si>
  <si>
    <t>1716</t>
  </si>
  <si>
    <t xml:space="preserve">Alemtshay Biru Fantaye /W/o/ </t>
  </si>
  <si>
    <t>አለምፀሀይ ብሩ ፋንታዬ /ወ/ሮ/</t>
  </si>
  <si>
    <t>0924-407039</t>
  </si>
  <si>
    <t>1717</t>
  </si>
  <si>
    <t>Alemu Abeje Abebe /Ato/</t>
  </si>
  <si>
    <t>አለሙ አበጀ አበበ /አቶ/</t>
  </si>
  <si>
    <t>1718</t>
  </si>
  <si>
    <t>Alemu Admas Kasie /Ato/</t>
  </si>
  <si>
    <t>አለሙ አድማስ ካሴ /አቶ/</t>
  </si>
  <si>
    <t>1719</t>
  </si>
  <si>
    <t>Alemu Ado Shawo /Ato/</t>
  </si>
  <si>
    <t>አለሙ አዶ ሻዎ /አቶ/</t>
  </si>
  <si>
    <t>1720</t>
  </si>
  <si>
    <t>Alemu Alemayehu Teruneh /Ato/</t>
  </si>
  <si>
    <t>አለሙ አለማየሁ ጥሩነህ /አቶ/</t>
  </si>
  <si>
    <t>0928-465066</t>
  </si>
  <si>
    <t>1721</t>
  </si>
  <si>
    <t>Alemu Amalo Firiesa /Ato/</t>
  </si>
  <si>
    <t>አለሙ አመሎ ፍሬሳ /አቶ/</t>
  </si>
  <si>
    <t>1722</t>
  </si>
  <si>
    <t>Alemu Amato /Ato/</t>
  </si>
  <si>
    <t>አለሙ አማቶ /አቶ/</t>
  </si>
  <si>
    <t>1723</t>
  </si>
  <si>
    <t xml:space="preserve">Alemu Amelo Boroje /Ato/ </t>
  </si>
  <si>
    <t>አለሙ አማሎ ቦሮጀ /አቶ/</t>
  </si>
  <si>
    <t>0982-446953</t>
  </si>
  <si>
    <t>1724</t>
  </si>
  <si>
    <t>Alemu Argata Aruse /Ato/</t>
  </si>
  <si>
    <t>አለሙ አርጋታ አሩስ /አቶ/</t>
  </si>
  <si>
    <t>0919-753297</t>
  </si>
  <si>
    <t>1725</t>
  </si>
  <si>
    <t>Alemu Asefa Agdew /Ato/</t>
  </si>
  <si>
    <t>አለሙ አሰፋ አግደው /አቶ/</t>
  </si>
  <si>
    <t>1726</t>
  </si>
  <si>
    <t>Alemu Ayele /Ato/</t>
  </si>
  <si>
    <t>አለሙ አየለ /አቶ/</t>
  </si>
  <si>
    <t>1727</t>
  </si>
  <si>
    <t>Alemu Azeno /Ato/</t>
  </si>
  <si>
    <t>አለሙ አዘኖ /አቶ/</t>
  </si>
  <si>
    <t>1728</t>
  </si>
  <si>
    <t>Alemu Basazin Mingude /Ato/</t>
  </si>
  <si>
    <t>አለሙ ባሳዝን ምንጉዴ /አቶ/</t>
  </si>
  <si>
    <t>0911-604571</t>
  </si>
  <si>
    <t>1729</t>
  </si>
  <si>
    <t>Alemu Beleda /Ato/</t>
  </si>
  <si>
    <t>አለሙ በልደ /አቶ/</t>
  </si>
  <si>
    <t>1730</t>
  </si>
  <si>
    <t>Alemu Beyo Narayo /Ato/</t>
  </si>
  <si>
    <t>አለሙ ባዮ ናራዮ /አቶ/</t>
  </si>
  <si>
    <t>1731</t>
  </si>
  <si>
    <t>Alemu Bitew Yismaw /Ato/</t>
  </si>
  <si>
    <t>አለሙ ቢተዉ ይስማዉ /አቶ/</t>
  </si>
  <si>
    <t>1732</t>
  </si>
  <si>
    <t>Alemu Bizuneh Zeru /Ato/</t>
  </si>
  <si>
    <t>አለሙ ብዙነህ ዘሩ /አቶ/</t>
  </si>
  <si>
    <t>1733</t>
  </si>
  <si>
    <t>Alemu Buchulo Eregada /Ato/</t>
  </si>
  <si>
    <t>አለሙ ቦቹሎ ኤርጋዳ /አቶ/</t>
  </si>
  <si>
    <t>1734</t>
  </si>
  <si>
    <t>Alemu Chekol /Ato/</t>
  </si>
  <si>
    <t>አለም ቸኮል /አቶ/</t>
  </si>
  <si>
    <t>1735</t>
  </si>
  <si>
    <t>Alemu Dagnaw Leyew /Ato/</t>
  </si>
  <si>
    <t>አለሙ ዳኛው ልየው /አቶ/</t>
  </si>
  <si>
    <t>1736</t>
  </si>
  <si>
    <t>Alemu Desalegn Alela /Ato/</t>
  </si>
  <si>
    <t>አለሙ ደሳለኝ አለላ /አቶ/</t>
  </si>
  <si>
    <t>1737</t>
  </si>
  <si>
    <t>Alemu Deseta Adafero/Ato/</t>
  </si>
  <si>
    <t>አለሙ ደስታ አዳፍሮ /አቶ/</t>
  </si>
  <si>
    <t>1738</t>
  </si>
  <si>
    <t>Alemu Dessalegn /Ato/</t>
  </si>
  <si>
    <t>አለሙ ደሳለኝ መኮንን /አቶ/</t>
  </si>
  <si>
    <t>0938-942201</t>
  </si>
  <si>
    <t>1739</t>
  </si>
  <si>
    <t>Alemu Dorsiso  /Ato/</t>
  </si>
  <si>
    <t>አለሙ ዶርሲሶ /አቶ/</t>
  </si>
  <si>
    <t>1740</t>
  </si>
  <si>
    <t>Alemu Duguna /Ato/</t>
  </si>
  <si>
    <t>አለሙ ዱዠ /አቶ/</t>
  </si>
  <si>
    <t>1741</t>
  </si>
  <si>
    <t>Alemu Ejerssa Debela /Ato/</t>
  </si>
  <si>
    <t>አለሙ ኤጄርሳ ደበላ /አቶ/</t>
  </si>
  <si>
    <t>1742</t>
  </si>
  <si>
    <t>Alemu Fentie Derese /Ato/</t>
  </si>
  <si>
    <t>አለሙ ፈንቴ ደረሰህ /አቶ/</t>
  </si>
  <si>
    <t>1743</t>
  </si>
  <si>
    <t>Alemu Fikadu Tegegn /Ato/</t>
  </si>
  <si>
    <t>አለሙ ፍቃዱ  /አቶ/</t>
  </si>
  <si>
    <t>1744</t>
  </si>
  <si>
    <t>Alemu Gebeyehu Anteneh /Ato/</t>
  </si>
  <si>
    <t xml:space="preserve">አለሙ ገበየሁ አንተነህ /አቶ/ </t>
  </si>
  <si>
    <t>1745</t>
  </si>
  <si>
    <t>Alemu Gebeyehu Desta /Ato/</t>
  </si>
  <si>
    <t>አለሙ ገበየሁ ደስታ /አቶ/</t>
  </si>
  <si>
    <t>1746</t>
  </si>
  <si>
    <t>Alemu Gela /Ato/</t>
  </si>
  <si>
    <t>አለሙ ገላ /አቶ/</t>
  </si>
  <si>
    <t>1747</t>
  </si>
  <si>
    <t>Alemu Geneti Abdissa /Ato/</t>
  </si>
  <si>
    <t>አለሙ ገነቲ አብዲሳ /አቶ/</t>
  </si>
  <si>
    <t>0911-424245
0911-680080</t>
  </si>
  <si>
    <t>1748</t>
  </si>
  <si>
    <t>Alemu Geta Deres /Ato/</t>
  </si>
  <si>
    <t>አለሙ ጌታ ደረሰ /አቶ/</t>
  </si>
  <si>
    <t>1749</t>
  </si>
  <si>
    <t>Alemu Gezie /Ato/</t>
  </si>
  <si>
    <t>አለሙ ገዜ /አቶ/</t>
  </si>
  <si>
    <t>1750</t>
  </si>
  <si>
    <t>Alemu Hailu Mamuye /Ato/</t>
  </si>
  <si>
    <t>አለሙ ኃይሉ ማሙዬ /አቶ/</t>
  </si>
  <si>
    <t>0973-159097</t>
  </si>
  <si>
    <t>1751</t>
  </si>
  <si>
    <t>Alemu Hawando Girmesso /Ato/</t>
  </si>
  <si>
    <t>አለሙ ሃዋንዶ ጊርሚሶ /አቶ/</t>
  </si>
  <si>
    <t>0921-095318</t>
  </si>
  <si>
    <t>tayeasfawmekete@gmail.com</t>
  </si>
  <si>
    <t>1752</t>
  </si>
  <si>
    <t>Alemu Kinde Tselie /Ato/</t>
  </si>
  <si>
    <t>አለሙ ክንደ ፃሌ /አቶ/</t>
  </si>
  <si>
    <t>0964-887100</t>
  </si>
  <si>
    <t>1753</t>
  </si>
  <si>
    <t>Alemu Maja /Ato/</t>
  </si>
  <si>
    <t>አለሙ ማጃ /አቶ/</t>
  </si>
  <si>
    <t>0926-107422</t>
  </si>
  <si>
    <t>1754</t>
  </si>
  <si>
    <t>Alemu Mekonen Tesfaye /Ato/</t>
  </si>
  <si>
    <t>አለሙ መኮንን ተስፋዬ /አቶ/</t>
  </si>
  <si>
    <t>1755</t>
  </si>
  <si>
    <t>Alemu Mengaw Mekonnen /Ato/</t>
  </si>
  <si>
    <t>አለሙ ምንጋው መኮንን /አቶ/</t>
  </si>
  <si>
    <t>1756</t>
  </si>
  <si>
    <t>Alemu Minkena Beka /Ato/</t>
  </si>
  <si>
    <t>አለሙ ምንኬና በቃ /አቶ/</t>
  </si>
  <si>
    <t>1757</t>
  </si>
  <si>
    <t>Alemu Negash /Ato/</t>
  </si>
  <si>
    <t>አለሙ ነጋሽ /አቶ/</t>
  </si>
  <si>
    <t>1758</t>
  </si>
  <si>
    <t>Alemu Sewmehon /Ato/</t>
  </si>
  <si>
    <t>አለሙ ሰውመሆን /አቶ/</t>
  </si>
  <si>
    <t>0918-720334</t>
  </si>
  <si>
    <t>1759</t>
  </si>
  <si>
    <t>Alemu Shala /Ato/</t>
  </si>
  <si>
    <t>አለሙ ሻላ /አቶ/</t>
  </si>
  <si>
    <t>1760</t>
  </si>
  <si>
    <t>Alemu Shibiru Hurso /Ato/</t>
  </si>
  <si>
    <t>አለሙ ሽብሩ ሁርሶ /አቶ/</t>
  </si>
  <si>
    <t>1761</t>
  </si>
  <si>
    <t>Alemu Sisay Belete</t>
  </si>
  <si>
    <t>አለሙ ሲሳይ በለጠ</t>
  </si>
  <si>
    <t>1762</t>
  </si>
  <si>
    <t>Alemu Tafesse  /Ato/</t>
  </si>
  <si>
    <t>አለሙ  ታፈስ /አቶ/</t>
  </si>
  <si>
    <t>0922-752060</t>
  </si>
  <si>
    <t>1763</t>
  </si>
  <si>
    <t>Alemu Taffesse Sileshi /Ato/</t>
  </si>
  <si>
    <t>አለሙ ታፈሰ ስለሺ /አቶ/</t>
  </si>
  <si>
    <t>0919-330357/0900-572101</t>
  </si>
  <si>
    <t>1764</t>
  </si>
  <si>
    <t>Alemu Tamerie Feneta /Ato/</t>
  </si>
  <si>
    <t>አለሙ ታምሬ ፈንታ /አቶ/</t>
  </si>
  <si>
    <t>1765</t>
  </si>
  <si>
    <t>Alemu Tefera Belew   /Ato/</t>
  </si>
  <si>
    <t>አለሙ ተፈራ በለው    /አቶ/</t>
  </si>
  <si>
    <t>0931155003</t>
  </si>
  <si>
    <t>1766</t>
  </si>
  <si>
    <t>Alemu Tigabu  Tigawe /Ato/</t>
  </si>
  <si>
    <t>አለሙ ጥጋቡ ትጋዌ /አቶ/</t>
  </si>
  <si>
    <t>1767</t>
  </si>
  <si>
    <t>Alemu Tufa Tula /Ato/</t>
  </si>
  <si>
    <t>አለሙ ቱፋ ቱላ /አቶ/</t>
  </si>
  <si>
    <t>1768</t>
  </si>
  <si>
    <t>Alemu Wachamo /Ato/</t>
  </si>
  <si>
    <t>አለሙ ዋቸሞ /አቶ/</t>
  </si>
  <si>
    <t>0923-720503
0972-824320</t>
  </si>
  <si>
    <t>wachamoa@gmail.com</t>
  </si>
  <si>
    <t>1769</t>
  </si>
  <si>
    <t>1770</t>
  </si>
  <si>
    <t>Alemu Wate Wagesho /Ato/</t>
  </si>
  <si>
    <t>አለሙ ዋቴ ዋጌሾ /አቶ/</t>
  </si>
  <si>
    <t>1771</t>
  </si>
  <si>
    <t>Alemu Yami /D/r/</t>
  </si>
  <si>
    <t>አለሙ ያሚ /ዶ/ር/</t>
  </si>
  <si>
    <t>0912-477109</t>
  </si>
  <si>
    <t>1772</t>
  </si>
  <si>
    <t>Alemush Imeru /W/o/</t>
  </si>
  <si>
    <t>አለሙሽ እምሩ /ወ/ሮ/</t>
  </si>
  <si>
    <t>0912-036801</t>
  </si>
  <si>
    <t>alemush2002@yahoo.com</t>
  </si>
  <si>
    <t>1773</t>
  </si>
  <si>
    <t>Alemye Mengist Gelaye /Ato/</t>
  </si>
  <si>
    <t>አለምየ መንግስት ገላየ /አቶ/</t>
  </si>
  <si>
    <t>1774</t>
  </si>
  <si>
    <t>Alen Tegegn Meket /Ato/</t>
  </si>
  <si>
    <t>አለን ተገኝ መቄት /አቶ/</t>
  </si>
  <si>
    <t>1775</t>
  </si>
  <si>
    <t xml:space="preserve">Alena Albore Abas </t>
  </si>
  <si>
    <t xml:space="preserve">አለና አለቦሬ አባስ </t>
  </si>
  <si>
    <t>0911-667997</t>
  </si>
  <si>
    <t>1776</t>
  </si>
  <si>
    <t>Alena Desta Enka /Ato/</t>
  </si>
  <si>
    <t>አለና ደስታ እንካ /አቶ/</t>
  </si>
  <si>
    <t>1777</t>
  </si>
  <si>
    <t xml:space="preserve">Alena Sorato /Ato/ </t>
  </si>
  <si>
    <t xml:space="preserve"> አለና ሶራቶ /አቶ/</t>
  </si>
  <si>
    <t>1778</t>
  </si>
  <si>
    <t>Alene Abate /Ato/</t>
  </si>
  <si>
    <t>አለነ አባቴ /አቶ/</t>
  </si>
  <si>
    <t>0918-423915</t>
  </si>
  <si>
    <t>1779</t>
  </si>
  <si>
    <t>Alene Ayel Abawe /Ato/</t>
  </si>
  <si>
    <t>አለነ አያል አባው /አቶ/</t>
  </si>
  <si>
    <t>0943-600122</t>
  </si>
  <si>
    <t>1780</t>
  </si>
  <si>
    <t>Alene Baweke Mewhagn /Ato/</t>
  </si>
  <si>
    <t>አለነ ባወቀ መዉሃኝ /አቶ/</t>
  </si>
  <si>
    <t>1781</t>
  </si>
  <si>
    <t>Alene Jemeber Bezuneh /Ato/</t>
  </si>
  <si>
    <t>አለነ ጀመብር ብዙነህ /አቶ/</t>
  </si>
  <si>
    <t>1782</t>
  </si>
  <si>
    <t>Alene Matsentu Adal /Ato/</t>
  </si>
  <si>
    <t>አለነ ማህìንቱ አዳል /አቶ/</t>
  </si>
  <si>
    <t>1783</t>
  </si>
  <si>
    <t>Alene Shetahun Muchey /Ato/</t>
  </si>
  <si>
    <t>አለነ ሸታሁን ሙጨይ /አቶ/</t>
  </si>
  <si>
    <t>1784</t>
  </si>
  <si>
    <t>Alene Taye Kumlachew /Ato/</t>
  </si>
  <si>
    <t>አለነ ታየ ቁምላቸው /አቶ/</t>
  </si>
  <si>
    <t>1785</t>
  </si>
  <si>
    <t>Alene Wolelaw Ambaye /Ato/</t>
  </si>
  <si>
    <t>አለን ወለላው አምባየ /አቶ/</t>
  </si>
  <si>
    <t>1786</t>
  </si>
  <si>
    <t>Alero Asha Tenaka/Ato/</t>
  </si>
  <si>
    <t>አላሮ አሻ /አቶ/</t>
  </si>
  <si>
    <t>0988-712061</t>
  </si>
  <si>
    <t>1787</t>
  </si>
  <si>
    <t>Alewond Godie /Ato/</t>
  </si>
  <si>
    <t>አለወንድ ጎዴ በላይ /አቶ/</t>
  </si>
  <si>
    <t>0943-445318</t>
  </si>
  <si>
    <t>1788</t>
  </si>
  <si>
    <t>Alewya Hassen Mohammed /W/o/</t>
  </si>
  <si>
    <t>አለዉያ ሀሰን መሐመድ /ወ/ሮ/</t>
  </si>
  <si>
    <t>1789</t>
  </si>
  <si>
    <t>Alex Ayalew Mohammed /Ato/</t>
  </si>
  <si>
    <t>አሌክስ አያሌው መሀመድ /አቶ/</t>
  </si>
  <si>
    <t>0911-254328</t>
  </si>
  <si>
    <t>1790</t>
  </si>
  <si>
    <t>Alex Belay /Ato/</t>
  </si>
  <si>
    <t>አሌክስ በላይ /አቶ/</t>
  </si>
  <si>
    <t>0910-191681</t>
  </si>
  <si>
    <t>alex.belayy@gmail.com</t>
  </si>
  <si>
    <t>1791</t>
  </si>
  <si>
    <t xml:space="preserve">Alex Mekuria Demissie /Ato/ and/or Hana Tezera Efaye /W/o/ </t>
  </si>
  <si>
    <t>አሌክስ መኩሪያ ደምሴ /አቶ/ እና/ወይም ሀና ተዘራ እፍዬ /ወ/ሮ/</t>
  </si>
  <si>
    <t>0911-627227/
0911-882869</t>
  </si>
  <si>
    <t>1792</t>
  </si>
  <si>
    <t>Alex Woreku Ababu /Ato/</t>
  </si>
  <si>
    <t>አሌክስ ወርቁ አባቡ /አቶ/</t>
  </si>
  <si>
    <t>1793</t>
  </si>
  <si>
    <t>Alexander Moges Mekonen /Ato/</t>
  </si>
  <si>
    <t>አልክሳንደር ሞገስ መኮንን /አቶ/</t>
  </si>
  <si>
    <t>1794</t>
  </si>
  <si>
    <t>Alexander Tadesse Tesema /Ato/</t>
  </si>
  <si>
    <t>አሌክሳንደር ታደሰ ተሰማ /አቶ/</t>
  </si>
  <si>
    <t>1795</t>
  </si>
  <si>
    <t>Alexandra Nunes Correia  /W/o/</t>
  </si>
  <si>
    <t>አሌክሳንድራ ኑንስ ኮሪያ /ወ/ሮ/</t>
  </si>
  <si>
    <t>0965-588395</t>
  </si>
  <si>
    <t>1796</t>
  </si>
  <si>
    <t>Alfe Alu Dido /Ato/</t>
  </si>
  <si>
    <t>እልፌ አሉ ዲዶ /አቶ/</t>
  </si>
  <si>
    <t>0925-23-56-94</t>
  </si>
  <si>
    <t>1797</t>
  </si>
  <si>
    <t>Alfiya Mohammed /W/O/</t>
  </si>
  <si>
    <t>አለፊያ መሀመድ /ወ/ሮ/</t>
  </si>
  <si>
    <t>0910-685977</t>
  </si>
  <si>
    <t>1798</t>
  </si>
  <si>
    <t>Alganesh G/meskel Welela /W/o/</t>
  </si>
  <si>
    <t>አልጋነሽ ገ/መስቀል ወለላ /ወ/ሮ/</t>
  </si>
  <si>
    <t>1799</t>
  </si>
  <si>
    <t>Alganesh Getahun Zerihun (Wro)</t>
  </si>
  <si>
    <t>አልጋነሽ ጌታሁን ዘርሁን   /አቶ/</t>
  </si>
  <si>
    <t>1800</t>
  </si>
  <si>
    <t>Alganesh Tegabu Bihonegn/W/o/</t>
  </si>
  <si>
    <t>አልጋነሽ ጥጋቡ ቢሆነኝ /ወ/ሮ/</t>
  </si>
  <si>
    <t>1801</t>
  </si>
  <si>
    <t>Ali Ledamo Taye/Ato/</t>
  </si>
  <si>
    <t>አሊ ሌዳሞ ታዬ/አቶ/</t>
  </si>
  <si>
    <t>1802</t>
  </si>
  <si>
    <t>Ali Mohammed Ali /Ato/</t>
  </si>
  <si>
    <t>አሊ መሀመድ አሊ /አቶ/</t>
  </si>
  <si>
    <t>1803</t>
  </si>
  <si>
    <t>Ali Seid Ahmed /Ato/</t>
  </si>
  <si>
    <t>አሊ  ሰይድ አህመድ /አቶ/</t>
  </si>
  <si>
    <t>0910902711
0991331309</t>
  </si>
  <si>
    <t>alis135@</t>
  </si>
  <si>
    <t>1804</t>
  </si>
  <si>
    <t>Ali Seid Hussen /Ato/</t>
  </si>
  <si>
    <t>አሊ ሰኢድ ሁሴን /አቶ/</t>
  </si>
  <si>
    <t>0910-353539</t>
  </si>
  <si>
    <t>messay25@gmail.com</t>
  </si>
  <si>
    <t>1805</t>
  </si>
  <si>
    <t>Ali Yesuf Muhammed /Ato/</t>
  </si>
  <si>
    <t>አሊ የሱፍ ሙሐመድ /አቶ/</t>
  </si>
  <si>
    <t>1806</t>
  </si>
  <si>
    <t>Alias Mulugeta Kemal /Ato/</t>
  </si>
  <si>
    <t>ኤልያስ ሙሉጌታ ከማል /አቶ/</t>
  </si>
  <si>
    <t>1-571-3430335</t>
  </si>
  <si>
    <t>1tiggy27@gmail.com</t>
  </si>
  <si>
    <t>1807</t>
  </si>
  <si>
    <t>Alie Degu Chekol/Ato/</t>
  </si>
  <si>
    <t>አሌ ደጉ ቸኮል /አቶ /</t>
  </si>
  <si>
    <t>1808</t>
  </si>
  <si>
    <t>Alie Nega /Ato/</t>
  </si>
  <si>
    <t>አሊ ነጋ /አቶ/</t>
  </si>
  <si>
    <t>1809</t>
  </si>
  <si>
    <t>Alie Yesegat Abebe /Ato/</t>
  </si>
  <si>
    <t>አሊ የጌታ አበበ /አቶ/</t>
  </si>
  <si>
    <t>1810</t>
  </si>
  <si>
    <t>Alif Bishaw Agazhe /Ato/</t>
  </si>
  <si>
    <t>አለፈ ቢሸው አገዥ /አቶ/</t>
  </si>
  <si>
    <t>1811</t>
  </si>
  <si>
    <t>Alilign Bitew Alemayehu /Ato/</t>
  </si>
  <si>
    <t>አለልኝ ቢተው አለማየው /አቶ/</t>
  </si>
  <si>
    <t>1812</t>
  </si>
  <si>
    <t>Alim  Kaso /Ato/</t>
  </si>
  <si>
    <t>አለም ካሶ /አቶ/</t>
  </si>
  <si>
    <t>1813</t>
  </si>
  <si>
    <t>Alima Ahimed Husen /W/o/</t>
  </si>
  <si>
    <t xml:space="preserve">አሊማ አህመድ ሁሴን </t>
  </si>
  <si>
    <t>1814</t>
  </si>
  <si>
    <t>Alima Seid Ahmed  /Ato/</t>
  </si>
  <si>
    <t>አለማ ስኢድ አህመድ /አቶ/</t>
  </si>
  <si>
    <t>1815</t>
  </si>
  <si>
    <t>Alima Yibrae /Ato/</t>
  </si>
  <si>
    <t xml:space="preserve">አሊማ ይብሬ /አቶ/ </t>
  </si>
  <si>
    <t>1816</t>
  </si>
  <si>
    <t>Alimaw Asifaw Ewnetu /Ato/</t>
  </si>
  <si>
    <t>አልማው አሰፍው እውነቱ /አቶ/</t>
  </si>
  <si>
    <t>1817</t>
  </si>
  <si>
    <t>Alimaw Sitotaw Werkie /Ato/</t>
  </si>
  <si>
    <t>አሊማው ስጦታው ወርቂ /አቶ/</t>
  </si>
  <si>
    <t>1818</t>
  </si>
  <si>
    <t>Alimaz Asamen Mitku /W/O/</t>
  </si>
  <si>
    <t>አልማዝ  አሰመን ምትኩ  /ወ/ሮ/</t>
  </si>
  <si>
    <t>1819</t>
  </si>
  <si>
    <t>Alimaz Terefe T/Mariam /W//O/</t>
  </si>
  <si>
    <t>አልማዝ ተረፈ ተክለማሪያም /ወ/ሮ/</t>
  </si>
  <si>
    <t>1820</t>
  </si>
  <si>
    <t>Alisham Sime Asefa /W/o/</t>
  </si>
  <si>
    <t>አልሻም ስሜ አሰፋ /ወ/ሮ/</t>
  </si>
  <si>
    <t>1821</t>
  </si>
  <si>
    <t>Aliya Yibere Muhamud /Ato/</t>
  </si>
  <si>
    <t>አሊያ ይበረ ሙሀሙድ /አቶ/</t>
  </si>
  <si>
    <t>1822</t>
  </si>
  <si>
    <t>Aliye Abitie/Ato/</t>
  </si>
  <si>
    <t>አልየ አብጤ አያሌው /አቶ/</t>
  </si>
  <si>
    <t>1823</t>
  </si>
  <si>
    <t>Aliyi  Tiko Edao /Ato/</t>
  </si>
  <si>
    <t>አሊዪ ቲኮ ኤዳኦ /አቶ/</t>
  </si>
  <si>
    <t>0912-801806</t>
  </si>
  <si>
    <t>1824</t>
  </si>
  <si>
    <t>Aliyi Kedir  Robee/Ato/</t>
  </si>
  <si>
    <t>አሊ ከድር ሮቤ /አቶ/</t>
  </si>
  <si>
    <t>1825</t>
  </si>
  <si>
    <t>Alkane Bedada Wereka /W/o/</t>
  </si>
  <si>
    <t>አልከኔ በዳዳ ወረቃ /ወ/ሮ/</t>
  </si>
  <si>
    <t>0918-759948</t>
  </si>
  <si>
    <t>1826</t>
  </si>
  <si>
    <t>Alkase Bale /Ato/</t>
  </si>
  <si>
    <t>አልካሴ ባሌ /አቶ/</t>
  </si>
  <si>
    <t>1827</t>
  </si>
  <si>
    <t>Alle Baye Ayele /Ato/</t>
  </si>
  <si>
    <t>አለ በየ አየለ /አቶ/</t>
  </si>
  <si>
    <t>1828</t>
  </si>
  <si>
    <t>Alleign Hamole Hundesa /Ato/</t>
  </si>
  <si>
    <t>አለልኝ ሀሞሌ ሁንዴ /አቶ/</t>
  </si>
  <si>
    <t>1829</t>
  </si>
  <si>
    <t>Almaw Ejigu /Ato/</t>
  </si>
  <si>
    <t xml:space="preserve">አልማው እጅጉ /አቶ/ </t>
  </si>
  <si>
    <t>1830</t>
  </si>
  <si>
    <t>1831</t>
  </si>
  <si>
    <t>Almaz Alemu W/micheal /W/o/</t>
  </si>
  <si>
    <t>አልማዝ አለሙ ወ/ሚካኤል /ወ/ሮ/</t>
  </si>
  <si>
    <t>1832</t>
  </si>
  <si>
    <t>Almaz Antenayehu Tegegn /Ato/</t>
  </si>
  <si>
    <t>አልማዝ አንተናየሁ ተገኘ /አቶ/</t>
  </si>
  <si>
    <t>0924-720824</t>
  </si>
  <si>
    <t>1833</t>
  </si>
  <si>
    <t>1834</t>
  </si>
  <si>
    <t>1835</t>
  </si>
  <si>
    <t>Almaz Bedo Areda /W/o/</t>
  </si>
  <si>
    <t>አልማዝ በዶ አረዳ /ወ/ሮ/</t>
  </si>
  <si>
    <t>0985-914699</t>
  </si>
  <si>
    <t>1836</t>
  </si>
  <si>
    <t>Almaz Bekele /W/ro/</t>
  </si>
  <si>
    <t>አልማዝ በቀለ /ወ/ሮ/</t>
  </si>
  <si>
    <t>0911-400363</t>
  </si>
  <si>
    <t>1837</t>
  </si>
  <si>
    <t>Almaz Bekele Bedane /W/o/</t>
  </si>
  <si>
    <t>አልማዝ በቀለ በዳኔ /ወ/ሮ/</t>
  </si>
  <si>
    <t>0910-248335</t>
  </si>
  <si>
    <t>1838</t>
  </si>
  <si>
    <t>Almaz Defar Asfew /W/o/</t>
  </si>
  <si>
    <t>አልማዝ ደፋር አስፋዉ /ወ/ሮ/</t>
  </si>
  <si>
    <t>0922-332305</t>
  </si>
  <si>
    <t>1839</t>
  </si>
  <si>
    <t>Almaz Desalegn  /W/O/</t>
  </si>
  <si>
    <t>አልማዝ ደሳለኝ /ወ/ሮ/</t>
  </si>
  <si>
    <t>1840</t>
  </si>
  <si>
    <t>Almaz Emano Shamana /W/O/</t>
  </si>
  <si>
    <t>አልማዝ እማኖ ሻማና /ወ/ሮ/</t>
  </si>
  <si>
    <t>0939-542232</t>
  </si>
  <si>
    <t>1841</t>
  </si>
  <si>
    <t>Almaz Fenjena /Ato/</t>
  </si>
  <si>
    <t>አልማዝ ፈንጀና /አቶ/</t>
  </si>
  <si>
    <t>1842</t>
  </si>
  <si>
    <t>Almaz G/Meskel Asrat /W/o/</t>
  </si>
  <si>
    <t>አልማዝ ገ/መስቀል አስራት /ወ/ሮ/</t>
  </si>
  <si>
    <t>0911-790743</t>
  </si>
  <si>
    <t>bireadis@gmail.com</t>
  </si>
  <si>
    <t>1843</t>
  </si>
  <si>
    <t>Almaz Getu Goje /Ato/</t>
  </si>
  <si>
    <t>አልማዝ ጌቱ ጎጆ /አቶ/</t>
  </si>
  <si>
    <t>1844</t>
  </si>
  <si>
    <t>Almaz Hamza Andushe /W/o/</t>
  </si>
  <si>
    <t>አልማዝ ሀምዛ አንዱሼ /ወ/ሮ/</t>
  </si>
  <si>
    <t>1845</t>
  </si>
  <si>
    <t>1846</t>
  </si>
  <si>
    <t>Almaz Mebratu Tessema /W/o/</t>
  </si>
  <si>
    <t>አልማዝ መብራቱ ተሰማ /ወ/ሮ/</t>
  </si>
  <si>
    <t>1847</t>
  </si>
  <si>
    <t>Almaz Mitikou Kumbis /W/o/</t>
  </si>
  <si>
    <t>አልማዝ ምትኩ ኩምቢሳ /ወ/ሮ/</t>
  </si>
  <si>
    <t>1848</t>
  </si>
  <si>
    <t>Almaz Moges Kurka /W/o/</t>
  </si>
  <si>
    <t>አልማዝ ሞገስ ኩርካ /ወ/ሮ/</t>
  </si>
  <si>
    <t>0913-687860</t>
  </si>
  <si>
    <t>sisay5065@gmail.com</t>
  </si>
  <si>
    <t>1849</t>
  </si>
  <si>
    <t>Almaz Mtiku Aleme /W/o/</t>
  </si>
  <si>
    <t>አልማዝ ምትኩ አለሜ /ወ/ሮ/</t>
  </si>
  <si>
    <t>1850</t>
  </si>
  <si>
    <t>Almaz Muhe Ahmed /W/o/</t>
  </si>
  <si>
    <t xml:space="preserve"> አልማዝ ሙሄ አህመድ /ወ/ሮ</t>
  </si>
  <si>
    <t>0921-480276</t>
  </si>
  <si>
    <t>tinashka@gmail.com</t>
  </si>
  <si>
    <t>1851</t>
  </si>
  <si>
    <t>Almaz Mulu Enidabo /W/O/</t>
  </si>
  <si>
    <t xml:space="preserve"> አልማዝ ሙሉ አንዳቦ /ወ/ሮ/</t>
  </si>
  <si>
    <t>1852</t>
  </si>
  <si>
    <t>Almaz Mulugeta Asefa /Ato/</t>
  </si>
  <si>
    <t>አልማዝ ሙሉጌታ አሰፋ /አቶ/</t>
  </si>
  <si>
    <t>1853</t>
  </si>
  <si>
    <t>Almaz Simi Weldemechael  /W/o/</t>
  </si>
  <si>
    <t>አልማዝ ስሜ ወልደሚካኤል /ወ/ሮ/</t>
  </si>
  <si>
    <t>0911-354545</t>
  </si>
  <si>
    <t>1854</t>
  </si>
  <si>
    <t>Almaz Soramo /W/o/</t>
  </si>
  <si>
    <t>አልማዝ ሶራሞ /ወ/ሮ/</t>
  </si>
  <si>
    <t>0911-061670</t>
  </si>
  <si>
    <t>almaz.soramo@yahoo.com</t>
  </si>
  <si>
    <t>1855</t>
  </si>
  <si>
    <t>Almaz Tesfaye Tolosa /W/o/</t>
  </si>
  <si>
    <t>አልማዝ ተስፋዬ ቶሎሳ /ወ/ሮ/</t>
  </si>
  <si>
    <t>1856</t>
  </si>
  <si>
    <t>Almaz Teshome Tessema /W/o/</t>
  </si>
  <si>
    <t>አልማዝ ተሾመ ተሰማ /ወ/ሮ/</t>
  </si>
  <si>
    <t>0912-030982</t>
  </si>
  <si>
    <t>1857</t>
  </si>
  <si>
    <t>1858</t>
  </si>
  <si>
    <t>Almaz Torchaso Doboche /W/O/</t>
  </si>
  <si>
    <t>አልማዝ ቶርጫሶ ዶቦጬ /ወ/ሮ</t>
  </si>
  <si>
    <t>0940-616714</t>
  </si>
  <si>
    <t>1859</t>
  </si>
  <si>
    <t>Almaz W/Ab Asfaw /W/o/</t>
  </si>
  <si>
    <t>አልማዝ ወልደአብ አስፋው /ወ/ሮ/</t>
  </si>
  <si>
    <t>0911-388105</t>
  </si>
  <si>
    <t>1860</t>
  </si>
  <si>
    <t>Almaz Wasse /W/o/</t>
  </si>
  <si>
    <t>አልማዝ ዋሴ /ወ/ሮ/</t>
  </si>
  <si>
    <t>0911-690854</t>
  </si>
  <si>
    <t>jermil0862@gmail.com</t>
  </si>
  <si>
    <t>1861</t>
  </si>
  <si>
    <t>Almaz Yoseph Yimer /W/o/</t>
  </si>
  <si>
    <t>አልማዝ ዮሴፍ ይመር /ወ/ሮ/</t>
  </si>
  <si>
    <t>0911-466404</t>
  </si>
  <si>
    <t>1862</t>
  </si>
  <si>
    <t>Almensh Tigabe /W/o/ and/or Kassu Kebede /Ato/</t>
  </si>
  <si>
    <t>አለምነሽ ጥጋቤ /ወ/ሮ/ እና/ወይም ካሱ ከበደ /አቶ/</t>
  </si>
  <si>
    <t>0912-188840</t>
  </si>
  <si>
    <t>1863</t>
  </si>
  <si>
    <t>Almnesh Yenesew Wondim /W/o/</t>
  </si>
  <si>
    <t>አለምነሽ የኔሰው ወንድም /ወ/ሮ/</t>
  </si>
  <si>
    <t>1864</t>
  </si>
  <si>
    <t>Almtsaye Dufara Obsa /W/o/</t>
  </si>
  <si>
    <t>አለምፀሀይ ዱፌራ አብሣ /ወ/ሮ/</t>
  </si>
  <si>
    <t>0921-893284/0911-211143</t>
  </si>
  <si>
    <t>1865</t>
  </si>
  <si>
    <t>Almusa Assa /Ato/</t>
  </si>
  <si>
    <t>አልሙሳ አሳ /አቶ/</t>
  </si>
  <si>
    <t>1866</t>
  </si>
  <si>
    <t xml:space="preserve">Alta Wolde </t>
  </si>
  <si>
    <t xml:space="preserve">አልታ ወልዴ </t>
  </si>
  <si>
    <t>0931-710031</t>
  </si>
  <si>
    <t>altay_wa@yahoo.com</t>
  </si>
  <si>
    <t>1867</t>
  </si>
  <si>
    <t>Altaye Aliye /Ato/</t>
  </si>
  <si>
    <t>አልታዬ አሊዬ /አቶ/</t>
  </si>
  <si>
    <t>0937-212234</t>
  </si>
  <si>
    <t>1868</t>
  </si>
  <si>
    <t>1869</t>
  </si>
  <si>
    <t>Alula Tewolde Tadesse /Ato/</t>
  </si>
  <si>
    <t>አሉላ ተወልደ ታደሰ /አቶ/</t>
  </si>
  <si>
    <t>0923-250122</t>
  </si>
  <si>
    <t>1870</t>
  </si>
  <si>
    <t>Alula Tunta /Ato/</t>
  </si>
  <si>
    <t>አሉላ ቱንታ /አቶ/</t>
  </si>
  <si>
    <t>0916-693778</t>
  </si>
  <si>
    <t>1871</t>
  </si>
  <si>
    <t>Alulo Olonje /Ato/</t>
  </si>
  <si>
    <t>አሉሎ ኦሎንጀ /አቶ/</t>
  </si>
  <si>
    <t>0973-900283</t>
  </si>
  <si>
    <t>1872</t>
  </si>
  <si>
    <t>Alyu Ararsi Faji /Ato/</t>
  </si>
  <si>
    <t>አላዩ አራርሴ ፍጄ /አቶ/</t>
  </si>
  <si>
    <t>1873</t>
  </si>
  <si>
    <t>Alzaer Tsehaye Dechassa /Ato/</t>
  </si>
  <si>
    <t>1874</t>
  </si>
  <si>
    <t>Ama Aterke Asegie /Ato/</t>
  </si>
  <si>
    <t>አማ አተርቃ አስጌ /አቶ/</t>
  </si>
  <si>
    <t>1875</t>
  </si>
  <si>
    <t>Amad Mohamed /Ato/</t>
  </si>
  <si>
    <t>አማድ መሀመድ /አቶ/</t>
  </si>
  <si>
    <t>0917-507632</t>
  </si>
  <si>
    <t>1876</t>
  </si>
  <si>
    <t>Amala Goha Gocha /Ato/</t>
  </si>
  <si>
    <t>አማለ ጎሃ ጎጫ /አቶ/</t>
  </si>
  <si>
    <t>1877</t>
  </si>
  <si>
    <t>Amalo Kayamo /Ato/</t>
  </si>
  <si>
    <t>አማሎ ካያሞ /አቶ/</t>
  </si>
  <si>
    <t>1878</t>
  </si>
  <si>
    <t>Aman Abreham /Ato/</t>
  </si>
  <si>
    <t>አማን አብርሃም /አቶ/</t>
  </si>
  <si>
    <t>0926-088665</t>
  </si>
  <si>
    <t>1879</t>
  </si>
  <si>
    <t>Aman Abrham /Ato/</t>
  </si>
  <si>
    <t>1880</t>
  </si>
  <si>
    <t>Aman Asamo /Ato/</t>
  </si>
  <si>
    <t>አማን አሳሞ /አቶ/</t>
  </si>
  <si>
    <t>0916-693652</t>
  </si>
  <si>
    <t>1881</t>
  </si>
  <si>
    <t>Aman Ayele Siyum /Ato/</t>
  </si>
  <si>
    <t>አማን አዬሌ ስዩም /አቶ/</t>
  </si>
  <si>
    <t>0912-405641</t>
  </si>
  <si>
    <t>1882</t>
  </si>
  <si>
    <t>Aman Gagiebo Gebere /Ato/</t>
  </si>
  <si>
    <t>አማን ጋጌቦ ገበሬ /አቶ/</t>
  </si>
  <si>
    <t>1883</t>
  </si>
  <si>
    <t>Aman Lamaro /Ato/</t>
  </si>
  <si>
    <t>አማን ላማሮ /አቶ/</t>
  </si>
  <si>
    <t>0938-979488</t>
  </si>
  <si>
    <t>1884</t>
  </si>
  <si>
    <t>Aman Lamiso Kake/Ato/</t>
  </si>
  <si>
    <t>አማን ላሚሶ ቃቄ /አቶ/</t>
  </si>
  <si>
    <t>1885</t>
  </si>
  <si>
    <t>Aman Mana /Ato/</t>
  </si>
  <si>
    <t>አማን ማና /አቶ/</t>
  </si>
  <si>
    <t>1886</t>
  </si>
  <si>
    <t>Aman Menkir Welelaw /Ato/</t>
  </si>
  <si>
    <t>አማን መንክር ወለላዉ /አቶ/</t>
  </si>
  <si>
    <t>1887</t>
  </si>
  <si>
    <t>Aman Musa Gemechu /Ato/</t>
  </si>
  <si>
    <t>አማን ሙሳ ግምቹ /አቶ/</t>
  </si>
  <si>
    <t>0920-088430</t>
  </si>
  <si>
    <t>1888</t>
  </si>
  <si>
    <t>Aman Tola Gaduda /Ato/</t>
  </si>
  <si>
    <t>አማን ቶላ ጋዱዳ /አቶ/</t>
  </si>
  <si>
    <t>0915-569951</t>
  </si>
  <si>
    <t>1889</t>
  </si>
  <si>
    <t>Aman Worku /Ato/</t>
  </si>
  <si>
    <t>አማን ወሩቁ /አቶ/</t>
  </si>
  <si>
    <t>0919-741794</t>
  </si>
  <si>
    <t>1890</t>
  </si>
  <si>
    <t>Amana Yoseph /Ato/</t>
  </si>
  <si>
    <t>አማና ዮሴፍ /አቶ/</t>
  </si>
  <si>
    <t>1891</t>
  </si>
  <si>
    <t>Amano Gemeda /Ato/</t>
  </si>
  <si>
    <t>አማኖ ገመዳ /አቶ/</t>
  </si>
  <si>
    <t>1892</t>
  </si>
  <si>
    <t>Amano Lema Sirato /Ato/</t>
  </si>
  <si>
    <t>አማኖ ለማ ሲራቶ /አቶ/</t>
  </si>
  <si>
    <t>0912-674759</t>
  </si>
  <si>
    <t>1893</t>
  </si>
  <si>
    <t>1894</t>
  </si>
  <si>
    <t>Amanual Abera /Ato/</t>
  </si>
  <si>
    <t>አማኑኤል አበራ /አቶ/</t>
  </si>
  <si>
    <t>1895</t>
  </si>
  <si>
    <t>Amanual Alemu /Ato/</t>
  </si>
  <si>
    <t>አማኑአል አለሙ /አቶ/</t>
  </si>
  <si>
    <t>0928-036290</t>
  </si>
  <si>
    <t>1896</t>
  </si>
  <si>
    <t>Amanual Arisecha Aeyel /Ato/</t>
  </si>
  <si>
    <t>አማኑኤል  አርስታ አየለ/አቶ/</t>
  </si>
  <si>
    <t>0972-608180</t>
  </si>
  <si>
    <t>1897</t>
  </si>
  <si>
    <t>Amanual Negaro /Ato/</t>
  </si>
  <si>
    <t>አማኑዋል ነጋሮ /አቶ/</t>
  </si>
  <si>
    <t>0964-900959</t>
  </si>
  <si>
    <t>1898</t>
  </si>
  <si>
    <t>Amanual Seyfu Sanka /Ato/</t>
  </si>
  <si>
    <t>አማኑኤል ሰይፉ ሳንካ /አቶ/</t>
  </si>
  <si>
    <t>1899</t>
  </si>
  <si>
    <t>Amanual Tesfaye Assefa /Ato/</t>
  </si>
  <si>
    <t>አማኑኤል ተስፋዬ አሰፋ /አቶ/</t>
  </si>
  <si>
    <t>1900</t>
  </si>
  <si>
    <t>Amanual Wogasa /Ato/</t>
  </si>
  <si>
    <t>አማኑኤል ወጋሶ /አቶ/</t>
  </si>
  <si>
    <t>0916-470265</t>
  </si>
  <si>
    <t>1901</t>
  </si>
  <si>
    <t>Amanuale Menda /Ato/</t>
  </si>
  <si>
    <t>አማኑኤል ሜንዳ /አቶ/</t>
  </si>
  <si>
    <t>1902</t>
  </si>
  <si>
    <t>Amanuale Shewa Selalie /Ato/</t>
  </si>
  <si>
    <t>አማኑኤል ሸዋ ሰሊሌ /አቶ/</t>
  </si>
  <si>
    <t>1903</t>
  </si>
  <si>
    <t>Amanueal  Mehari Tesfagaber  /Ato/</t>
  </si>
  <si>
    <t>አማኑኤል መሃሪ ተስፋጋብር /አቶ/</t>
  </si>
  <si>
    <t>1904</t>
  </si>
  <si>
    <t>Amanueal Ayele Chade /Ato/</t>
  </si>
  <si>
    <t>አማኑኤል አየለ ጫዴ /አቶ/</t>
  </si>
  <si>
    <t>0948-055542</t>
  </si>
  <si>
    <t>1905</t>
  </si>
  <si>
    <t>Amanueal Dires Tesfaye /Ato/</t>
  </si>
  <si>
    <t>አማኑኤል ድረስ ተስፋየ /አቶ/</t>
  </si>
  <si>
    <t>1906</t>
  </si>
  <si>
    <t>Amanueal Girma Mamo  /Ato/</t>
  </si>
  <si>
    <t>አማኑኤል ግርማ ማሞ /አቶ/</t>
  </si>
  <si>
    <t>1907</t>
  </si>
  <si>
    <t>Amanueal Tilahun/Kes/</t>
  </si>
  <si>
    <t>አማኑኤል ጥላሁን/ቄስ/</t>
  </si>
  <si>
    <t>1908</t>
  </si>
  <si>
    <t>Amanueal W/medihn Bulgu /Ato/</t>
  </si>
  <si>
    <t>አማኑኤል ወ/መድህን ቡልጉ /አቶ/</t>
  </si>
  <si>
    <t>1909</t>
  </si>
  <si>
    <t>Amanueal Youtera /Ato/</t>
  </si>
  <si>
    <t>አማኑኤል ዮተራ /አቶ/</t>
  </si>
  <si>
    <t>1910</t>
  </si>
  <si>
    <t>Amanueil Ayele /Ato/</t>
  </si>
  <si>
    <t>አማኑኤል አየለ /አቶ/</t>
  </si>
  <si>
    <t>0921-009400</t>
  </si>
  <si>
    <t>1911</t>
  </si>
  <si>
    <t>Amanueil Weticha Wesro /Ato/</t>
  </si>
  <si>
    <t>አማኑኤል ወትቻ ወሳሮ /አቶ/</t>
  </si>
  <si>
    <t>0907-219942</t>
  </si>
  <si>
    <t>1912</t>
  </si>
  <si>
    <t>Amanuel Abayneh /Ato/</t>
  </si>
  <si>
    <t>አማኑኤል  አባይነህ /አቶ/</t>
  </si>
  <si>
    <t>1913</t>
  </si>
  <si>
    <t>Amanuel Abere /Ato/</t>
  </si>
  <si>
    <t>አማኑኤል አበረ /አቶ/</t>
  </si>
  <si>
    <t>0912-061146</t>
  </si>
  <si>
    <t>1914</t>
  </si>
  <si>
    <t>Amanuel Adaye Kaba /Ato/</t>
  </si>
  <si>
    <t>አማኑኤል አዳዬ ካባ /አቶ/</t>
  </si>
  <si>
    <t>1915</t>
  </si>
  <si>
    <t>Amanuel Ademo /Ato/</t>
  </si>
  <si>
    <t>አማኑኤል አደሞ /አቶ/</t>
  </si>
  <si>
    <t>1916</t>
  </si>
  <si>
    <t>Amanuel Alaro Asalie /Ato/</t>
  </si>
  <si>
    <t>አማኑኤል አላሮ አሳሌ /አቶ/</t>
  </si>
  <si>
    <t>1917</t>
  </si>
  <si>
    <t>Amanuel Andargie Seyoum /Ato/</t>
  </si>
  <si>
    <t>አማኑኤል አንዳርጌ ስዩም /አቶ/</t>
  </si>
  <si>
    <t>0920-375823</t>
  </si>
  <si>
    <t>1918</t>
  </si>
  <si>
    <t>Amanuel Anja Angamo /Ato/</t>
  </si>
  <si>
    <t>አማኑኤል አንጃ አንጋሞ /አቶ/</t>
  </si>
  <si>
    <t>1919</t>
  </si>
  <si>
    <t>Amanuel Arera  Nadew /Ato/</t>
  </si>
  <si>
    <t>አማኑኤል አሬራ ናደው /አቶ/</t>
  </si>
  <si>
    <t>1920</t>
  </si>
  <si>
    <t>Amanuel Asefa Fache /Ato/</t>
  </si>
  <si>
    <t>አማኑኤል አሰፋ ፋቼ /አቶ/</t>
  </si>
  <si>
    <t>1921</t>
  </si>
  <si>
    <t>Amanuel Asmelash Dessalegn /Ato/</t>
  </si>
  <si>
    <t>አማኑኤል አስመላሽ ደሳለኝ /አቶ/</t>
  </si>
  <si>
    <t>1922</t>
  </si>
  <si>
    <t>Amanuel Assefa Belachew /Ato/</t>
  </si>
  <si>
    <t>አማኑኤል አሰፋ በላቸው /አቶ/</t>
  </si>
  <si>
    <t>0927-070438</t>
  </si>
  <si>
    <t>1923</t>
  </si>
  <si>
    <t>Amanuel Ayza /Ato/</t>
  </si>
  <si>
    <t>አማኑኤል አይዛ /አቶ/</t>
  </si>
  <si>
    <t>0916-693867</t>
  </si>
  <si>
    <t>1924</t>
  </si>
  <si>
    <t>Amanuel Barsisa Olana /Ato/</t>
  </si>
  <si>
    <t>አማኑኤል በርሲሳ ኦላና /አቶ/</t>
  </si>
  <si>
    <t>0912-021401</t>
  </si>
  <si>
    <t>johnykebede@gmail.com</t>
  </si>
  <si>
    <t>1925</t>
  </si>
  <si>
    <t>1926</t>
  </si>
  <si>
    <t>Amanuel Belete H/Selassie /Ato/</t>
  </si>
  <si>
    <t>አማኑኤል በለጠ ሀ/ስላሴ /አቶ/</t>
  </si>
  <si>
    <t>0920-209030</t>
  </si>
  <si>
    <t>1927</t>
  </si>
  <si>
    <t>Amanuel Bilamo /Ato/</t>
  </si>
  <si>
    <t>አማኑኤል ቢላሞ /አቶ/</t>
  </si>
  <si>
    <t>1928</t>
  </si>
  <si>
    <t>Amanuel Bino Binebsa /Ato/</t>
  </si>
  <si>
    <t>አማኑኤል ቢኖ ብንበሳ  /አቶ/</t>
  </si>
  <si>
    <t>0911-357518</t>
  </si>
  <si>
    <t>1929</t>
  </si>
  <si>
    <t>Amanuel Bitsuamlak G/Mariam /Ato/</t>
  </si>
  <si>
    <t>አማኑኤል ብፁአምላክ ገ/ማርያም /አቶ/</t>
  </si>
  <si>
    <t>0912-339101</t>
  </si>
  <si>
    <t>1930</t>
  </si>
  <si>
    <t>Amanuel Bogale /Ato/</t>
  </si>
  <si>
    <t>አማኑኤል ቦጋሌ /አቶ/</t>
  </si>
  <si>
    <t>1931</t>
  </si>
  <si>
    <t>Amanuel Dagnachew G/wold /Ato/</t>
  </si>
  <si>
    <t>አማኑኤል ዳኛቸዉ ገ/ወልድ /አቶ/</t>
  </si>
  <si>
    <t>1932</t>
  </si>
  <si>
    <t>Amanuel Demeke Eshetu /Ato/</t>
  </si>
  <si>
    <t>አማኑኤል ደመቀ እሸቱ /</t>
  </si>
  <si>
    <t>0942-209982</t>
  </si>
  <si>
    <t>1933</t>
  </si>
  <si>
    <t>Amanuel Dereje Belay /Ato/</t>
  </si>
  <si>
    <t>አማኑኤል ደረጀ በላይ /አቶ/</t>
  </si>
  <si>
    <t>0915-248606</t>
  </si>
  <si>
    <t>1934</t>
  </si>
  <si>
    <t>Amanuel Endale Biresaw /Ato/</t>
  </si>
  <si>
    <t>አማኑኤል እንዳለ ቢረሳዉ /አቶ/</t>
  </si>
  <si>
    <t>0911-872908</t>
  </si>
  <si>
    <t>1935</t>
  </si>
  <si>
    <t>አማኑኤል እንዳለ ቢረሳው /አቶ/</t>
  </si>
  <si>
    <t>0911-367883</t>
  </si>
  <si>
    <t>1936</t>
  </si>
  <si>
    <t>Amanuel Endale Mebratu /Ato/</t>
  </si>
  <si>
    <t>አማኑኤል እንዳለ መብራቱ /አቶ/</t>
  </si>
  <si>
    <t>1937</t>
  </si>
  <si>
    <t>Amanuel Etero /Ato/</t>
  </si>
  <si>
    <t>አማኑኤል እቴሮ /አቶ/</t>
  </si>
  <si>
    <t>1938</t>
  </si>
  <si>
    <t>Amanuel Fasil Belete /Ato/</t>
  </si>
  <si>
    <t>አማኑኤል ፋሲል በለጠ /አቶ/</t>
  </si>
  <si>
    <t>1939</t>
  </si>
  <si>
    <t>1940</t>
  </si>
  <si>
    <t>Amanuel G/Mariam /Ato/</t>
  </si>
  <si>
    <t>አማኑኤል ገብረማርያም /አቶ/</t>
  </si>
  <si>
    <t>1941</t>
  </si>
  <si>
    <t>Amanuel G/Medhin Fisseha /Ato/</t>
  </si>
  <si>
    <t>አማኑኤል ገ/መድህን ፍሰሀ /አቶ/</t>
  </si>
  <si>
    <t>0910-094186</t>
  </si>
  <si>
    <t>1942</t>
  </si>
  <si>
    <t>Amanuel Ganta Kalamo /Ato/</t>
  </si>
  <si>
    <t>አማኑኤል ጋንታ ቃለሞ /አቶ/</t>
  </si>
  <si>
    <t>0916-271387</t>
  </si>
  <si>
    <t>1943</t>
  </si>
  <si>
    <t>Amanuel Gemja Rure /Ato/</t>
  </si>
  <si>
    <t>አማኑኤል ገምጃ ሩሬ /አቶ/</t>
  </si>
  <si>
    <t>1944</t>
  </si>
  <si>
    <t>Amanuel Genetu Teruneh /Ato/</t>
  </si>
  <si>
    <t>አማኑኤል ገነቱ ጥሩነህ /አቶ/</t>
  </si>
  <si>
    <t>0900-300048</t>
  </si>
  <si>
    <t>1945</t>
  </si>
  <si>
    <t>Amanuel Getaye Arega /Ato/</t>
  </si>
  <si>
    <t>አማኑኤል ጌታዬ አረጋ /አቶ/</t>
  </si>
  <si>
    <t>1946</t>
  </si>
  <si>
    <t>Amanuel Geze Teketel /Ato/</t>
  </si>
  <si>
    <t>አማኑኤል ገዜ ተከተል /አቶ/</t>
  </si>
  <si>
    <t>1947</t>
  </si>
  <si>
    <t>1948</t>
  </si>
  <si>
    <t>Amanuel Gulema  Beyecha /Ato/</t>
  </si>
  <si>
    <t>አማኑኤል ጉልማ በዬቻ /አቶ/</t>
  </si>
  <si>
    <t>0911-643875</t>
  </si>
  <si>
    <t>1949</t>
  </si>
  <si>
    <t>Amanuel Guta Duguma /Ato/</t>
  </si>
  <si>
    <t>አማኑኤል ጉታ ዱጉማ /አቶ/</t>
  </si>
  <si>
    <t>1950</t>
  </si>
  <si>
    <t>0921-222407</t>
  </si>
  <si>
    <t>yordi.lassooy@gmail.com</t>
  </si>
  <si>
    <t>1951</t>
  </si>
  <si>
    <t>Amanuel Hailu Tekleyes /Ato/</t>
  </si>
  <si>
    <t>አማኑኤል ሀይሉ ተክለየስ /አቶ/</t>
  </si>
  <si>
    <t>0941-035553</t>
  </si>
  <si>
    <t>1952</t>
  </si>
  <si>
    <t>Amanuel Hailu Teklu /Ato/</t>
  </si>
  <si>
    <t>አማኑኤል ሀይሉ ተክሉ /አቶ/</t>
  </si>
  <si>
    <t>0913-989187</t>
  </si>
  <si>
    <t>1953</t>
  </si>
  <si>
    <t>Amanuel Hailu TeklYes /Ato/</t>
  </si>
  <si>
    <t>0937-910951</t>
  </si>
  <si>
    <t>1954</t>
  </si>
  <si>
    <t>Amanuel Kacha Chegeto /Ato/</t>
  </si>
  <si>
    <t>አማኑኤል ካቻ ጨጊቶ /አቶ/</t>
  </si>
  <si>
    <t>0911-696281</t>
  </si>
  <si>
    <t>1955</t>
  </si>
  <si>
    <t>Amanuel Mathewos Labena /Ato/</t>
  </si>
  <si>
    <t>አማኑኤል ማቲያስ ላቤና /አቶ/</t>
  </si>
  <si>
    <t>1956</t>
  </si>
  <si>
    <t>Amanuel Melese Tesema /Ato/</t>
  </si>
  <si>
    <t>አማኑኤል መለሰ ተሰማ /አቶ/</t>
  </si>
  <si>
    <t>0935-088015</t>
  </si>
  <si>
    <t>betegebriel@gmail.com</t>
  </si>
  <si>
    <t>1957</t>
  </si>
  <si>
    <t>Amanuel Melke Worku /Ato/</t>
  </si>
  <si>
    <t>አማኑኤል  መልከ ወርቁ /አቶ/</t>
  </si>
  <si>
    <t>1958</t>
  </si>
  <si>
    <t>Amanuel Million Bekele /Ato/</t>
  </si>
  <si>
    <t>አማኑኤል ሚሊዬን በቀለ /አቶ/</t>
  </si>
  <si>
    <t>1959</t>
  </si>
  <si>
    <t>Amanuel Moko G/silase /Ato/</t>
  </si>
  <si>
    <t>አማኑኤል ሞኮ ገ/ስላሴ /አቶ/</t>
  </si>
  <si>
    <t>0940-949620</t>
  </si>
  <si>
    <t>1960</t>
  </si>
  <si>
    <t>Amanuel Msele Bekele /Ato/</t>
  </si>
  <si>
    <t>አማኑኤል መሰለ በቀለ /አቶ/</t>
  </si>
  <si>
    <t>1961</t>
  </si>
  <si>
    <t>Amanuel Nega Mekonnen /Ato/</t>
  </si>
  <si>
    <t>አማኑኤል ነጋ መኮንን /አቶ/</t>
  </si>
  <si>
    <t>1962</t>
  </si>
  <si>
    <t>Amanuel Otoro /Ato/</t>
  </si>
  <si>
    <t>አማኑኤል ኦቶሮ /አቶ/</t>
  </si>
  <si>
    <t>0939-594067</t>
  </si>
  <si>
    <t>1963</t>
  </si>
  <si>
    <t>Amanuel Seife Tadesse /Ato/</t>
  </si>
  <si>
    <t>አማኑኤል ሰይፈ ታደሰ /አቶ/</t>
  </si>
  <si>
    <t>0917-550352
0913-240724</t>
  </si>
  <si>
    <t>seifeamanuel@gmail.com</t>
  </si>
  <si>
    <t>1964</t>
  </si>
  <si>
    <t>Amanuel Seyoum Bezuneh /Ato/</t>
  </si>
  <si>
    <t>አማኑኤል ስዩም ብዙነህ /አቶ/</t>
  </si>
  <si>
    <t>0945-432497</t>
  </si>
  <si>
    <t>1965</t>
  </si>
  <si>
    <t>Amanuel Shawel Assefa /Ato/</t>
  </si>
  <si>
    <t>አማኑኤል ሻዉል አሰፋ /አቶ/</t>
  </si>
  <si>
    <t>1966</t>
  </si>
  <si>
    <t>Amanuel Shiferaw Gule /Ato/</t>
  </si>
  <si>
    <t>አማኑኤል ሽፈራዉ ጉሌ /አቶ/</t>
  </si>
  <si>
    <t>0910-318895</t>
  </si>
  <si>
    <t>1967</t>
  </si>
  <si>
    <t>Amanuel Sileshi W/Semayat /Ato/</t>
  </si>
  <si>
    <t>አማኑኤል ስለሺ ወ/ሰማያት /አቶ/</t>
  </si>
  <si>
    <t>0913-281695</t>
  </si>
  <si>
    <t>1968</t>
  </si>
  <si>
    <t>1969</t>
  </si>
  <si>
    <t>Amanuel Solomon Bayu /Ato/</t>
  </si>
  <si>
    <t>አማኑኤል ሰለሞን ባዩ /አቶ/</t>
  </si>
  <si>
    <t>09663-382835</t>
  </si>
  <si>
    <t>1970</t>
  </si>
  <si>
    <t>Amanuel Tassew Andargie /Ato/</t>
  </si>
  <si>
    <t>አማኑኤል ጣሰው አንዳርጌ /አቶ/</t>
  </si>
  <si>
    <t>0911-953462</t>
  </si>
  <si>
    <t>1971</t>
  </si>
  <si>
    <t>Amanuel Tesfaye Bayu /Ato/</t>
  </si>
  <si>
    <t>አማኑኤል ተስፋዬ ባዩ /አቶ/</t>
  </si>
  <si>
    <t>0913-703356</t>
  </si>
  <si>
    <t>seaviewafh@yahoo.com</t>
  </si>
  <si>
    <t>1972</t>
  </si>
  <si>
    <t>Amanuel Tesfaye Teshome /Ato/</t>
  </si>
  <si>
    <t>አማኑኤል ተስፋዬ ተሾመ /አቶ/</t>
  </si>
  <si>
    <t>1973</t>
  </si>
  <si>
    <t>Amanuel Tigneh Tilahun /Ato/</t>
  </si>
  <si>
    <t>አማኑኤል ፅግነህ ጥላሁን /አቶ/</t>
  </si>
  <si>
    <t>1974</t>
  </si>
  <si>
    <t>1975</t>
  </si>
  <si>
    <t>Amanuel Yemane /Ato/</t>
  </si>
  <si>
    <t>አማኑኤል የማነ /አቶ/</t>
  </si>
  <si>
    <t>0911-032306</t>
  </si>
  <si>
    <t>1976</t>
  </si>
  <si>
    <t>Amanuel Zeleke Zase /Ato/</t>
  </si>
  <si>
    <t>አማኑኤል ዘለቀ ዛሴ /አቶ/</t>
  </si>
  <si>
    <t>0931-321911</t>
  </si>
  <si>
    <t>1977</t>
  </si>
  <si>
    <t>Amare Abe Tariku /Ato/</t>
  </si>
  <si>
    <t>አማረ አቤ ታሪኩ /አቶ/</t>
  </si>
  <si>
    <t>1978</t>
  </si>
  <si>
    <t>Amare Abebe  (Ato)</t>
  </si>
  <si>
    <t>አማረ አበበ /አቶ/</t>
  </si>
  <si>
    <t>1979</t>
  </si>
  <si>
    <t>Amare Abera /Ato/</t>
  </si>
  <si>
    <t>አማረ አበራ /አቶ/</t>
  </si>
  <si>
    <t>1980</t>
  </si>
  <si>
    <t>Amare Aduga Tagilo /Ato/</t>
  </si>
  <si>
    <t>አማረ አዱኛ ታግሎ /አቶ/</t>
  </si>
  <si>
    <t>1981</t>
  </si>
  <si>
    <t>Amare Alemayehu Workneh /Ato/</t>
  </si>
  <si>
    <t>አማረ አለማየሁ ወርቅነህ /አቶ/</t>
  </si>
  <si>
    <t>0974-497123</t>
  </si>
  <si>
    <t>1982</t>
  </si>
  <si>
    <t>Amare Anbaw Mekonnen /Ato/</t>
  </si>
  <si>
    <t>አማረ አምባው መኮንን /አቶ/</t>
  </si>
  <si>
    <t>1983</t>
  </si>
  <si>
    <t>Amare Andsew Aliya /Ato/</t>
  </si>
  <si>
    <t>አማረ አንድሰው አሊያ /አቶ/</t>
  </si>
  <si>
    <t>1984</t>
  </si>
  <si>
    <t>Amare Andualem Teshome /Ato/</t>
  </si>
  <si>
    <t>አማረ አንዷለም ተሾመ /አቶ/</t>
  </si>
  <si>
    <t>1985</t>
  </si>
  <si>
    <t>Amare Asefaw Dessi /Ato/</t>
  </si>
  <si>
    <t>አማረ አሰፋዉ ደሴ /አቶ/</t>
  </si>
  <si>
    <t>1986</t>
  </si>
  <si>
    <t>Amare Astatike /Ato/</t>
  </si>
  <si>
    <t>አማረ አሰታጥቅ /አቶ/</t>
  </si>
  <si>
    <t>0947-016924</t>
  </si>
  <si>
    <t>1987</t>
  </si>
  <si>
    <t>Amare Baye /Ato/</t>
  </si>
  <si>
    <t>አማረ ባየ /አቶ/</t>
  </si>
  <si>
    <t>1988</t>
  </si>
  <si>
    <t xml:space="preserve">Amare Belay Chekol /Ato/ </t>
  </si>
  <si>
    <t>አማረ በላይ ቸኮለ /አቶ/</t>
  </si>
  <si>
    <t>1989</t>
  </si>
  <si>
    <t>Amare Belay Getahun  /Ato/</t>
  </si>
  <si>
    <t>አማረ በላይ ጌታሁን /አቶ/</t>
  </si>
  <si>
    <t>1990</t>
  </si>
  <si>
    <t>Amare Belay Wale  /Ato/</t>
  </si>
  <si>
    <t>አማረ በላይ ዋለ /አቶ/</t>
  </si>
  <si>
    <t>1991</t>
  </si>
  <si>
    <t>Amare Chane Kebede /Ato/</t>
  </si>
  <si>
    <t>አማረ ጫኔ ከበደ /አቶ/</t>
  </si>
  <si>
    <t>0985-799218</t>
  </si>
  <si>
    <t>1992</t>
  </si>
  <si>
    <t>Amare Delle Kassa /Ato/</t>
  </si>
  <si>
    <t>አማረ ደሌ ካሳ /አቶ/</t>
  </si>
  <si>
    <t>0918-006209</t>
  </si>
  <si>
    <t>1993</t>
  </si>
  <si>
    <t>Amare Ferede Belete /Ato/</t>
  </si>
  <si>
    <t>አማረ ፈረደ በለጠ /አቶ/</t>
  </si>
  <si>
    <t>1994</t>
  </si>
  <si>
    <t>Amare Gashaw Debesu /Ato/</t>
  </si>
  <si>
    <t>አማረ ጋሸው ደበሱ /አቶ/</t>
  </si>
  <si>
    <t>1995</t>
  </si>
  <si>
    <t>Amare Gebireamilak Eshetie /Ato/</t>
  </si>
  <si>
    <t>አማረ ገ/አምላክ እሸቴ /አቶ/</t>
  </si>
  <si>
    <t>0902-113025</t>
  </si>
  <si>
    <t>1996</t>
  </si>
  <si>
    <t>Amare Getnet Misker /Ato/</t>
  </si>
  <si>
    <t>አማረ ጌትነት ምስከር /አቶ/</t>
  </si>
  <si>
    <t>1997</t>
  </si>
  <si>
    <t>Amare Girmay Tesfamichael  /Ato/ And/or Kidist Tefera Ameda /W/o/</t>
  </si>
  <si>
    <t>አማረ ግርማይ ተ/ሚካኤል /አቶ/  እና/ወይም ቅድስት ተፈራ አመዴ /ወ/ሮ/</t>
  </si>
  <si>
    <t>0962-169719/
0911-032609</t>
  </si>
  <si>
    <t>jraheltarekegne@gmail.com</t>
  </si>
  <si>
    <t>1998</t>
  </si>
  <si>
    <t>Amare Kase Kebede /Ato/</t>
  </si>
  <si>
    <t>አማረ ካሴ ከበደ /አቶ/</t>
  </si>
  <si>
    <t>0925-743032</t>
  </si>
  <si>
    <t>1999</t>
  </si>
  <si>
    <t>Amare Kassie Alemu /Ato/</t>
  </si>
  <si>
    <t>አማረ ካሴ አለሙ /አቶ/</t>
  </si>
  <si>
    <t>2000</t>
  </si>
  <si>
    <t>Amare Mastewal Mengist /Ato/</t>
  </si>
  <si>
    <t>አማረ ማስተዋል መንግስቴ /አቶ/</t>
  </si>
  <si>
    <t>0903-896952</t>
  </si>
  <si>
    <t>2001</t>
  </si>
  <si>
    <t>Amare Mekere Chekol /Ato/</t>
  </si>
  <si>
    <t>አማረ መከረ ቸኮል /አቶ/</t>
  </si>
  <si>
    <t>2002</t>
  </si>
  <si>
    <t>Amare Melak Belayeneh /Ato/</t>
  </si>
  <si>
    <t>አማረ መላክ በላይነህ /አቶ/</t>
  </si>
  <si>
    <t>2003</t>
  </si>
  <si>
    <t>Amare Menigist  Melku /Ato/</t>
  </si>
  <si>
    <t>አማረ መንግሰት መለኩ /አቶ/</t>
  </si>
  <si>
    <t>2004</t>
  </si>
  <si>
    <t>Amare Mesfin Zena /Ato/</t>
  </si>
  <si>
    <t>አማረ መስፍን ዜና /አቶ/</t>
  </si>
  <si>
    <t>61734962226
61434393472</t>
  </si>
  <si>
    <t>2005</t>
  </si>
  <si>
    <t>Amare Moloa Yihune /Ato/</t>
  </si>
  <si>
    <t>አማረ ሞሎአ ይሁኔ /አቶ/</t>
  </si>
  <si>
    <t>2006</t>
  </si>
  <si>
    <t>Amare Nega Terefe /Ato/</t>
  </si>
  <si>
    <t>አማረ ነጋ ተረፈ /አቶ/</t>
  </si>
  <si>
    <t>2007</t>
  </si>
  <si>
    <t>Amare Nigusie Lakew /Ato/</t>
  </si>
  <si>
    <t>አማረ ንጉሴ ላቀው /አቶ/</t>
  </si>
  <si>
    <t>0921-101969</t>
  </si>
  <si>
    <t>2008</t>
  </si>
  <si>
    <t>Amare Sunta Sumamo /Ato/</t>
  </si>
  <si>
    <t>አማረ ሱንታ ሱማሞ /አቶ/</t>
  </si>
  <si>
    <t xml:space="preserve">debub </t>
  </si>
  <si>
    <t>2009</t>
  </si>
  <si>
    <t>Amare Tadese Adane /Ato/</t>
  </si>
  <si>
    <t>አማረ ታደሰ አዳነ /አቶ/</t>
  </si>
  <si>
    <t>2010</t>
  </si>
  <si>
    <t>Amare Tamalew Tefere /Ato/</t>
  </si>
  <si>
    <t>አማረ ታማኝ ተፈረ /አቶ/</t>
  </si>
  <si>
    <t>2011</t>
  </si>
  <si>
    <t>Amare Tenkolu Jafar /Ato/</t>
  </si>
  <si>
    <t>አማረ ተንኮሉ ጁረሴዲን /አቶ/</t>
  </si>
  <si>
    <t>2012</t>
  </si>
  <si>
    <t>Amare Teshome H/Mariam /Ato/</t>
  </si>
  <si>
    <t>አማረ ተሾመ ሃ/ማርያም</t>
  </si>
  <si>
    <t>0923-286053</t>
  </si>
  <si>
    <t>2013</t>
  </si>
  <si>
    <t>Amare Timotiwos Buru /Ato/</t>
  </si>
  <si>
    <t>አማረ ጢሞቲዎስ ቡሩ /አቶ/</t>
  </si>
  <si>
    <t>2014</t>
  </si>
  <si>
    <t>Amare Tuytala /Ato/</t>
  </si>
  <si>
    <t>አማሬ ቱይታላ /አቶ/</t>
  </si>
  <si>
    <t>2015</t>
  </si>
  <si>
    <t>Amare Wale Ayalew /Ato/</t>
  </si>
  <si>
    <t>አማረ ዋለ አያሌዉ /አቶ/</t>
  </si>
  <si>
    <t>2016</t>
  </si>
  <si>
    <t>Amare Wedie Teka /Ato/</t>
  </si>
  <si>
    <t>አማረ ውዴ ተካ /አቶ/</t>
  </si>
  <si>
    <t>2017</t>
  </si>
  <si>
    <t>Amare Werkie Yebletal /Ato/</t>
  </si>
  <si>
    <t>አማረ ወርቂ ይበታል /አቶ/</t>
  </si>
  <si>
    <t>2018</t>
  </si>
  <si>
    <t>Amare Wolela Workeneh /Ato/</t>
  </si>
  <si>
    <t>አማረ ወለላ ወርቅነህ /አቶ/</t>
  </si>
  <si>
    <t>2019</t>
  </si>
  <si>
    <t>Amare Wube Admase /Ato/</t>
  </si>
  <si>
    <t>አማረ ውቤ አድማሴ /አቶ/</t>
  </si>
  <si>
    <t>2020</t>
  </si>
  <si>
    <t>Amare Yonas Gireso /Ato/</t>
  </si>
  <si>
    <t>አማረ ዮናስ ጊሬሶ /አቶ/</t>
  </si>
  <si>
    <t>2021</t>
  </si>
  <si>
    <t>Amare Zeru Adan /Ato/</t>
  </si>
  <si>
    <t>አማረ ዘሩ አዳነ /አቶ/</t>
  </si>
  <si>
    <t>2022</t>
  </si>
  <si>
    <t>Amarech Abba Ayeka/Ato/</t>
  </si>
  <si>
    <t>አማረች አባ አይካ /አቶ/</t>
  </si>
  <si>
    <t>2023</t>
  </si>
  <si>
    <t>Amarech Abu Adinew /W/O/</t>
  </si>
  <si>
    <t>አማረች አቡ አድነው /ወ/ሮ/</t>
  </si>
  <si>
    <t>0960-833738</t>
  </si>
  <si>
    <t>2024</t>
  </si>
  <si>
    <t>Amarech Addisu /W/O/</t>
  </si>
  <si>
    <t>አማረች አድስ /ወ/ሮ/</t>
  </si>
  <si>
    <t>2025</t>
  </si>
  <si>
    <t>Amarech Damota Dara /W/o/</t>
  </si>
  <si>
    <t>አማረች ዳሞታ ዳራ /ወ/ኦ/</t>
  </si>
  <si>
    <t>2026</t>
  </si>
  <si>
    <t>Amarech Dasa /W/O/</t>
  </si>
  <si>
    <t>አማረች ዳሳ /ወ/ሮ/</t>
  </si>
  <si>
    <t>2027</t>
  </si>
  <si>
    <t>Amarech Fenicha Siyum /W/o/ and/or Yitagesu Tesfa Desta /Ato/</t>
  </si>
  <si>
    <t>አማረች ፈኒቻ ስዩም /ወ/ሮ/ እና/ወይም ይታገሱ ተስፋ ደስታ /አቶ/</t>
  </si>
  <si>
    <t>2028</t>
  </si>
  <si>
    <t xml:space="preserve">Amarech Joba Bebulo /W/o/ </t>
  </si>
  <si>
    <t>አማረች ጆባ በቡሎ /ወ/ሮ/</t>
  </si>
  <si>
    <t>0915-691970</t>
  </si>
  <si>
    <t>2029</t>
  </si>
  <si>
    <t>Amarech Kebede Mered /W/o/</t>
  </si>
  <si>
    <t>አማረች ከበደ መርድ /ወ/ሮ/</t>
  </si>
  <si>
    <t>0911-949065</t>
  </si>
  <si>
    <t>2030</t>
  </si>
  <si>
    <t>Amarech Lemma /Ato/</t>
  </si>
  <si>
    <t>አማርች  ለማ /አቶ/</t>
  </si>
  <si>
    <t>2031</t>
  </si>
  <si>
    <t>Amarech Tadele /Ato/</t>
  </si>
  <si>
    <t>አማረች ታደለ /አቶ/</t>
  </si>
  <si>
    <t>2032</t>
  </si>
  <si>
    <t>Amarech Tadele G/Michael</t>
  </si>
  <si>
    <t>አማረች ታደለ ገ/ሚካኤል /ወ/ሮ/</t>
  </si>
  <si>
    <t>0911-783006</t>
  </si>
  <si>
    <t>2033</t>
  </si>
  <si>
    <t>Amarech Tadele G/michael  /W/O/</t>
  </si>
  <si>
    <t>shey27@yahoo.com</t>
  </si>
  <si>
    <t>2034</t>
  </si>
  <si>
    <t>Amarech Wagesho Wabalo /W/o/</t>
  </si>
  <si>
    <t>አማረች ዋጌሾ ዋባሎ /ወ/ኦ/</t>
  </si>
  <si>
    <t>2035</t>
  </si>
  <si>
    <t>Amareche Birega Blso /Ato/</t>
  </si>
  <si>
    <t>አማረች ቢረጋ ቢልሶ /አቶ/</t>
  </si>
  <si>
    <t>2036</t>
  </si>
  <si>
    <t>Amaru Amanuel /Ato/</t>
  </si>
  <si>
    <t>አማሩ አማኑኤል /አቶ/</t>
  </si>
  <si>
    <t>0935-496676</t>
  </si>
  <si>
    <t>2037</t>
  </si>
  <si>
    <t>Amaru Baza Bate /Ato/</t>
  </si>
  <si>
    <t>አማሩ ባዛ ባቴ /አቶ/</t>
  </si>
  <si>
    <t>2038</t>
  </si>
  <si>
    <t>Amaru Tadesse (Ato)</t>
  </si>
  <si>
    <t>አማሩ ታደሰ  (አቶ)</t>
  </si>
  <si>
    <t>0916-470843</t>
  </si>
  <si>
    <t>2039</t>
  </si>
  <si>
    <t>Amashe Olonje  Onechie /Ato/</t>
  </si>
  <si>
    <t>አምሼ ኦሎንጀ ኦንቼ /አቶ/</t>
  </si>
  <si>
    <t>2040</t>
  </si>
  <si>
    <t>Amate Aka Waka /Ato/</t>
  </si>
  <si>
    <t>አማቴ አቃ ዋካ /አቶ/</t>
  </si>
  <si>
    <t>2041</t>
  </si>
  <si>
    <t>Ambachew Admas /Ato/</t>
  </si>
  <si>
    <t>አንባቸው አድማስ /አቶ/</t>
  </si>
  <si>
    <t>2042</t>
  </si>
  <si>
    <t>Ambachew Amare Aligaz /Ato/</t>
  </si>
  <si>
    <t>አምባቸው አማረ አሊጋዝ /አቶ/</t>
  </si>
  <si>
    <t>0948494849
0911085024</t>
  </si>
  <si>
    <t>ambachew.Amare@yahoo.com</t>
  </si>
  <si>
    <t>2043</t>
  </si>
  <si>
    <t>Ambachew Atnafu Akele /Ato/</t>
  </si>
  <si>
    <t>አምባቸው አጥናፉ አከለ /አቶ/</t>
  </si>
  <si>
    <t>0912-151071</t>
  </si>
  <si>
    <t>2044</t>
  </si>
  <si>
    <t>Ambari A/biya /W/o/</t>
  </si>
  <si>
    <t>አምባሪ አ/ቢያ /ወ/ኦ/</t>
  </si>
  <si>
    <t>2045</t>
  </si>
  <si>
    <t>Ambaw Andargie Ejigu /Ato/</t>
  </si>
  <si>
    <t>አምባዉ አንዳርጌ እጅጉ /አቶ/</t>
  </si>
  <si>
    <t>2046</t>
  </si>
  <si>
    <t>Ambele beyabl Buzuneh  /Ato/</t>
  </si>
  <si>
    <t xml:space="preserve"> አምበሌ በያብል ብዙነህ /አቶ/</t>
  </si>
  <si>
    <t>2047</t>
  </si>
  <si>
    <t>Ambelu Chere Akalu /Ato/</t>
  </si>
  <si>
    <t>አምበሉ ቸሬ አካሉ /አቶ/</t>
  </si>
  <si>
    <t>0924-580797</t>
  </si>
  <si>
    <t>2048</t>
  </si>
  <si>
    <t>Amberbir Admasse Getahun /Ato/</t>
  </si>
  <si>
    <t>አምበርብር አድማሴ ጌታሁን /አቶ/</t>
  </si>
  <si>
    <t>0934-656530</t>
  </si>
  <si>
    <t>2049</t>
  </si>
  <si>
    <t>Amdemichael Asrat Metaferia /Ato/</t>
  </si>
  <si>
    <t>አምደሚካኤል አስራት መታፈሪያ /አቶ/</t>
  </si>
  <si>
    <t>0911-760096</t>
  </si>
  <si>
    <t>2050</t>
  </si>
  <si>
    <t>Ameba Haho /Ato/</t>
  </si>
  <si>
    <t xml:space="preserve">አምባ ሃሆ /አቶ/ </t>
  </si>
  <si>
    <t>2051</t>
  </si>
  <si>
    <t>Amegesh Derso Tasew /W/o/</t>
  </si>
  <si>
    <t>አምኜሽ ደርሶ ጣሰዉ /ወ/ሮ/</t>
  </si>
  <si>
    <t>0935-017304</t>
  </si>
  <si>
    <t>2052</t>
  </si>
  <si>
    <t>Ameha G/meskel W/yohanes /Ato/</t>
  </si>
  <si>
    <t>አመሃ ገ/መስቀል ወ/ዮሀንስ /አቶ/</t>
  </si>
  <si>
    <t>0970-005018</t>
  </si>
  <si>
    <t>2053</t>
  </si>
  <si>
    <t>Ameha Nigussie Ayele /Ato/</t>
  </si>
  <si>
    <t>አምሀ ንጉሴ አየለ /አቶ/</t>
  </si>
  <si>
    <t>2054</t>
  </si>
  <si>
    <t>Ameha Terefe Zerihun /Ato/</t>
  </si>
  <si>
    <t>አምሀ ተረፈ ዘሪሁን /አቶ/</t>
  </si>
  <si>
    <t>0911-600818</t>
  </si>
  <si>
    <t>2055</t>
  </si>
  <si>
    <t>Ameha Wolde Weldesenbet /Ato/</t>
  </si>
  <si>
    <t>አመሃ ወልዴ ወ/ሰንበት /አቶ/</t>
  </si>
  <si>
    <t>0985-672371</t>
  </si>
  <si>
    <t>2056</t>
  </si>
  <si>
    <t>Amele Abegna Tefera /Ato/</t>
  </si>
  <si>
    <t>አመለ አበኛ ተፈራ /አቶ/</t>
  </si>
  <si>
    <t>2057</t>
  </si>
  <si>
    <t>Amelework Amenu Lencha /W/o/</t>
  </si>
  <si>
    <t>አመለወርቅ አመኑ ሌንጫ /ወ/ሮ/</t>
  </si>
  <si>
    <t>0911-980236</t>
  </si>
  <si>
    <t>2058</t>
  </si>
  <si>
    <t>Amelework Atnafu Mengiste /W/0</t>
  </si>
  <si>
    <t>አመለወርቅ አጥናፉ መንግስቴ /ወ/ሮ/</t>
  </si>
  <si>
    <t>0911-701256</t>
  </si>
  <si>
    <t>ameleworka@blackeconomyexcellence.com</t>
  </si>
  <si>
    <t>2059</t>
  </si>
  <si>
    <t>Amelework Dessie Doyo /W/o/</t>
  </si>
  <si>
    <t>አመለወርቅ ደሴ ዶዮ /ወ/ሮ/</t>
  </si>
  <si>
    <t>2060</t>
  </si>
  <si>
    <t>Amelework Dessta Balcha /W/o/</t>
  </si>
  <si>
    <t>አመለወረወቅ ድስታ ባልቻ /ወ/ሮ/</t>
  </si>
  <si>
    <t>2061</t>
  </si>
  <si>
    <t>2062</t>
  </si>
  <si>
    <t>Amelework Eshetu Gebre /W/</t>
  </si>
  <si>
    <t>አመለወርቅ እሸቱ ገብሬ /ወ/</t>
  </si>
  <si>
    <t>0911-449165</t>
  </si>
  <si>
    <t>2063</t>
  </si>
  <si>
    <t>Amelework Fekadu Bereda /W/o/</t>
  </si>
  <si>
    <t>አመለወርቅ ፍቃዱ በረዳ /ወ/ሮ/</t>
  </si>
  <si>
    <t>0930-620163</t>
  </si>
  <si>
    <t>2064</t>
  </si>
  <si>
    <t>Amelework Feleke /Ato/</t>
  </si>
  <si>
    <t>አመለወርቅ ፈለቀ /አቶ/</t>
  </si>
  <si>
    <t>2065</t>
  </si>
  <si>
    <t>2066</t>
  </si>
  <si>
    <t>Amelework Negussie /W/o/ For Etsub Arega /Minor/</t>
  </si>
  <si>
    <t>አመለወርቅ ንጉሴ /ወ/ሮ/ ለእፁብ አረጋ /ህፃን/</t>
  </si>
  <si>
    <t>0922-142643</t>
  </si>
  <si>
    <t>2067</t>
  </si>
  <si>
    <t>Amelework Tadesse Abiyou  /W/o/</t>
  </si>
  <si>
    <t>አመለወርቅ ታደሰ አቢዮ /ወ/ሮ/</t>
  </si>
  <si>
    <t>0947-055128</t>
  </si>
  <si>
    <t>ahmedkassa@gmail.com</t>
  </si>
  <si>
    <t>2068</t>
  </si>
  <si>
    <t>Amelework Tesfaye Mekonnen /W/o/ and/or Meaza Tesfaye Mekonnen  /W/o/</t>
  </si>
  <si>
    <t xml:space="preserve">አመለወርቅ ተስፋዬ መኮንን /ወ/ሮ/  እና/ወይም መአዛ ተስፋዬ መኮንን /ወ/ሮ/ </t>
  </si>
  <si>
    <t>0975-507778/
0944-260020</t>
  </si>
  <si>
    <t>2069</t>
  </si>
  <si>
    <t>Amelia Abera Molla /W/o/</t>
  </si>
  <si>
    <t>አሜሊያ አበራ ሞላ /አቶ/</t>
  </si>
  <si>
    <t>2070</t>
  </si>
  <si>
    <t>Amelmal Aze Aleme /W/o/</t>
  </si>
  <si>
    <t>አመልማል አዜ አለሜ /ወ/ሮ/</t>
  </si>
  <si>
    <t>2071</t>
  </si>
  <si>
    <t>Amen Alemayehu</t>
  </si>
  <si>
    <t xml:space="preserve">አሜን አለማየሁ </t>
  </si>
  <si>
    <t>301-5370629</t>
  </si>
  <si>
    <t>nevay1972@gmail.com</t>
  </si>
  <si>
    <t>2072</t>
  </si>
  <si>
    <t>Amen Tesfaye Leulekal /Ato/</t>
  </si>
  <si>
    <t>አሜን ተስፋዬ ልዑል /አቶ/</t>
  </si>
  <si>
    <t>0915-733768</t>
  </si>
  <si>
    <t xml:space="preserve">Dirdawa </t>
  </si>
  <si>
    <t>2073</t>
  </si>
  <si>
    <t>Amenech Abebe Gita /W/o/</t>
  </si>
  <si>
    <t>አመነች አበበ ዲታ /ወ/ሮ/</t>
  </si>
  <si>
    <t>2074</t>
  </si>
  <si>
    <t>Amera Ademas Wedie /Ato/</t>
  </si>
  <si>
    <t>አማረ አድማስ ወዴ  /አቶ/</t>
  </si>
  <si>
    <t>2075</t>
  </si>
  <si>
    <t>Amera Guadie Weletaw /Ato/</t>
  </si>
  <si>
    <t>አመራ ጓዴ ውለታው /አቶ/</t>
  </si>
  <si>
    <t>2076</t>
  </si>
  <si>
    <t>Amerti Lemma Arity /W/o/</t>
  </si>
  <si>
    <t>አመርቲ ለማ አርቲ /ወ/ሮ/</t>
  </si>
  <si>
    <t>0911-361413</t>
  </si>
  <si>
    <t>2077</t>
  </si>
  <si>
    <t>Amezenech Lishanu /W/o/ for
 Emanda Alemayehu /Mionr/</t>
  </si>
  <si>
    <t>አመዘነች ልሻኑ  /ወ/ሮ/ ለአማንዳ አለማየሁ /ህፃን/</t>
  </si>
  <si>
    <t>2078</t>
  </si>
  <si>
    <t>Amezenech Lishanu Adimasu /W/o/</t>
  </si>
  <si>
    <t>አመዘነች ሊሻ አድማሱ /ወ/ሮ/</t>
  </si>
  <si>
    <t>2079</t>
  </si>
  <si>
    <t>Amezenech Lishanu Admasu /Ato/ And/or Samira Alemayehu /W/o/</t>
  </si>
  <si>
    <t>አመዘነች ልሻኑ አድማሱ /ወ/ሮ/ እና/ወይም ሳምራ አለማየሁ /ወ/ሮ/</t>
  </si>
  <si>
    <t>2080</t>
  </si>
  <si>
    <t>Amha Belay /Ato/</t>
  </si>
  <si>
    <t>አምሃ በላይ /አቶ/</t>
  </si>
  <si>
    <t>0911-883301</t>
  </si>
  <si>
    <t>amhabelay@gmail.com</t>
  </si>
  <si>
    <t>2081</t>
  </si>
  <si>
    <t>Amhare Amalo Birega (Ato)</t>
  </si>
  <si>
    <t>አማሬ አማሎ ብሬጋ /አቶ/</t>
  </si>
  <si>
    <t>2082</t>
  </si>
  <si>
    <t>2083</t>
  </si>
  <si>
    <t>Ami Bekele /W/o/</t>
  </si>
  <si>
    <t>አሚ በቀለ /ወ/ሮ/</t>
  </si>
  <si>
    <t>0910-695662</t>
  </si>
  <si>
    <t>ami@dhaemer.ch</t>
  </si>
  <si>
    <t>2084</t>
  </si>
  <si>
    <t>Amibel Belete Melese /Ato/</t>
  </si>
  <si>
    <t>አምበል በለጠ መለሰ /አቶ/</t>
  </si>
  <si>
    <t>2085</t>
  </si>
  <si>
    <t>Amid A/bor A/bulgu/Ato/</t>
  </si>
  <si>
    <t>መሃል አ/ቦር /አቶ/</t>
  </si>
  <si>
    <t>0917-069620</t>
  </si>
  <si>
    <t>2086</t>
  </si>
  <si>
    <t>Amina Muhaba Emam /W/o/</t>
  </si>
  <si>
    <t>አሚና  ሙሃባ  ኢማም  /ወ/ሮ/</t>
  </si>
  <si>
    <t>2087</t>
  </si>
  <si>
    <t>Aminat Yimam Endris /W/o/</t>
  </si>
  <si>
    <t>አሚናት የማም እንድሪሰ</t>
  </si>
  <si>
    <t>2088</t>
  </si>
  <si>
    <t>Aminu Seid Ahmed /Ato/</t>
  </si>
  <si>
    <t>አሚኑ ሰይድ አህመድ /አቶ/</t>
  </si>
  <si>
    <t>2089</t>
  </si>
  <si>
    <t>Amir Ibrahim Sabir /Ato/</t>
  </si>
  <si>
    <t>አሚር ኢብራሂም ሳቢር /አቶ/</t>
  </si>
  <si>
    <t>2090</t>
  </si>
  <si>
    <t>2091</t>
  </si>
  <si>
    <t>Amir Sultan Debela /Ato/</t>
  </si>
  <si>
    <t>አሚር ሱልጣን ደበላ /አቶ/</t>
  </si>
  <si>
    <t>0917-264932</t>
  </si>
  <si>
    <t>2092</t>
  </si>
  <si>
    <t>Amir Y. Mulugeta /Ato/</t>
  </si>
  <si>
    <t>አሚር የ. ሙሉጌታ /አቶ/</t>
  </si>
  <si>
    <t>0913-094064</t>
  </si>
  <si>
    <t>amirbenji00@gmail.com</t>
  </si>
  <si>
    <t>2093</t>
  </si>
  <si>
    <t>2094</t>
  </si>
  <si>
    <t xml:space="preserve">Amiro Ero </t>
  </si>
  <si>
    <t>አሚሮ ኤሮ</t>
  </si>
  <si>
    <t>2095</t>
  </si>
  <si>
    <t>Amisalu Ayza Ado  /Ato/</t>
  </si>
  <si>
    <t>አምሳሉ አይዛ አዶ /አቶ/</t>
  </si>
  <si>
    <t>0916-552857</t>
  </si>
  <si>
    <t>2096</t>
  </si>
  <si>
    <t>Amisalu Guadu Tarekegn /Ato/</t>
  </si>
  <si>
    <t>አምሳሉ ጓዱ ታረቀኝ /አቶ/</t>
  </si>
  <si>
    <t>2097</t>
  </si>
  <si>
    <t>Amisalu Nega Fenta /Ato/</t>
  </si>
  <si>
    <t>አምሳሉ ነጋ ፍንታ /አቶ/</t>
  </si>
  <si>
    <t>2098</t>
  </si>
  <si>
    <t>Amlakhail Alemayehu Wolde /Ato/</t>
  </si>
  <si>
    <t>አምላክሀይል አለማየሁ ወልዴ /አቶ/</t>
  </si>
  <si>
    <t>0912-873611</t>
  </si>
  <si>
    <t>2099</t>
  </si>
  <si>
    <t>Amlaku Minda Kibret /Ato/</t>
  </si>
  <si>
    <t>አምላኩ ምንዳ ክብረት /አቶ/</t>
  </si>
  <si>
    <t>0912-373924/0988-471518</t>
  </si>
  <si>
    <t>BetelhemTegegne@gmail.com</t>
  </si>
  <si>
    <t>2100</t>
  </si>
  <si>
    <t>Amlaku Wanaw Tesfaw /Ato/</t>
  </si>
  <si>
    <t>አምላኩ ዋናው ተስፋው /አቶ/</t>
  </si>
  <si>
    <t>0943-064873</t>
  </si>
  <si>
    <t>amlakuwanaw@gmail.com</t>
  </si>
  <si>
    <t>2101</t>
  </si>
  <si>
    <t>Amogn Chale Mekonen /Ato/</t>
  </si>
  <si>
    <t>አሞኝ ቻሌ መኮንን /አቶ/</t>
  </si>
  <si>
    <t>2102</t>
  </si>
  <si>
    <t>Amogn Mekonnen Belay /Ato/</t>
  </si>
  <si>
    <t>አሞኝ መኮነን በላይ /አቶ/</t>
  </si>
  <si>
    <t>2103</t>
  </si>
  <si>
    <t>Amogn Melese Tarekegne /Ato/</t>
  </si>
  <si>
    <t>አሞኝ መለሰ ታረቀኝ /አቶ/</t>
  </si>
  <si>
    <t>2104</t>
  </si>
  <si>
    <t>Amogne Adimas /Ato/</t>
  </si>
  <si>
    <t>አሞኝ አዲማስ /አቶ/</t>
  </si>
  <si>
    <t>2105</t>
  </si>
  <si>
    <t>Amogne Alebachew Dametew /Ato/</t>
  </si>
  <si>
    <t>አሞኝ አለባቸው ዳምጠው /አቶ/</t>
  </si>
  <si>
    <t>2106</t>
  </si>
  <si>
    <t>Amogne Fered Dessie /Ato/</t>
  </si>
  <si>
    <t>አሞኝ ፈረደ ደሴ /አቶ/</t>
  </si>
  <si>
    <t>0924-386779</t>
  </si>
  <si>
    <t>2107</t>
  </si>
  <si>
    <t>Amogne Kidie Workneh /Ato/</t>
  </si>
  <si>
    <t>አሞኝ ክዴ ወርቅነህ /አቶ/</t>
  </si>
  <si>
    <t>0901-420499</t>
  </si>
  <si>
    <t>2108</t>
  </si>
  <si>
    <t>Amogne Yegrem Kasa(Ato)</t>
  </si>
  <si>
    <t>አሞኝ  ይግረም ካሳ  /አቶ/</t>
  </si>
  <si>
    <t>2109</t>
  </si>
  <si>
    <t>Amogne Yesigat Wasie /Ato</t>
  </si>
  <si>
    <t>አምኘ የስጋት ዋሴ  /አቶ/</t>
  </si>
  <si>
    <t>2110</t>
  </si>
  <si>
    <t>Amsal Biruk Nedesat /W/t/</t>
  </si>
  <si>
    <t>አምሣል ብሩክ ነደእሳት /ወ/ሪት/</t>
  </si>
  <si>
    <t>2111</t>
  </si>
  <si>
    <t>Amsale Eyob /W/o/ For Helen Mekete Gashaw /Minor/</t>
  </si>
  <si>
    <t>አምሳለ እየብ /ወ/ሮ/ ለሄለን መከተ ጋሻዉ /ህፃን/</t>
  </si>
  <si>
    <t>2112</t>
  </si>
  <si>
    <t>Amsale G/Kidan Medhane /W/o/</t>
  </si>
  <si>
    <t>አምሳለ ገ/ኪዳን መድሀኔ /ወ/ሮ/</t>
  </si>
  <si>
    <t>0911-401615</t>
  </si>
  <si>
    <t>2113</t>
  </si>
  <si>
    <t>Amsale Gizaw Habtewold /W/o/</t>
  </si>
  <si>
    <t>አምሳለ ግዛው ሀብተወልድ /ወ/ሮ/</t>
  </si>
  <si>
    <t>2114</t>
  </si>
  <si>
    <t>Amsale Moges G/Mariam /W/o/</t>
  </si>
  <si>
    <t>አምሳለ ሞገስ ገ/ማርያም /ወ/ሮ/</t>
  </si>
  <si>
    <t>0911-503496</t>
  </si>
  <si>
    <t>amygmariam@yahoo.com</t>
  </si>
  <si>
    <t>2115</t>
  </si>
  <si>
    <t>Amsale Tegegne Lakew /Ato/</t>
  </si>
  <si>
    <t>አምሳለ ተገኝ ላቀው /አቶ/</t>
  </si>
  <si>
    <t>2116</t>
  </si>
  <si>
    <t>Amsale Yigezu Zeleke  /W/o/</t>
  </si>
  <si>
    <t>አምሳል ይገዙ ዘለቀ /ወ/ሮ/</t>
  </si>
  <si>
    <t>1-480-529-6286</t>
  </si>
  <si>
    <t>2117</t>
  </si>
  <si>
    <t>Amsalech Samuel G/Medhin/W/o/ and/or Tirunesh Samuel G/Medhin /W/o/</t>
  </si>
  <si>
    <t>አምሳለች ሳሙኤል /ወ/ሮ/ እና/ወይም ጥሩነሽ ሳሙኤል /ወ/ሮ/</t>
  </si>
  <si>
    <t>2118</t>
  </si>
  <si>
    <t>Amsalu Abebe Koricho /Ato/</t>
  </si>
  <si>
    <t>አምሳሉ አበበ ኮሪቾ /አቶ/</t>
  </si>
  <si>
    <t>2119</t>
  </si>
  <si>
    <t>Amsalu Addis Wondifrw /Ato/</t>
  </si>
  <si>
    <t>አምሳሉ አዲሰ ወንዲፈራው /አቶ/</t>
  </si>
  <si>
    <t>0935-702392</t>
  </si>
  <si>
    <t>2120</t>
  </si>
  <si>
    <t>Amsalu Alemu /Ato/</t>
  </si>
  <si>
    <t>አምሳሉ አለሙ /አቶ/</t>
  </si>
  <si>
    <t>2121</t>
  </si>
  <si>
    <t>Amsalu Demem Akal (Ato)</t>
  </si>
  <si>
    <t>አምሳሉ ደመም አካል   /አቶ/</t>
  </si>
  <si>
    <t>2122</t>
  </si>
  <si>
    <t>Amsalu Kefale Birh /Kese/</t>
  </si>
  <si>
    <t>አምሳሉ ከፍለ ብርሃኔ /ቄስ/</t>
  </si>
  <si>
    <t>2123</t>
  </si>
  <si>
    <t>Amsalu Kelemwork Buzuayehu /ATO/</t>
  </si>
  <si>
    <t>አምሳሉ ቀለምወርቅ ቡዙአየሁ /አቶ/</t>
  </si>
  <si>
    <t>2124</t>
  </si>
  <si>
    <t>Amsalu Nega Damtie /Ato/</t>
  </si>
  <si>
    <t>አምሳሉ ነጋ ዳምጤ /አቶ/</t>
  </si>
  <si>
    <t>2125</t>
  </si>
  <si>
    <t>Amsalu Tadesse Desta /Ato/</t>
  </si>
  <si>
    <t>አምሳሉ ታደሰ ደስታ /አቶ/</t>
  </si>
  <si>
    <t>0909-644343</t>
  </si>
  <si>
    <t>cm.mueller@hotmail.com</t>
  </si>
  <si>
    <t>2126</t>
  </si>
  <si>
    <t>Amtie Chanie Dagnachew /Ato/</t>
  </si>
  <si>
    <t>አምጤ  ጫኔ ዳኛቸው /አቶ/</t>
  </si>
  <si>
    <t>2127</t>
  </si>
  <si>
    <t>Amza Jemal  Haji /Ato/</t>
  </si>
  <si>
    <t>አምዛ ጀማል ሀጂ /አቶ/</t>
  </si>
  <si>
    <t>2128</t>
  </si>
  <si>
    <t>Anania Mulugeta Debele /Ato/</t>
  </si>
  <si>
    <t>አናንያ ሙሉጌታ ደበሌ /አቶ/</t>
  </si>
  <si>
    <t>2129</t>
  </si>
  <si>
    <t>Ananiya Tamene Yimenu Dr.</t>
  </si>
  <si>
    <t>አናንያ ታመነ ይመኑ /ዶ/ር/</t>
  </si>
  <si>
    <t>2130</t>
  </si>
  <si>
    <t>Ananya Taye Teferi /Ato/</t>
  </si>
  <si>
    <t>አናንያ ታዬ ተፈሪ /አቶ/</t>
  </si>
  <si>
    <t>0912-801616</t>
  </si>
  <si>
    <t>2131</t>
  </si>
  <si>
    <t>Anbari A/Gojam A/Diko  /W/O/</t>
  </si>
  <si>
    <t>አንባሪ አ/ጎጃም አ/ዲኮ /ወ/ሮ/</t>
  </si>
  <si>
    <t>2132</t>
  </si>
  <si>
    <t>Anbaw Gebeyehu Desta /Ato/</t>
  </si>
  <si>
    <t>አንባው ገበየሁ ደስታ /አቶ/</t>
  </si>
  <si>
    <t>0920-288457</t>
  </si>
  <si>
    <t>2133</t>
  </si>
  <si>
    <t>Anbel Melkamu Giberu /Ato/</t>
  </si>
  <si>
    <t>አንበል መልካሙ ግብሩ /አቶ/</t>
  </si>
  <si>
    <t>2134</t>
  </si>
  <si>
    <t>Anbelu Gurumu Wendachew /Ato/</t>
  </si>
  <si>
    <t>አንበሉ ጉሩሙ ወንዳቸው /አቶ/</t>
  </si>
  <si>
    <t>2135</t>
  </si>
  <si>
    <t>Anberbir Nigusie Teshome /Ato/</t>
  </si>
  <si>
    <t>አንበርብር ንጉሴ ተሾመ /አቶ/</t>
  </si>
  <si>
    <t>0919-193152</t>
  </si>
  <si>
    <t>2136</t>
  </si>
  <si>
    <t>Anbese Amelo /Ato/</t>
  </si>
  <si>
    <t>አንበሴ አማሎ /አቶ/</t>
  </si>
  <si>
    <t>0941-278664</t>
  </si>
  <si>
    <t>2137</t>
  </si>
  <si>
    <t>Anbese Zenebe Habte</t>
  </si>
  <si>
    <t>አንበሳ ዘነበ ሀብቴ /አቶ/</t>
  </si>
  <si>
    <t>0921-491485</t>
  </si>
  <si>
    <t>2138</t>
  </si>
  <si>
    <t>Anbi Ashagirie /Ato/</t>
  </si>
  <si>
    <t>አንቢ አሻግሬ /አቶ/</t>
  </si>
  <si>
    <t>2139</t>
  </si>
  <si>
    <t>Anchensh Kebede Andarge /W/o</t>
  </si>
  <si>
    <t>አንቺነሽ ከበደ እንዳርጌ /ወ/ሮ/</t>
  </si>
  <si>
    <t>2140</t>
  </si>
  <si>
    <t>Anchile Abate /Ato/</t>
  </si>
  <si>
    <t>ቸንችሌ አባቴ /አቶ/</t>
  </si>
  <si>
    <t>2141</t>
  </si>
  <si>
    <t>Anchiye Mengistu Kebede /W/O/</t>
  </si>
  <si>
    <t>አንችየ መንግስቱ ከበደ /ወ/ሮ/</t>
  </si>
  <si>
    <t>2142</t>
  </si>
  <si>
    <t>Andalew Melaku Melie /Ato/</t>
  </si>
  <si>
    <t>እንዳለው መለኩ መሌ /አቶ/</t>
  </si>
  <si>
    <t>2143</t>
  </si>
  <si>
    <t>Andamlak Delil Zepriye /Ato/</t>
  </si>
  <si>
    <t>አንድአምላክ ደሊል ዘፕሪያ /አቶ/</t>
  </si>
  <si>
    <t>2144</t>
  </si>
  <si>
    <t>Andamlak Kasahun Yemane /Ato/</t>
  </si>
  <si>
    <t>አንድአምላክ ካሳሁን የማነ /አቶ/</t>
  </si>
  <si>
    <t>0937-132924</t>
  </si>
  <si>
    <t>2145</t>
  </si>
  <si>
    <t>Andamlak Timerga Argani /Ato/</t>
  </si>
  <si>
    <t>አንዳምላክ ቲመርጋ አርጋኒ /አቶ/</t>
  </si>
  <si>
    <t>2146</t>
  </si>
  <si>
    <t>Andareg Desie Temesgen /Ato/</t>
  </si>
  <si>
    <t>አንዳርግ ደሴ ተመስገን /አቶ/</t>
  </si>
  <si>
    <t>0947-049336</t>
  </si>
  <si>
    <t>2147</t>
  </si>
  <si>
    <t>Andarege Antene Areshe /Ato/</t>
  </si>
  <si>
    <t>አንዳርጌ አንተነ አረሼ /አቶ/</t>
  </si>
  <si>
    <t>2148</t>
  </si>
  <si>
    <t>Andarege Lakew Gelaneh /Kis/</t>
  </si>
  <si>
    <t>አንዳርጌ ላቀው ገላው /አቶ/</t>
  </si>
  <si>
    <t>2149</t>
  </si>
  <si>
    <t>Andarg Birku Desita /Ato/</t>
  </si>
  <si>
    <t>አንዳርግ ብርኩ ደስታ /አቶ/</t>
  </si>
  <si>
    <t>2150</t>
  </si>
  <si>
    <t>Andargachew Amisalu /Ato/</t>
  </si>
  <si>
    <t>አንዳርጋቸዉ አምሳሉ /አቶ/</t>
  </si>
  <si>
    <t>2151</t>
  </si>
  <si>
    <t>2152</t>
  </si>
  <si>
    <t>Andarge Belay /Ato/</t>
  </si>
  <si>
    <t>አንዳርጌ በላይ /አቶ/</t>
  </si>
  <si>
    <t>2153</t>
  </si>
  <si>
    <t>Andarge Gete /Ato/</t>
  </si>
  <si>
    <t>እንዳርግ ጀቴ /አቶ/</t>
  </si>
  <si>
    <t>2154</t>
  </si>
  <si>
    <t>Andarge Malede Worku /Ato/</t>
  </si>
  <si>
    <t>አንዳርግ ማለደ ወርቁ /አቶ/</t>
  </si>
  <si>
    <t>2155</t>
  </si>
  <si>
    <t>Andarge Teshom Abeyu/Ato/</t>
  </si>
  <si>
    <t>አንዳርጌ ተሾመ አቡዬ /አቶ/</t>
  </si>
  <si>
    <t>agniagza@gmail.com</t>
  </si>
  <si>
    <t>2156</t>
  </si>
  <si>
    <t>Andarge Tesifa Gate /Ato/</t>
  </si>
  <si>
    <t>አንዳርግ ተስፋ ጌቴ /አቶ/</t>
  </si>
  <si>
    <t>0962-872447</t>
  </si>
  <si>
    <t>2157</t>
  </si>
  <si>
    <t>Andarge Thshome Abeyu /Ato/</t>
  </si>
  <si>
    <t>2158</t>
  </si>
  <si>
    <t>Andargie Abebe Yalew /Ato/</t>
  </si>
  <si>
    <t>አንዳርጌ አበበ ያለው /አቶ/</t>
  </si>
  <si>
    <t>2159</t>
  </si>
  <si>
    <t>Andargie Bizuneh Debebe /Ato/</t>
  </si>
  <si>
    <t>አንዳርጌ ብዙነህ ደበበ /አቶ/</t>
  </si>
  <si>
    <t>0929-518715</t>
  </si>
  <si>
    <t>2160</t>
  </si>
  <si>
    <t>Andargie Kasie Tesfaye /Ato/</t>
  </si>
  <si>
    <t>አንደርጌ ካሴ ተስፋዬ /አቶ/</t>
  </si>
  <si>
    <t>2161</t>
  </si>
  <si>
    <t>Ande Chinasho Pako /Ato/</t>
  </si>
  <si>
    <t>አንዴ ጭናሾ ፓኮ /አቶ/</t>
  </si>
  <si>
    <t>0916-555784</t>
  </si>
  <si>
    <t>2162</t>
  </si>
  <si>
    <t>Andebet Aselef /Ato/</t>
  </si>
  <si>
    <t>አንደበት አሰልፍ /አቶ/</t>
  </si>
  <si>
    <t>2163</t>
  </si>
  <si>
    <t>Andebet Worku Endalew /Ato/</t>
  </si>
  <si>
    <t>አንደበት ወርቁ እንዳለው /አቶ/</t>
  </si>
  <si>
    <t>2164</t>
  </si>
  <si>
    <t>Andebo Ariya Sore/Ato/</t>
  </si>
  <si>
    <t>አንዳቦ አረአያ ሶሬ /አቶ/</t>
  </si>
  <si>
    <t>2165</t>
  </si>
  <si>
    <t>Andenet Ayele Giroch /Ato/</t>
  </si>
  <si>
    <t>አንድነት አየለ ግሮጫ /አቶ/</t>
  </si>
  <si>
    <t>2166</t>
  </si>
  <si>
    <t>Anderson Emeru Gabre /Ato/</t>
  </si>
  <si>
    <t>አንደርሰን እምሩ ገብሬ /አቶ/</t>
  </si>
  <si>
    <t>2167</t>
  </si>
  <si>
    <t>Andinet Assefa /Ato/</t>
  </si>
  <si>
    <t>አንድነት አሰፋ /አቶ/</t>
  </si>
  <si>
    <t>0953-454118</t>
  </si>
  <si>
    <t>2168</t>
  </si>
  <si>
    <t>Andinet Gezahgne Tessma /Ato/</t>
  </si>
  <si>
    <t>አንድነት ገዛኸኝ ተሰማ /አቶ/</t>
  </si>
  <si>
    <t>0910-437207</t>
  </si>
  <si>
    <t>0911-643389</t>
  </si>
  <si>
    <t>2169</t>
  </si>
  <si>
    <t>Andinet Haile Ambo /Ato/</t>
  </si>
  <si>
    <t>አንድነት ሀይሉ አምቦ /አቶ/</t>
  </si>
  <si>
    <t>2170</t>
  </si>
  <si>
    <t>Andinet Yideg Dersolegn /Ato/</t>
  </si>
  <si>
    <t>አንድነት ይደግ ደርሶልኝ /አቶ/</t>
  </si>
  <si>
    <t>0911-823933</t>
  </si>
  <si>
    <t>2171</t>
  </si>
  <si>
    <t>Andires Abidela Mohmmod /Ato/</t>
  </si>
  <si>
    <t>እንደሪስ አብደላ ሙሀመድ /አቶ/</t>
  </si>
  <si>
    <t>2172</t>
  </si>
  <si>
    <t>Andnet Abraham  Anejelo /Ato/</t>
  </si>
  <si>
    <t>አንድነት አበርሃም አንጅሎ /አቶ/</t>
  </si>
  <si>
    <t>0925-684975</t>
  </si>
  <si>
    <t>2173</t>
  </si>
  <si>
    <t>Andualam Fenta /Ato/</t>
  </si>
  <si>
    <t>አንዱአለም ፈንታ /አቶ/</t>
  </si>
  <si>
    <t>2174</t>
  </si>
  <si>
    <t>Andualem Abera Ayene /Ato/</t>
  </si>
  <si>
    <t>አንዱአለም አበራ አየነ /አቶ/</t>
  </si>
  <si>
    <t>2175</t>
  </si>
  <si>
    <t>Andualem Adane /Ato/</t>
  </si>
  <si>
    <t>አንዱአለም አዳነ /አቶ/</t>
  </si>
  <si>
    <t>0911-206504</t>
  </si>
  <si>
    <t>2176</t>
  </si>
  <si>
    <t>Andualem Addisie Smeneh /Ato/</t>
  </si>
  <si>
    <t>አንዷለም አዲስ ስሜነህ /አቶ/</t>
  </si>
  <si>
    <t>2177</t>
  </si>
  <si>
    <t>Andualem Aderaw Nigatie /Ato/</t>
  </si>
  <si>
    <t>አንዷለም አደራዉ</t>
  </si>
  <si>
    <t>2178</t>
  </si>
  <si>
    <t>Andualem Adugna Bala /Ato/</t>
  </si>
  <si>
    <t>አንዷለም አዱኛ ባላ /አቶ/</t>
  </si>
  <si>
    <t>2179</t>
  </si>
  <si>
    <t>Andualem Alef Alemu /Ato/</t>
  </si>
  <si>
    <t>አንዱዓለም አለፍ አለሙ /አቶ/</t>
  </si>
  <si>
    <t>0946-240194</t>
  </si>
  <si>
    <t>2180</t>
  </si>
  <si>
    <t>2181</t>
  </si>
  <si>
    <t>Andualem Atinaf Wondie /Ato/</t>
  </si>
  <si>
    <t>አንዷለም አጥናፍ ወንዴ /አቶ/</t>
  </si>
  <si>
    <t>2182</t>
  </si>
  <si>
    <t>Andualem Atiryihun Laimektu /Ato/</t>
  </si>
  <si>
    <t>አንድአለም አጥርይሁን ላይመክቱ /አቶ/</t>
  </si>
  <si>
    <t>0934-66656</t>
  </si>
  <si>
    <t>2183</t>
  </si>
  <si>
    <t>Andualem Ayalew Yirdu /Ato/</t>
  </si>
  <si>
    <t>አንዱአለም አያሌው ይርዱ /አቶ/</t>
  </si>
  <si>
    <t>2184</t>
  </si>
  <si>
    <t>Andualem Bayu /Ato/</t>
  </si>
  <si>
    <t>አንዷአለም ባዬ /አቶ/</t>
  </si>
  <si>
    <t>0918-637513</t>
  </si>
  <si>
    <t>2185</t>
  </si>
  <si>
    <t>2186</t>
  </si>
  <si>
    <t>Andualem Bitew Meresha /Ato/</t>
  </si>
  <si>
    <t>አንዷአለም ቢተው መርሻ /አቶ/</t>
  </si>
  <si>
    <t>0946-975567</t>
  </si>
  <si>
    <t>2187</t>
  </si>
  <si>
    <t>Andualem Buche Dele  /Ato/</t>
  </si>
  <si>
    <t>አንዱዓለም ቡቼ ዴሌ /አቶ/</t>
  </si>
  <si>
    <t>0902-904581</t>
  </si>
  <si>
    <t>2188</t>
  </si>
  <si>
    <t>Andualem Demlew Nigatu /Ato/</t>
  </si>
  <si>
    <t>አንዱአለም ደምለው ንጋቱ /አቶ/</t>
  </si>
  <si>
    <t>2189</t>
  </si>
  <si>
    <t>Andualem Deresse Desalew /Ato/</t>
  </si>
  <si>
    <t>አንዱአለም ደረሰ ደሳለው /አቶ/</t>
  </si>
  <si>
    <t>2190</t>
  </si>
  <si>
    <t>Andualem Desse Gelaye /Ato/</t>
  </si>
  <si>
    <t>አንዱለም ደሴ ገላየ /አቶ/</t>
  </si>
  <si>
    <t>2191</t>
  </si>
  <si>
    <t>Andualem Elefachew /Ato/</t>
  </si>
  <si>
    <t>አንዱዓለም አለፋቸው  /አቶ/</t>
  </si>
  <si>
    <t>0910-813929</t>
  </si>
  <si>
    <t>2192</t>
  </si>
  <si>
    <t>Andualem Geremewu Tolossa /Kesis/</t>
  </si>
  <si>
    <t>አንዱዓለም ገረመው ቶሎሣ /አቶ/</t>
  </si>
  <si>
    <t>2193</t>
  </si>
  <si>
    <t>Andualem Getachew Shirmeka</t>
  </si>
  <si>
    <t>አንዱአለም ጌታቸው ሽርመካ /አቶ/</t>
  </si>
  <si>
    <t>0985-273505</t>
  </si>
  <si>
    <t>2194</t>
  </si>
  <si>
    <t>Andualem Haimanot Desta /Ato/</t>
  </si>
  <si>
    <t>አንዱአለም ሀይማኖት ደስታ /አቶ/</t>
  </si>
  <si>
    <t>2195</t>
  </si>
  <si>
    <t>Andualem Mekonnen/Ato/</t>
  </si>
  <si>
    <t>አንዷለም መኮንን /አቶ/</t>
  </si>
  <si>
    <t>2196</t>
  </si>
  <si>
    <t>Andualem Menberu Tesfaw /Ato/</t>
  </si>
  <si>
    <t>አንድአለም መንበሩ ተሰፋው /አቶ/</t>
  </si>
  <si>
    <t>0931-170045</t>
  </si>
  <si>
    <t>2197</t>
  </si>
  <si>
    <t>Andualem Seifu Gashaw /Ato</t>
  </si>
  <si>
    <t>አንዱአለም ሰይፉ ጋሻው /አቶ/</t>
  </si>
  <si>
    <t>0970-117888</t>
  </si>
  <si>
    <t>2198</t>
  </si>
  <si>
    <t>Andualem Setaregie /Ato/</t>
  </si>
  <si>
    <t>አንዱአለም ሰጠርጌ /አቶ/</t>
  </si>
  <si>
    <t>2199</t>
  </si>
  <si>
    <t>Andualem Shewandagn W/Amanuel /Ato/</t>
  </si>
  <si>
    <t>አንዱአለም ሸዋንዳኝ ወ/አማኑኤል /አቶ/</t>
  </si>
  <si>
    <t>0966-115466</t>
  </si>
  <si>
    <t>miminafikir@gmail.com</t>
  </si>
  <si>
    <t>2200</t>
  </si>
  <si>
    <t>Andualem Shiferaw Gesese /Ato/</t>
  </si>
  <si>
    <t>አንዱአለም ሽፈራዉ ገሰሰ /አቶ/</t>
  </si>
  <si>
    <t>0911-989028</t>
  </si>
  <si>
    <t>2201</t>
  </si>
  <si>
    <t>Andualem Solomon Mengesha /Ato/</t>
  </si>
  <si>
    <t>አንዱአለም ስለሞን መንገሻ /አቶ/</t>
  </si>
  <si>
    <t>0912-697476</t>
  </si>
  <si>
    <t>tketsela2@aol.com</t>
  </si>
  <si>
    <t>2202</t>
  </si>
  <si>
    <t>Andualem Tesfahun Chekole /Ato/</t>
  </si>
  <si>
    <t>አንዷለም ተሰፋሁን ቸኮለ /አቶ/</t>
  </si>
  <si>
    <t>0987-766390</t>
  </si>
  <si>
    <t>2203</t>
  </si>
  <si>
    <t>Andualem Tesfaye /Ato/ and/or Haragewoyin Wondirad /W/o/</t>
  </si>
  <si>
    <t>አንዱአለም ተስፋዬ /አቶ/ እና/ወይም ሀረገወይን ወንዲራድ /ወ/ሮ/</t>
  </si>
  <si>
    <t>0911-844499</t>
  </si>
  <si>
    <t>2204</t>
  </si>
  <si>
    <t>Andualem Tesfaye Mamo /Ato/</t>
  </si>
  <si>
    <t>አንዱአለም ተስፋዬ ማሞ /አቶ/</t>
  </si>
  <si>
    <t>0912-966754</t>
  </si>
  <si>
    <t>2205</t>
  </si>
  <si>
    <t>Andualem Tsegaye Miteku /Ato/</t>
  </si>
  <si>
    <t>አንዱአለም ፀጋዬ ምትኩ /አቶ/</t>
  </si>
  <si>
    <t>0912-888404</t>
  </si>
  <si>
    <t>2206</t>
  </si>
  <si>
    <t>Andualem Yideg Jembere /Ato/</t>
  </si>
  <si>
    <t>አንዱአለም ይደግ ጀምበሬ /አቶ/</t>
  </si>
  <si>
    <t>2207</t>
  </si>
  <si>
    <t>2208</t>
  </si>
  <si>
    <t>Anduamlak Teme Hayile /Ato/</t>
  </si>
  <si>
    <t>እንዱምላክ ተሜ ሀይሌ /አቶ/</t>
  </si>
  <si>
    <t>0988-586691</t>
  </si>
  <si>
    <t>2209</t>
  </si>
  <si>
    <t>Anebesaw Wale Gobeze/Ato/</t>
  </si>
  <si>
    <t>አንበሳው ዋሌ ጎበዜ/አቶ/</t>
  </si>
  <si>
    <t>2210</t>
  </si>
  <si>
    <t>Anedaregie Tade Bezuneh /Ato/</t>
  </si>
  <si>
    <t>አንደራሴ ታዴ ብዙነህ /አቶ/</t>
  </si>
  <si>
    <t>2211</t>
  </si>
  <si>
    <t>Anedaregie Wale Semgn /Ato/</t>
  </si>
  <si>
    <t>አንዳርጌ ዋለ ስመኝ  /አቶ/</t>
  </si>
  <si>
    <t>0922-277691</t>
  </si>
  <si>
    <t>2212</t>
  </si>
  <si>
    <t>Anedualem Akelilu Alemu /Ato/</t>
  </si>
  <si>
    <t>አንዷለም አክሊሉ አለሙ /አቶ/</t>
  </si>
  <si>
    <t>0900-257456</t>
  </si>
  <si>
    <t>2213</t>
  </si>
  <si>
    <t>Anedualem Mitku Dessie /Ato/</t>
  </si>
  <si>
    <t>አንዱአለም ምትኩ ደሴ /አቶ/</t>
  </si>
  <si>
    <t>2214</t>
  </si>
  <si>
    <t>Aneguwach Dessie Fetene /W/o/</t>
  </si>
  <si>
    <t>አነጉዋች ደሴ ፈጠነ /ወ/ኦ/</t>
  </si>
  <si>
    <t>2215</t>
  </si>
  <si>
    <t>Aneley Ayalew Dessie /Ato/</t>
  </si>
  <si>
    <t>አነለይ አያሌው ደሴ /አቶ/</t>
  </si>
  <si>
    <t>0985-938303</t>
  </si>
  <si>
    <t>2216</t>
  </si>
  <si>
    <t>Aneley Tesfaiy Ayenew /Ato/</t>
  </si>
  <si>
    <t>አነለይ ተስፋይ አየነው /አቶ/</t>
  </si>
  <si>
    <t>2217</t>
  </si>
  <si>
    <t>Anemaw Yezngaw Tamrat /Ato/</t>
  </si>
  <si>
    <t>አንማው  ያዘንጋው  ታምራት /አቶ/</t>
  </si>
  <si>
    <t>2218</t>
  </si>
  <si>
    <t>Anemawe Hunegnaw Mekonen /Ato/</t>
  </si>
  <si>
    <t>አንማው ሁነኛው መኮንን /አቶ/</t>
  </si>
  <si>
    <t>0921-734705</t>
  </si>
  <si>
    <t>2219</t>
  </si>
  <si>
    <t>Anemot Tesfaw Abate / Ato/</t>
  </si>
  <si>
    <t>አንሙት ተስፋው አባተ/አቶ/</t>
  </si>
  <si>
    <t>2220</t>
  </si>
  <si>
    <t>Anemut Fenta Amera /Ato/</t>
  </si>
  <si>
    <t>አነሙት ፈንታ አመራ /አቶ/</t>
  </si>
  <si>
    <t>2221</t>
  </si>
  <si>
    <t>Anethungn Liku Jemeber /Ato/</t>
  </si>
  <si>
    <t>አንተሁንን ሊኩ ጀመብር /አቶ/</t>
  </si>
  <si>
    <t>2222</t>
  </si>
  <si>
    <t>Anetneh Melak Aneley /Ato/</t>
  </si>
  <si>
    <t>አንትነህ መላክ አነለይ /አቶ/</t>
  </si>
  <si>
    <t>2223</t>
  </si>
  <si>
    <t>Anetnhe Getachew Fekadu /Ato/</t>
  </si>
  <si>
    <t>አንተነህ ጌታቸው ፍቃዱ /አቶ/</t>
  </si>
  <si>
    <t>2224</t>
  </si>
  <si>
    <t>2225</t>
  </si>
  <si>
    <t>Angacheba Ayele Adera /Ato/</t>
  </si>
  <si>
    <t>አንጋችባ አየለ አደራ /አቶ/</t>
  </si>
  <si>
    <t>2226</t>
  </si>
  <si>
    <t>Ango Shalego Shahto /Ato/</t>
  </si>
  <si>
    <t>አንጎ ሻሌጎ ሻህቶ /አቶ/</t>
  </si>
  <si>
    <t>2227</t>
  </si>
  <si>
    <t>Anibe Nega /Ato/</t>
  </si>
  <si>
    <t>አንቤ ነጋ /አቶ/</t>
  </si>
  <si>
    <t>2228</t>
  </si>
  <si>
    <t>Anichnalu Eskeziya Sinishaw /Wro</t>
  </si>
  <si>
    <t>አንችናሉ አስከዚያ ሰንሻው /ወ/ሮ/</t>
  </si>
  <si>
    <t>2229</t>
  </si>
  <si>
    <t>Anidargie Sherbew /Ato/</t>
  </si>
  <si>
    <t>አንዳርጌ ስርበው ካሴ /አቶ/</t>
  </si>
  <si>
    <t>2230</t>
  </si>
  <si>
    <t>Anidualem Ketema Delele /Ato/</t>
  </si>
  <si>
    <t>አንዷለም ከተማ ደለለ /አቶ/</t>
  </si>
  <si>
    <t>2231</t>
  </si>
  <si>
    <t>Anidualem Teshome Belete/Ato/</t>
  </si>
  <si>
    <t>አንዱአለም ተሾመ በለጠ /አቶ/</t>
  </si>
  <si>
    <t>2232</t>
  </si>
  <si>
    <t>Anif Jihad A/Mala /Ato/</t>
  </si>
  <si>
    <t>አኒፍ ጂሀድ አ/ማላ /አቶ/</t>
  </si>
  <si>
    <t>0973-383374</t>
  </si>
  <si>
    <t>2233</t>
  </si>
  <si>
    <t>Aniguach Tiruye Semegie / Ato/</t>
  </si>
  <si>
    <t>አንጓቼ ጥሮየ ስመኝ /አቶ/</t>
  </si>
  <si>
    <t>2234</t>
  </si>
  <si>
    <t>Animaw Agidew/Ato/</t>
  </si>
  <si>
    <t>አንማው አግደው ጌታሁን /አቶ/</t>
  </si>
  <si>
    <t>2235</t>
  </si>
  <si>
    <t>Animaw Alemu Cherie /Ato/</t>
  </si>
  <si>
    <t>አንማው አለሙ ቸሬ /አቶ/</t>
  </si>
  <si>
    <t>2236</t>
  </si>
  <si>
    <t>Animaw Mekonen Temesgen/Kes/</t>
  </si>
  <si>
    <t>አንማው መኮንን ተመስገን /ቄስ/</t>
  </si>
  <si>
    <t>2237</t>
  </si>
  <si>
    <t>Animaw Tarik /Ato/</t>
  </si>
  <si>
    <t>አንማው ታሪኩ /አቶ/</t>
  </si>
  <si>
    <t>2238</t>
  </si>
  <si>
    <t>Animen Muluken /Ato/</t>
  </si>
  <si>
    <t>እንመን ሙሉቀን /አቶ/</t>
  </si>
  <si>
    <t>0969-077516</t>
  </si>
  <si>
    <t>2239</t>
  </si>
  <si>
    <t>Animew Ferede Mengesha  /Ato/</t>
  </si>
  <si>
    <t>አንመው ፈረደ መንገሻ /አቶ/</t>
  </si>
  <si>
    <t>0938247742</t>
  </si>
  <si>
    <t>2240</t>
  </si>
  <si>
    <t>Animut Gebrie Mekete /Ato/</t>
  </si>
  <si>
    <t>አንሙት ገብሬ መከት /አቶ/</t>
  </si>
  <si>
    <t>0975-150050</t>
  </si>
  <si>
    <t>2241</t>
  </si>
  <si>
    <t>Animut Gedif Ambaw /Ato/</t>
  </si>
  <si>
    <t>አንሙት ገድፍ አምባው /አቶ/</t>
  </si>
  <si>
    <t>2242</t>
  </si>
  <si>
    <t>Animut Hunegnaw /Ato/</t>
  </si>
  <si>
    <t>አንሙት ሁንኛው /አቶ/</t>
  </si>
  <si>
    <t>2243</t>
  </si>
  <si>
    <t>Animut Mebratu Mera/Ato/</t>
  </si>
  <si>
    <t>አንሙት መብራቱ መራ/አቶ/</t>
  </si>
  <si>
    <t>2244</t>
  </si>
  <si>
    <t>Animut Teferi Bekele /Ato/</t>
  </si>
  <si>
    <t>አንሙት ተፈሪ /አቶ/</t>
  </si>
  <si>
    <t>2245</t>
  </si>
  <si>
    <t>Animut Yehualaw Enyew /Ato/</t>
  </si>
  <si>
    <t>አንሙት የኋለው እንየው /አቶ/</t>
  </si>
  <si>
    <t>0918-550373</t>
  </si>
  <si>
    <t>2246</t>
  </si>
  <si>
    <t xml:space="preserve">Animut Yirsew Alemeneh /Ato/ </t>
  </si>
  <si>
    <t>አንሙት ይርሳው/አቶ /</t>
  </si>
  <si>
    <t>2247</t>
  </si>
  <si>
    <t>Anisa Jemal Mohamed /W/o/ For Hanan Sisay Sime /Minor/</t>
  </si>
  <si>
    <t>አኒሳ ጀማል መሀመድ /ወ/ሮ/ ለሀናን ሲሳይ ስሜ /ህፃን/</t>
  </si>
  <si>
    <t>0922-115000</t>
  </si>
  <si>
    <t>2248</t>
  </si>
  <si>
    <t>Aniteneh Amre Chekol /Ato/</t>
  </si>
  <si>
    <t>አንተነህ አማረ ቸኮል /አቶ/</t>
  </si>
  <si>
    <t>2249</t>
  </si>
  <si>
    <t xml:space="preserve">Anitewew Astatke Yedule   /Ato/ </t>
  </si>
  <si>
    <t>አንተወው አስታጥቄ የዱሌ    /አቶ/</t>
  </si>
  <si>
    <t>2250</t>
  </si>
  <si>
    <t>Anjore Tibebu Asale /W/O/</t>
  </si>
  <si>
    <t>አንጆሬ ጥበቡ አሣሌ /ወ/ሮ/</t>
  </si>
  <si>
    <t>0964-675091</t>
  </si>
  <si>
    <t>2251</t>
  </si>
  <si>
    <t>Anku Anjulo Akamo /Ato/</t>
  </si>
  <si>
    <t>አንኩ አንጁሎ አቃሞ /አቶ/</t>
  </si>
  <si>
    <t>0961-689005</t>
  </si>
  <si>
    <t>2252</t>
  </si>
  <si>
    <t>Anley Seyid Mehamed /W/o</t>
  </si>
  <si>
    <t>አንለይ ሰይድ መሀመድ /ወ/ኦ</t>
  </si>
  <si>
    <t>2253</t>
  </si>
  <si>
    <t>Anmaw Tsegaye Admasu /Ato/</t>
  </si>
  <si>
    <t>አንማው ፀጋየ አድማሰ /አቶ/</t>
  </si>
  <si>
    <t>2254</t>
  </si>
  <si>
    <t>Anmut Azimeraw Tefera /Kis/</t>
  </si>
  <si>
    <t>አንሙት አዝመራው ተፈራ /ኪስ/</t>
  </si>
  <si>
    <t>2255</t>
  </si>
  <si>
    <t xml:space="preserve">Anmut Belay Tegegne </t>
  </si>
  <si>
    <t>አንሙት አበይ ተገኘ</t>
  </si>
  <si>
    <t>2256</t>
  </si>
  <si>
    <t>Anmut Gietnet Mengistie</t>
  </si>
  <si>
    <t>አንሙት ጌትነት መንግስቴ /አቶ/</t>
  </si>
  <si>
    <t>2257</t>
  </si>
  <si>
    <t>2258</t>
  </si>
  <si>
    <t>Ansha Sied Mohammod /W/O/</t>
  </si>
  <si>
    <t>አንሻ ሰይድ መሃመድ /ወ/ሮ/</t>
  </si>
  <si>
    <t>0920-209938</t>
  </si>
  <si>
    <t>2259</t>
  </si>
  <si>
    <t>Ansha Yesuf Nuri /W/o/</t>
  </si>
  <si>
    <t>አንሻ የሱፍ ኑሪ /ወ/ሮ/</t>
  </si>
  <si>
    <t>0911-382028</t>
  </si>
  <si>
    <t>2260</t>
  </si>
  <si>
    <t>Anshebo Ashango /Ato/</t>
  </si>
  <si>
    <t>አንሸቦ አሻነጎ /አቶ/</t>
  </si>
  <si>
    <t>0926-008463</t>
  </si>
  <si>
    <t>2261</t>
  </si>
  <si>
    <t>Ante Abera /Ato/</t>
  </si>
  <si>
    <t>አንተ አበራ /አቶ/</t>
  </si>
  <si>
    <t>2262</t>
  </si>
  <si>
    <t>Antehun Asmamaw Kindie /Ato/</t>
  </si>
  <si>
    <t>አንተሁን  አስማማው  ክንዴ  /አቶ/</t>
  </si>
  <si>
    <t>2263</t>
  </si>
  <si>
    <t>Antehunegn Teferi /Ato/</t>
  </si>
  <si>
    <t>አንተሁነኝ ተፈሪ /አቶ/</t>
  </si>
  <si>
    <t>2264</t>
  </si>
  <si>
    <t>Antehunegn Woreku Alemayehu /Ato/</t>
  </si>
  <si>
    <t>አንተሁነኝ ወረቁ አለማየሁ /አቶ/</t>
  </si>
  <si>
    <t>2265</t>
  </si>
  <si>
    <t>Antehung Semenhe /Ato/</t>
  </si>
  <si>
    <t>አንተሁን ሰማንሄ /አቶ/</t>
  </si>
  <si>
    <t>2266</t>
  </si>
  <si>
    <t>Antehungn Senaye Tsega /Ato/</t>
  </si>
  <si>
    <t>አንተሁንኝ ሰናይ ጸጋ /አቶ/</t>
  </si>
  <si>
    <t>2267</t>
  </si>
  <si>
    <t>Anteneh  Tesfaye Lema</t>
  </si>
  <si>
    <t>አንተነህ ተስፋዬ ለማ /አቶ/</t>
  </si>
  <si>
    <t>2268</t>
  </si>
  <si>
    <t>2269</t>
  </si>
  <si>
    <t>Anteneh Admasu /Ato/ For Eliana Anteneh /Minor/</t>
  </si>
  <si>
    <t>አንተነህ አድማሱ /አቶ/ ለኤልያና አንተነህ /ህፃን/</t>
  </si>
  <si>
    <t>0987-106831</t>
  </si>
  <si>
    <t>2270</t>
  </si>
  <si>
    <t>Anteneh Admasu /Ato/ For Meklit Anteneh /Minor/</t>
  </si>
  <si>
    <t>አንተነህ አድማሱ /አቶ/ ለመክሊት አንተነህ /ህፃን/</t>
  </si>
  <si>
    <t>0911-951995</t>
  </si>
  <si>
    <t>2271</t>
  </si>
  <si>
    <t>Anteneh Admasu G/Hiwot /Ato/</t>
  </si>
  <si>
    <t>አንተነህ አድማሱ ገ/ህይወት /አቶ/</t>
  </si>
  <si>
    <t>0911-792243</t>
  </si>
  <si>
    <t>2272</t>
  </si>
  <si>
    <t>Anteneh Atalel Alameneh /Ato/</t>
  </si>
  <si>
    <t>አንተነህ አታለል አለምነህ /አቶ/</t>
  </si>
  <si>
    <t>2273</t>
  </si>
  <si>
    <t>Anteneh Ayele Tefera /D/r/</t>
  </si>
  <si>
    <t>አንተነህ አየለ ተፈራ /ዶ/ር/</t>
  </si>
  <si>
    <t>0913-336148</t>
  </si>
  <si>
    <t>amirabom80@gmail.com</t>
  </si>
  <si>
    <t>2274</t>
  </si>
  <si>
    <t>Anteneh Aynalem /Ato/ For Kenean Anteneh /Minor/</t>
  </si>
  <si>
    <t>አንተነህ አይናለም /አቶ/ ለከነአን አንተነህ /ሕጻን/</t>
  </si>
  <si>
    <t>0936-010971</t>
  </si>
  <si>
    <t>2275</t>
  </si>
  <si>
    <t>Anteneh Aynalem /Ato/ For Yedidya Anteneh /Minor/</t>
  </si>
  <si>
    <t>አንተነህ አይናለም /አቶ/ ለይዲድያ አንተነህ /ሕጻን/</t>
  </si>
  <si>
    <t>0911-347685</t>
  </si>
  <si>
    <t>2276</t>
  </si>
  <si>
    <t>Anteneh Birhanu Gelaye /Ato/</t>
  </si>
  <si>
    <t>አንተነህ ብርሃኑ ገላይ /አቶ/</t>
  </si>
  <si>
    <t>2277</t>
  </si>
  <si>
    <t>Anteneh Dagne Yizengaw /Ato/</t>
  </si>
  <si>
    <t>አንተነህ ዳኜ  ይዘንጋው  /አቶ/</t>
  </si>
  <si>
    <t>2278</t>
  </si>
  <si>
    <t>2279</t>
  </si>
  <si>
    <t>Anteneh F. Afework /Ato/</t>
  </si>
  <si>
    <t>አንተነህ ፈ. አፈወርቅ /አቶ/</t>
  </si>
  <si>
    <t>0977-243424</t>
  </si>
  <si>
    <t>ante0001@yahoo.com</t>
  </si>
  <si>
    <t>2280</t>
  </si>
  <si>
    <t>Anteneh Genet Aychew /Ato/</t>
  </si>
  <si>
    <t>አንተነህ ገነት አይቸው /አቶ/</t>
  </si>
  <si>
    <t>2281</t>
  </si>
  <si>
    <t>Anteneh Geresu Gatashe /Ato/</t>
  </si>
  <si>
    <t>አንተነህ ገረሱ ጋታሼ /አቶ/</t>
  </si>
  <si>
    <t>2282</t>
  </si>
  <si>
    <t>Anteneh Getachew /Ato/ For Beamlak Anteneh /Minor/</t>
  </si>
  <si>
    <t>አንተነህ ጌታቸዉ /አቶ/ ለበአምላክ አንተነህ /ህፃን/</t>
  </si>
  <si>
    <t>2283</t>
  </si>
  <si>
    <t>Anteneh Getachew Mehari /Ato/
For Beamlak Anteneh /Mionr/</t>
  </si>
  <si>
    <t>አንተነህ ጌታቸው መሐሪ /አቶ/ ለበአምላክ አንተነህ /ህፃን/</t>
  </si>
  <si>
    <t>2284</t>
  </si>
  <si>
    <t>Anteneh Guta Abdi /Ato/</t>
  </si>
  <si>
    <t>አንተነህ ጉታ አብዲ /አቶ/</t>
  </si>
  <si>
    <t>2285</t>
  </si>
  <si>
    <t>Anteneh Haringo Anebesa /Ato/</t>
  </si>
  <si>
    <t>አንተነህ ሀርንጎ አንበሳ /አቶ/</t>
  </si>
  <si>
    <t>0966-99949</t>
  </si>
  <si>
    <t>2286</t>
  </si>
  <si>
    <t>Anteneh Kasahun Zewede /Ato/</t>
  </si>
  <si>
    <t>አንተነህ ካሳሁን ዘውዴ /አቶ/</t>
  </si>
  <si>
    <t>2287</t>
  </si>
  <si>
    <t>Anteneh Lakew Addisu /Ato/</t>
  </si>
  <si>
    <t>አንተነህ ላቀው አዲሱ /አቶ/</t>
  </si>
  <si>
    <t>2288</t>
  </si>
  <si>
    <t>Anteneh Mekonen Taddese /Ato/</t>
  </si>
  <si>
    <t>አንተነህ መኮንን ታደሰ /አቶ/</t>
  </si>
  <si>
    <t>0911-924713</t>
  </si>
  <si>
    <t>2289</t>
  </si>
  <si>
    <t>Anteneh Menberu Sebaye /Kes/</t>
  </si>
  <si>
    <t>አንተነህ መንበሩ ስባየ /ቄስ/</t>
  </si>
  <si>
    <t>0982-491867</t>
  </si>
  <si>
    <t>2290</t>
  </si>
  <si>
    <t>Anteneh Mengist Tessema /Ato/</t>
  </si>
  <si>
    <t>አንተነህ መንግስት ተሰማ /አቶ/</t>
  </si>
  <si>
    <t>0964454869</t>
  </si>
  <si>
    <t>2291</t>
  </si>
  <si>
    <t>Anteneh Nedi /Ato/</t>
  </si>
  <si>
    <t>አንተነህ ነዲ /አቶ/</t>
  </si>
  <si>
    <t>0922-813856</t>
  </si>
  <si>
    <t>2292</t>
  </si>
  <si>
    <t>Anteneh Negussie /Ato/</t>
  </si>
  <si>
    <t>አንተነህ ንጉሴ /አቶ/</t>
  </si>
  <si>
    <t>2293</t>
  </si>
  <si>
    <t>Anteneh Taddese Abicho /Ato/</t>
  </si>
  <si>
    <t>አንተነህ ታደሠ አቢቸ /አቶ/</t>
  </si>
  <si>
    <t>2294</t>
  </si>
  <si>
    <t>Anteneh Tamire /Ato/ For Nicodemus Anteneh /Minor/</t>
  </si>
  <si>
    <t>አንተነህ ታምሬ /አቶ/ ለኒቆዲሞስ አንተነህ /ህፃን/</t>
  </si>
  <si>
    <t>0932-569845</t>
  </si>
  <si>
    <t>2295</t>
  </si>
  <si>
    <t>Anteneh Tamire /Ato/ For Yostina Anteneh /Minor/</t>
  </si>
  <si>
    <t>አንተነህ ታምሬ /አቶ/ ለዮስቲና አንተነህ /ህፃን/</t>
  </si>
  <si>
    <t>0941-503092</t>
  </si>
  <si>
    <t>2296</t>
  </si>
  <si>
    <t>Anteneh Temesgen Meshesha /Ato/</t>
  </si>
  <si>
    <t>አንተነህ ተመስገን መሸሻ /አቶ/</t>
  </si>
  <si>
    <t>0912-648120</t>
  </si>
  <si>
    <t>2297</t>
  </si>
  <si>
    <t>Anteneh Tesfaye Atlaw /W/o/</t>
  </si>
  <si>
    <t>አንተነህ ተስፋዬ አጥላው /ወ/ሮ/</t>
  </si>
  <si>
    <t>0912-370099</t>
  </si>
  <si>
    <t>2298</t>
  </si>
  <si>
    <t>Anteneh Tsehay Muluye</t>
  </si>
  <si>
    <t>አንተነህ ፀሐይ ሙሉየ</t>
  </si>
  <si>
    <t>2299</t>
  </si>
  <si>
    <t>Antensay Mekoya Jemaneh /Ato/</t>
  </si>
  <si>
    <t>አንተንሳይ መቆያ ጀማነህ /አቶ/</t>
  </si>
  <si>
    <t>0900-544311</t>
  </si>
  <si>
    <t>solomon.mytaitu@gmail.com</t>
  </si>
  <si>
    <t>2300</t>
  </si>
  <si>
    <t>Antigegn Bitew Yenealem /Ato/</t>
  </si>
  <si>
    <t>አንቲገኝ ቢተው የኔአለም /አቶ/</t>
  </si>
  <si>
    <t>2301</t>
  </si>
  <si>
    <t>Antime Sukaro Olima /Ato/</t>
  </si>
  <si>
    <t>አንትመ ሱካሮ ኦላማ /አቶ/</t>
  </si>
  <si>
    <t>0919-323971</t>
  </si>
  <si>
    <t>2302</t>
  </si>
  <si>
    <t>Anuwar Faris /Ato/</t>
  </si>
  <si>
    <t>አንዋር ፋሪስ /አቶ/</t>
  </si>
  <si>
    <t>2303</t>
  </si>
  <si>
    <t>Anuwar Nabsa /Ato/</t>
  </si>
  <si>
    <t>አኑዋር ነብሳ /አቶ/</t>
  </si>
  <si>
    <t>2304</t>
  </si>
  <si>
    <t>Anwar Bahir A/Zinab /Ato/</t>
  </si>
  <si>
    <t>አንዋር ባሂር አ/ዝናብ/አቶ/</t>
  </si>
  <si>
    <t>2305</t>
  </si>
  <si>
    <t>Anwar Kedir Dessie /Ato/</t>
  </si>
  <si>
    <t>አንዋር ከድር ደሴ /አቶ/</t>
  </si>
  <si>
    <t>0916-139577</t>
  </si>
  <si>
    <t>2306</t>
  </si>
  <si>
    <t>Anwar Muktar Aliye /Ato/</t>
  </si>
  <si>
    <t>አንዋር ሙክታር አልዬ /አቶ/</t>
  </si>
  <si>
    <t>0985-209030</t>
  </si>
  <si>
    <t>2307</t>
  </si>
  <si>
    <t>አንዋር ሙክታር አልዩ /አቶ/</t>
  </si>
  <si>
    <t>0970-627614</t>
  </si>
  <si>
    <t>2308</t>
  </si>
  <si>
    <t>Anwar Sultan Hidar /Ato/</t>
  </si>
  <si>
    <t>አንዋር ሱልጣን ሂዳር /አቶ/</t>
  </si>
  <si>
    <t>0974-318710</t>
  </si>
  <si>
    <t>biniyam.amanuel@yahoo.com</t>
  </si>
  <si>
    <t>2309</t>
  </si>
  <si>
    <t>Aragaw Abyu Bezabh /Ato/</t>
  </si>
  <si>
    <t>አራጋው አብዩ በዛብህ /አቶ/</t>
  </si>
  <si>
    <t>2310</t>
  </si>
  <si>
    <t>Aragaw Asefi /ato/</t>
  </si>
  <si>
    <t>አራጋው አሰፊ /አቶ/</t>
  </si>
  <si>
    <t>2311</t>
  </si>
  <si>
    <t>Aragaw Gedamu /Ato/</t>
  </si>
  <si>
    <t>አራጋው ገዳሙ /አቶ/</t>
  </si>
  <si>
    <t>2312</t>
  </si>
  <si>
    <t>Aragaw Getachew Lema /Ato/</t>
  </si>
  <si>
    <t>አራጋው ጌታቸው ለማ /አቶ/</t>
  </si>
  <si>
    <t>2313</t>
  </si>
  <si>
    <t>Aragaw Jembre Bekele /Ato/</t>
  </si>
  <si>
    <t>አራጋው ጀምበሬ በቀለ /አቶ/</t>
  </si>
  <si>
    <t>2314</t>
  </si>
  <si>
    <t>Aragaw Kebede Habtamu /Ato/</t>
  </si>
  <si>
    <t>አራጋዉ ከበደ ሀብታሙ /አቶ/</t>
  </si>
  <si>
    <t>0928-532720</t>
  </si>
  <si>
    <t>2315</t>
  </si>
  <si>
    <t>Aragaw Mulugeta Alemu /Ato/</t>
  </si>
  <si>
    <t>አራጋው ሙሉጌታ አለሙ /አቶ/</t>
  </si>
  <si>
    <t>0907-677026</t>
  </si>
  <si>
    <t>2316</t>
  </si>
  <si>
    <t>Arage Damene /Ato/</t>
  </si>
  <si>
    <t>አራጌ ዳመነ /አቶ/</t>
  </si>
  <si>
    <t>0968-965259</t>
  </si>
  <si>
    <t>2317</t>
  </si>
  <si>
    <t>Araya Gebeyehu /Ato/</t>
  </si>
  <si>
    <t>አርአያ ገበየሁ /አቶ/</t>
  </si>
  <si>
    <t>323-3822809</t>
  </si>
  <si>
    <t>abaymek2018@gmail.com</t>
  </si>
  <si>
    <t>2318</t>
  </si>
  <si>
    <t>Araya Werkineh Belayneh</t>
  </si>
  <si>
    <t xml:space="preserve">አርያ ወርቅነህ በላይነህ </t>
  </si>
  <si>
    <t>2319</t>
  </si>
  <si>
    <t>Areba Chundere Lodso /Ato /</t>
  </si>
  <si>
    <t>አረባ ጩንደራ ሎድሶ /አቶ/</t>
  </si>
  <si>
    <t>2320</t>
  </si>
  <si>
    <t>2321</t>
  </si>
  <si>
    <t>Arega  Wudie/Ato/</t>
  </si>
  <si>
    <t>አረጋ ዉዴ በጋለ /አቶ/</t>
  </si>
  <si>
    <t>2322</t>
  </si>
  <si>
    <t>Arega Alimaw Bimerwe /Ato/</t>
  </si>
  <si>
    <t>አረጋ አልማው ቢምረው /አቶ/</t>
  </si>
  <si>
    <t>2323</t>
  </si>
  <si>
    <t>Arega Chanie Nigusie /Ato/</t>
  </si>
  <si>
    <t>አረጋ ጫኔ ንጉሴ /አቶ/</t>
  </si>
  <si>
    <t>2324</t>
  </si>
  <si>
    <t>Arega Desialegn Munaya /Ato/</t>
  </si>
  <si>
    <t>አርጋ ደሰለኝ ሙናያ /አቶ/</t>
  </si>
  <si>
    <t>0939-856370</t>
  </si>
  <si>
    <t>2325</t>
  </si>
  <si>
    <t>Arega Dubale Hankaso /Ato/</t>
  </si>
  <si>
    <t>አረጋ ዱባለ ሀንካሶ /አቶ/</t>
  </si>
  <si>
    <t>0964-039401</t>
  </si>
  <si>
    <t>2326</t>
  </si>
  <si>
    <t>Arega Eijigu Tebeshe /Ato/</t>
  </si>
  <si>
    <t>አረጋ እጂጉ ተበሸ /አቶ/</t>
  </si>
  <si>
    <t>0915-683363</t>
  </si>
  <si>
    <t>2327</t>
  </si>
  <si>
    <t>Arega Ejigu Desalgn /Ato/</t>
  </si>
  <si>
    <t>አርጋ እጅጉ ደሳለኝ /አቶ/</t>
  </si>
  <si>
    <t>0927-618941</t>
  </si>
  <si>
    <t>2328</t>
  </si>
  <si>
    <t>Arega Tase Ayele /Ato/</t>
  </si>
  <si>
    <t>አረጋ ጣሴ አየለ /አቶ/</t>
  </si>
  <si>
    <t>2329</t>
  </si>
  <si>
    <t>Arega Tezera Zewude /Ato/</t>
  </si>
  <si>
    <t>አረጋ ተዘራ ዘዉዴ /አቶ/</t>
  </si>
  <si>
    <t>2330</t>
  </si>
  <si>
    <t>Arega Tizazu Tamerie /Ato/</t>
  </si>
  <si>
    <t>አርጋ ትዛዙ ታምሬ /አቶ/</t>
  </si>
  <si>
    <t>0931-872741</t>
  </si>
  <si>
    <t>2331</t>
  </si>
  <si>
    <t>Arega Werekie Alemayehu /Ato/</t>
  </si>
  <si>
    <t>አረጋ ወረቄ አለማየሁ /አቶ/</t>
  </si>
  <si>
    <t>0912-768295</t>
  </si>
  <si>
    <t>2332</t>
  </si>
  <si>
    <t>Arega Wibale Derese /Ato/</t>
  </si>
  <si>
    <t xml:space="preserve">አረጋ ውባለ ደረሰ /አቶ/ </t>
  </si>
  <si>
    <t>2333</t>
  </si>
  <si>
    <t>Aregagin Demssie Beyene /Ato/</t>
  </si>
  <si>
    <t>አረጋሀኝ ደምሴ በየነ /አቶ/</t>
  </si>
  <si>
    <t>0935-982112</t>
  </si>
  <si>
    <t>2334</t>
  </si>
  <si>
    <t>Aregahegn Tesfaye Gulilate /Ato/</t>
  </si>
  <si>
    <t>አረጋኸኝ ተስፋዬ ጉልላት /አቶ/</t>
  </si>
  <si>
    <t>2335</t>
  </si>
  <si>
    <t>Aregahegn Wako /Ato/</t>
  </si>
  <si>
    <t>አረገኝ ዋኮ ሔራኖ /አቶ/</t>
  </si>
  <si>
    <t>0916-731907</t>
  </si>
  <si>
    <t>2336</t>
  </si>
  <si>
    <t>Aregash Ali Bishaw  /W/o/</t>
  </si>
  <si>
    <t>አረጋሽ አሊ ቢሻዉ /ወ/ሮ/</t>
  </si>
  <si>
    <t>0910-504618</t>
  </si>
  <si>
    <t>2337</t>
  </si>
  <si>
    <t>Aregash Ashenafi Muse (W/O)</t>
  </si>
  <si>
    <t>አረጋሽ አሸናፊ ሙሴ /ወ/ሮ/</t>
  </si>
  <si>
    <t>2338</t>
  </si>
  <si>
    <t>Aregata Nokora /Ato/</t>
  </si>
  <si>
    <t>አረጋታ ኖኮራ /አቶ/</t>
  </si>
  <si>
    <t>2339</t>
  </si>
  <si>
    <t>Aregaw Alene Geze /Ato/</t>
  </si>
  <si>
    <t>አረጋዉ አለነ ገዜ</t>
  </si>
  <si>
    <t>2340</t>
  </si>
  <si>
    <t>Aregaw Belayen /Ato/</t>
  </si>
  <si>
    <t>አረጋው በላይን /አቶ/</t>
  </si>
  <si>
    <t>2341</t>
  </si>
  <si>
    <t>Aregaw Negese W/Amanueil /Ato/</t>
  </si>
  <si>
    <t>አርጋው ነገሰ ወ/አማኔል /አቶ/</t>
  </si>
  <si>
    <t>2342</t>
  </si>
  <si>
    <t>Aregaw Tukura Tumbul /Ato/</t>
  </si>
  <si>
    <t>አርጋው ቱቁራ ቱምቡሌ /አቶ/</t>
  </si>
  <si>
    <t>0967-940403</t>
  </si>
  <si>
    <t>2343</t>
  </si>
  <si>
    <t>Aregawe Adola /Ato/</t>
  </si>
  <si>
    <t>አርጋው አዶላ /አቶ/</t>
  </si>
  <si>
    <t>0934-796190</t>
  </si>
  <si>
    <t>2344</t>
  </si>
  <si>
    <t>Aregawi Kebede Hailu /Ato/</t>
  </si>
  <si>
    <t>አረጋዊ ከበደ ሀይሉ /አቶ/</t>
  </si>
  <si>
    <t>0939-890282</t>
  </si>
  <si>
    <t>2345</t>
  </si>
  <si>
    <t>Aregawi Sima W/michael /Ato/</t>
  </si>
  <si>
    <t>አረጋዊ ሲማ ወ/ሚካኤል /አቶ/</t>
  </si>
  <si>
    <t>2346</t>
  </si>
  <si>
    <t>Aregete Jagare Shuburo /Ato/</t>
  </si>
  <si>
    <t>አረጌተ ጃጋሬ ሹቡሮ /አቶ/</t>
  </si>
  <si>
    <t>0943-960136</t>
  </si>
  <si>
    <t>2347</t>
  </si>
  <si>
    <t>Aregew Alemnew Lemlemi /Ato/</t>
  </si>
  <si>
    <t>አራጋው አለምነው ለምለሚ /አቶ/</t>
  </si>
  <si>
    <t>0911-477604</t>
  </si>
  <si>
    <t>2348</t>
  </si>
  <si>
    <t>Aregitu Kassie Tegegn /W/O/</t>
  </si>
  <si>
    <t>አረጊቱ ካሴ ተገኘ /ወ/ሮ/</t>
  </si>
  <si>
    <t>2349</t>
  </si>
  <si>
    <t>Arenge G/mikaeil Shodo /Ato/</t>
  </si>
  <si>
    <t>አረንገ ገ/ሚካኤል ሾዶ /አቶ/</t>
  </si>
  <si>
    <t>2350</t>
  </si>
  <si>
    <t>Aresema Alemayehu Anibese /W/o/</t>
  </si>
  <si>
    <t>አርሴማ አለማየሁ አንበሴ /ወ/ሮ/</t>
  </si>
  <si>
    <t>2351</t>
  </si>
  <si>
    <t>Areta Lera /Ato/</t>
  </si>
  <si>
    <t>አሬታ ሌራ /አቶ/</t>
  </si>
  <si>
    <t>2352</t>
  </si>
  <si>
    <t>Arezo Anbesa Cherkos /Ato/</t>
  </si>
  <si>
    <t>አርዞ አንበሳ ጭርቆስ /አቶ/</t>
  </si>
  <si>
    <t>2353</t>
  </si>
  <si>
    <t>Argata Adela /Ato/</t>
  </si>
  <si>
    <t>አርጋታ አደላ /አቶ/</t>
  </si>
  <si>
    <t>2354</t>
  </si>
  <si>
    <t>Argaw Ayele /Ato/</t>
  </si>
  <si>
    <t>አርጋው አየለ /አቶ/</t>
  </si>
  <si>
    <t>2355</t>
  </si>
  <si>
    <t>Argaw Fantu Chernet   /Ato/</t>
  </si>
  <si>
    <t>አራጋዉ ፋንቱ ቸርነት /አቶ/</t>
  </si>
  <si>
    <t>0913-356771</t>
  </si>
  <si>
    <t>mekuria40@gmail.com</t>
  </si>
  <si>
    <t>2356</t>
  </si>
  <si>
    <t>Argaw Getachew Zeleke /Ato/</t>
  </si>
  <si>
    <t>አርጋው ጌታቸው ዘለቀ /አቶ/</t>
  </si>
  <si>
    <t>404-786-9590</t>
  </si>
  <si>
    <t>redietkebedee@gmail.com</t>
  </si>
  <si>
    <t>2357</t>
  </si>
  <si>
    <t>Argete Soka Abaye /Ato/</t>
  </si>
  <si>
    <t>አርጌቴ ሶቃ አባዬ /አቶ/</t>
  </si>
  <si>
    <t>0921-413447</t>
  </si>
  <si>
    <t>2358</t>
  </si>
  <si>
    <t>Argo Addisu /Ato/</t>
  </si>
  <si>
    <t xml:space="preserve">አርጎ አድሱ  አኖሬ /አቶ/ </t>
  </si>
  <si>
    <t>2359</t>
  </si>
  <si>
    <t>Arizo Aro Alie /Ato/</t>
  </si>
  <si>
    <t>አረዝ አሮ አሌ /አቶ/</t>
  </si>
  <si>
    <t>2360</t>
  </si>
  <si>
    <t>Arja Anjulo /Ato/</t>
  </si>
  <si>
    <t>አረጃ አንጀሎ /አቶ/</t>
  </si>
  <si>
    <t>2361</t>
  </si>
  <si>
    <t>Arja Arizemo (Ato)</t>
  </si>
  <si>
    <t>አርጃ አርዝም /አቶ/</t>
  </si>
  <si>
    <t>2362</t>
  </si>
  <si>
    <t>Arjano Oche Barero /Ato/</t>
  </si>
  <si>
    <t>አርጅኖ አቼ ባርሮ /አቶ/</t>
  </si>
  <si>
    <t>2363</t>
  </si>
  <si>
    <t>Arogata Barte /Ato/</t>
  </si>
  <si>
    <t>አርጋታ ባርጤ ባርሶ /አቶ/</t>
  </si>
  <si>
    <t>2364</t>
  </si>
  <si>
    <t>Aron Ayele /Ato/</t>
  </si>
  <si>
    <t>አሮን  አየለ /አቶ/</t>
  </si>
  <si>
    <t>2365</t>
  </si>
  <si>
    <t>Aron Bruck Tadesse /Ato/</t>
  </si>
  <si>
    <t>አሮን ብሩክ ታደሰ /አቶ/</t>
  </si>
  <si>
    <t>0982-030002</t>
  </si>
  <si>
    <t>ethio70@gmail.com</t>
  </si>
  <si>
    <t>2366</t>
  </si>
  <si>
    <t>Arsema Adenew /W/t/</t>
  </si>
  <si>
    <t>አርሴማ አድነዉ /ወ/ት/</t>
  </si>
  <si>
    <t>0949-257007</t>
  </si>
  <si>
    <t>2367</t>
  </si>
  <si>
    <t>Arsema Andargatchew Tesfaye /W/o/</t>
  </si>
  <si>
    <t>አርሴማ አንዳርጋቸዉ ተስፋዬ /ወ/ሮ/</t>
  </si>
  <si>
    <t>0912-683440</t>
  </si>
  <si>
    <t>2368</t>
  </si>
  <si>
    <t>Arsema Asmamaw Negatu /W/t/</t>
  </si>
  <si>
    <t>አርሴማ አስማማዉ ንጋቱ /ወ/ሪት/</t>
  </si>
  <si>
    <t>2369</t>
  </si>
  <si>
    <t>Arsema Tesfaye Leulehail /Ato/</t>
  </si>
  <si>
    <t>አርሴማ ተስፋዬ ልዑል ሃይል /አቶ/</t>
  </si>
  <si>
    <t>Tarik kemel</t>
  </si>
  <si>
    <t>2370</t>
  </si>
  <si>
    <t>Arsema Tesfaye Tilahun /W/t</t>
  </si>
  <si>
    <t>አርሴማ ተስፋዬ /ወ/ት/</t>
  </si>
  <si>
    <t>0913-205181</t>
  </si>
  <si>
    <t>2371</t>
  </si>
  <si>
    <t>Arsemawite Bantayehu Gebere /W/o/</t>
  </si>
  <si>
    <t>አርሴማውያን ባንታየሁ ገበረ /ወ/ኦ/</t>
  </si>
  <si>
    <t>0915-004102</t>
  </si>
  <si>
    <t>2372</t>
  </si>
  <si>
    <t>Arshime Adeto Amare /Ato/</t>
  </si>
  <si>
    <t>አርሸመ አደቶ አማረ /አቶ/</t>
  </si>
  <si>
    <t>0949-284445</t>
  </si>
  <si>
    <t>2373</t>
  </si>
  <si>
    <t>Arshiya H/A/ A/milki  /Ato/</t>
  </si>
  <si>
    <t>አርሺያ ሀ/አ/ አ/ሚልኪ /አቶ/</t>
  </si>
  <si>
    <t>0937-234067</t>
  </si>
  <si>
    <t>2374</t>
  </si>
  <si>
    <t>Arusa Rike Benekresa /Ato/</t>
  </si>
  <si>
    <t>አሩሳ ርቄ በንቀርሳ /አቶ/</t>
  </si>
  <si>
    <t>0949-660854</t>
  </si>
  <si>
    <t>2375</t>
  </si>
  <si>
    <t>Aruse Kamae /Ato/</t>
  </si>
  <si>
    <t>አሩሴ ካምኤ /አቶ/</t>
  </si>
  <si>
    <t>2376</t>
  </si>
  <si>
    <t>Asa Sashe Bakare /Ato/</t>
  </si>
  <si>
    <t>አሳ ባሴ ባካሬ /አቶ/</t>
  </si>
  <si>
    <t>2377</t>
  </si>
  <si>
    <t>Asagere Degene /Ato/</t>
  </si>
  <si>
    <t>አሻግሬ ደጀነ /አቶ/</t>
  </si>
  <si>
    <t>0954-21-08-97</t>
  </si>
  <si>
    <t>2378</t>
  </si>
  <si>
    <t>Asale Shano /Ato/</t>
  </si>
  <si>
    <t>አሳሌ ሻኖ /አቶ/</t>
  </si>
  <si>
    <t>2379</t>
  </si>
  <si>
    <t>Asale Tada Ayano /Ato/</t>
  </si>
  <si>
    <t>አስለ ጣዳ አያኖ /አቶ/</t>
  </si>
  <si>
    <t>2380</t>
  </si>
  <si>
    <t>Asale Wada /Ato/</t>
  </si>
  <si>
    <t>አሳሌ ዋዳ /አቶ/</t>
  </si>
  <si>
    <t>0964-082888</t>
  </si>
  <si>
    <t>2381</t>
  </si>
  <si>
    <t>Asalif G/Hiwot Gebire /Ato/</t>
  </si>
  <si>
    <t>አስልፍ ገብረህይውት ገብሬ /አቶ/</t>
  </si>
  <si>
    <t>2382</t>
  </si>
  <si>
    <t>Asalif Worku W/Tsadik /Ato/</t>
  </si>
  <si>
    <t>አስልፍ ወርቁ ወ/ፃዲቅ /አቶ/</t>
  </si>
  <si>
    <t>2383</t>
  </si>
  <si>
    <t>Asamen Niberet /Ato/</t>
  </si>
  <si>
    <t>አሳመን ንበረት /አቶ/</t>
  </si>
  <si>
    <t>2384</t>
  </si>
  <si>
    <t>Asamenech Kebede Ayele /W/o/</t>
  </si>
  <si>
    <t>አሣመነች ከበደ አየለ /ወ/ሮ/</t>
  </si>
  <si>
    <t>0911-699781</t>
  </si>
  <si>
    <t>2385</t>
  </si>
  <si>
    <t>Asaminew Adam Degad /Ato/</t>
  </si>
  <si>
    <t>አስምነው አዳም ድጋደ /አቶ/</t>
  </si>
  <si>
    <t>0924-706910</t>
  </si>
  <si>
    <t>2386</t>
  </si>
  <si>
    <t>Asaminew Duke /Ato/</t>
  </si>
  <si>
    <t>አሳምነው ዱካ /አቶ/</t>
  </si>
  <si>
    <t>2387</t>
  </si>
  <si>
    <t>Asamnew Ajale /Ato/</t>
  </si>
  <si>
    <t>አሳምነው አጃሌ /አቶ/</t>
  </si>
  <si>
    <t>2388</t>
  </si>
  <si>
    <t>Asamo Alanbo /Ato/</t>
  </si>
  <si>
    <t>አሳሞ አላንቦ /አቶ/</t>
  </si>
  <si>
    <t>2389</t>
  </si>
  <si>
    <t>Asamrew Gizaw Gibo /Ato/</t>
  </si>
  <si>
    <t>አሳምረው ግዛው ጊቦ /አቶ/</t>
  </si>
  <si>
    <t>2390</t>
  </si>
  <si>
    <t>Asaye Marew Berku /Ato/</t>
  </si>
  <si>
    <t>አሳየ ማረው ብርቁ /አቶ/</t>
  </si>
  <si>
    <t>2391</t>
  </si>
  <si>
    <t>Asaye Melke Eshete /Ato/</t>
  </si>
  <si>
    <t>አሳየ መልኬ እሸቴ /አቶ/</t>
  </si>
  <si>
    <t>2392</t>
  </si>
  <si>
    <t>Asaye Miretie Kassa /Ato/</t>
  </si>
  <si>
    <t>አሳዬ ምረቴ ካሳ /አቶ/</t>
  </si>
  <si>
    <t>0913-343817</t>
  </si>
  <si>
    <t>2393</t>
  </si>
  <si>
    <t>Asaye Shiferie Yizengaw /Ato/</t>
  </si>
  <si>
    <t>አሳየ  ሽፈሬ ይዘንጋው    /አቶ/</t>
  </si>
  <si>
    <t>2394</t>
  </si>
  <si>
    <t>Asaye Tilahun /Ato/</t>
  </si>
  <si>
    <t>አሣየ ጥላሁን /አቶ/</t>
  </si>
  <si>
    <t>0922-445223</t>
  </si>
  <si>
    <t>2395</t>
  </si>
  <si>
    <t>Asaye Yenesew Negate /Ato/</t>
  </si>
  <si>
    <t>አሳየ የኔሠው ንጋቴ /አቶ/</t>
  </si>
  <si>
    <t>0940-568983</t>
  </si>
  <si>
    <t>2396</t>
  </si>
  <si>
    <t>Asaye Yensew Fante /Ato/</t>
  </si>
  <si>
    <t>አሳዬ የኔሰው ፋንቴ /አቶ/</t>
  </si>
  <si>
    <t>2397</t>
  </si>
  <si>
    <t>Asayech Guta Kumbi /W/o/</t>
  </si>
  <si>
    <t>አሳየች ጉታ ቁምቢ /ወ/ሮ/</t>
  </si>
  <si>
    <t>2398</t>
  </si>
  <si>
    <t>Asayehegn Eshete Dilnesaw /Ato/</t>
  </si>
  <si>
    <t>አሳየ¤ኝ እሸቴ ድልነሳው /አቶ/</t>
  </si>
  <si>
    <t>2399</t>
  </si>
  <si>
    <t>Asbe Yemane Tsadike /Ato/</t>
  </si>
  <si>
    <t>አሰበ የማነ ፃዲቄ /አቶ/</t>
  </si>
  <si>
    <t>2400</t>
  </si>
  <si>
    <t>Aschale  Yesgat Desie /Ato/</t>
  </si>
  <si>
    <t>አስቻላ የስጋት ደሴ /አቶ/</t>
  </si>
  <si>
    <t>2401</t>
  </si>
  <si>
    <t>Aschale Eimru Eredatie /Ato/</t>
  </si>
  <si>
    <t>አስቻለ እምሩ እረዳቴ /አቶ/</t>
  </si>
  <si>
    <t>2402</t>
  </si>
  <si>
    <t>Aschale Tegegne Demle /Ato/</t>
  </si>
  <si>
    <t>አስቻለ ተገኘ ደምሌ /አቶ/</t>
  </si>
  <si>
    <t>0918-309249</t>
  </si>
  <si>
    <t>2403</t>
  </si>
  <si>
    <t>Aschale Tilahun Dejen /Ato/</t>
  </si>
  <si>
    <t>አስቻለው ጥላሁን ደጀን /አቶ/</t>
  </si>
  <si>
    <t>0953-611536</t>
  </si>
  <si>
    <t>2404</t>
  </si>
  <si>
    <t>Aschale Tobyaw Walle /Ato/</t>
  </si>
  <si>
    <t>አሰቻለ ጣቢያው ዋሌ /አቶ/</t>
  </si>
  <si>
    <t>2405</t>
  </si>
  <si>
    <t>Aschalew Abebe Dilecha /Ato/</t>
  </si>
  <si>
    <t>አስቻለው አበበ ዲለቻ /አቶ/</t>
  </si>
  <si>
    <t>2406</t>
  </si>
  <si>
    <t>Aschalew Alemu Gobezie /Ato/</t>
  </si>
  <si>
    <t>አስቻለው አለሙ ጎበዜ /አቶ/</t>
  </si>
  <si>
    <t>0912-111150</t>
  </si>
  <si>
    <t>2407</t>
  </si>
  <si>
    <t>170-7337-5640</t>
  </si>
  <si>
    <t>tagessebirhan@gmail.com</t>
  </si>
  <si>
    <t>2408</t>
  </si>
  <si>
    <t>Aschalew Ambo Bato (Ato)</t>
  </si>
  <si>
    <t>አስቻለዉ አምቦ ባቶ/አቶ/</t>
  </si>
  <si>
    <t>2409</t>
  </si>
  <si>
    <t>2410</t>
  </si>
  <si>
    <t>Aschalew Awgichew Legesse /Ato/</t>
  </si>
  <si>
    <t>አስቻለው አውግቸው ለገሠ /አቶ/</t>
  </si>
  <si>
    <t>0911-748260</t>
  </si>
  <si>
    <t>2411</t>
  </si>
  <si>
    <t>Aschalew Ayehune Ayenew /Ato/</t>
  </si>
  <si>
    <t>አስቻለ አየሁኔ</t>
  </si>
  <si>
    <t>2412</t>
  </si>
  <si>
    <t>Aschalew B. Waqjira /Ato/</t>
  </si>
  <si>
    <t>አስቻለው በ. ዋቅጂራ /አቶ/</t>
  </si>
  <si>
    <t>0921-429576</t>
  </si>
  <si>
    <t>hele.asche@yahoo.com</t>
  </si>
  <si>
    <t>2413</t>
  </si>
  <si>
    <t>Aschalew Bakalo Babo /Ato/</t>
  </si>
  <si>
    <t>አስቻለው ባካሎ ባቦ /አቶ/</t>
  </si>
  <si>
    <t>0927-153130</t>
  </si>
  <si>
    <t>2414</t>
  </si>
  <si>
    <t>Aschalew Bekele Mosisa /Ato/</t>
  </si>
  <si>
    <t>አስቻለው በቀለ ሞሲሳ /አቶ/</t>
  </si>
  <si>
    <t>0938-049334</t>
  </si>
  <si>
    <t>tes252007@gmail.com</t>
  </si>
  <si>
    <t>2415</t>
  </si>
  <si>
    <t>Aschalew Bekele W/Maryame /Ato/</t>
  </si>
  <si>
    <t>አስቻለው በቀለ  ወ/ማርያም /አቶ/</t>
  </si>
  <si>
    <t>0991-393561</t>
  </si>
  <si>
    <t>2416</t>
  </si>
  <si>
    <t>Aschalew Debesa Yeso /Ato/</t>
  </si>
  <si>
    <t>አሰስቻለው ደበሣ የሶ /አቶ/</t>
  </si>
  <si>
    <t>2417</t>
  </si>
  <si>
    <t>2418</t>
  </si>
  <si>
    <t>Aschalew Desta Moges /Ato/</t>
  </si>
  <si>
    <t>አስቻለው ደስታ ሞገስ /አቶ/</t>
  </si>
  <si>
    <t>destaaschalew@gmail.com</t>
  </si>
  <si>
    <t>2419</t>
  </si>
  <si>
    <t>Aschalew Gebeyehu Tekletsadik /Ato/</t>
  </si>
  <si>
    <t>አስቻለው ገበየሁ ተክለጻዲቅ /አቶ/</t>
  </si>
  <si>
    <t>2420</t>
  </si>
  <si>
    <t>Aschalew Gebresilase Sishore /Ato/</t>
  </si>
  <si>
    <t>አስቻለዉ ገ/ስላሴ ሲሾሬ /አቶ/</t>
  </si>
  <si>
    <t>2421</t>
  </si>
  <si>
    <t>Aschalew Gebresilasie /Ato/ And /or Frehiwot Anagaw Demelash /W/o</t>
  </si>
  <si>
    <t>አስቻለው ገብለስላሴ /አቶ/ እና/ወይም ፍሬሂወት አናጋው ደመላሽ /ወ/ሮ/</t>
  </si>
  <si>
    <t>2422</t>
  </si>
  <si>
    <t>Aschalew Gelaw /Ato/</t>
  </si>
  <si>
    <t>አስቻለው ገላው /አቶ/</t>
  </si>
  <si>
    <t>2423</t>
  </si>
  <si>
    <t>Aschalew Habtamu Mesfene /Ato/</t>
  </si>
  <si>
    <t>አስቻለው ሀብታሙ መስፍን /አቶ/</t>
  </si>
  <si>
    <t>2424</t>
  </si>
  <si>
    <t>Aschalew Sintayehu Bitew /Ato/</t>
  </si>
  <si>
    <t>አሰቻለ ስንታየሁ</t>
  </si>
  <si>
    <t>2425</t>
  </si>
  <si>
    <t>Aschalew Tesfa Kassie (Ato)</t>
  </si>
  <si>
    <t>አስቻለዉ ተስፋ ካሴ /አቶ/</t>
  </si>
  <si>
    <t>2426</t>
  </si>
  <si>
    <t>Aschalew Tilahun /Ato/</t>
  </si>
  <si>
    <t>አስቻለው ጥላሁን /አቶ/</t>
  </si>
  <si>
    <t>2427</t>
  </si>
  <si>
    <t>Aschalew Tsegaye Balemi /Ato/</t>
  </si>
  <si>
    <t>አስቻለዉ ፀጋዬ ባሌሚ /አቶ/</t>
  </si>
  <si>
    <t>0912-156098</t>
  </si>
  <si>
    <t>2428</t>
  </si>
  <si>
    <t>Aschalo Amalo Baliso /Ato/</t>
  </si>
  <si>
    <t>አስቻሎ አማሎ ባሊሶ /አቶ/</t>
  </si>
  <si>
    <t>2429</t>
  </si>
  <si>
    <t>Aschalo Yeta /Ato/</t>
  </si>
  <si>
    <t>አስቻሎ የጣ /አቶ/</t>
  </si>
  <si>
    <t>0937-208998</t>
  </si>
  <si>
    <t>2430</t>
  </si>
  <si>
    <t>Aschenaki Gebyehu W/semayet /Ato/</t>
  </si>
  <si>
    <t>አስጨናቂ ገበየሁ ወ/ሰማየት /አቶ/</t>
  </si>
  <si>
    <t>0936-754622</t>
  </si>
  <si>
    <t>2431</t>
  </si>
  <si>
    <t>Aschenaki Nigussie Terefe /Ato/</t>
  </si>
  <si>
    <t>አስጨናቂ ንጉሴ ተረፈ /አቶ/</t>
  </si>
  <si>
    <t>0979-503561</t>
  </si>
  <si>
    <t>Aschenek Amare Abebe /Ato/</t>
  </si>
  <si>
    <t>አስጨነቅ አማረ አበበ /አቶ/</t>
  </si>
  <si>
    <t>Aschenek Biyazin Wedemieneh /Ato/</t>
  </si>
  <si>
    <t>አስጨንቅ ቢያዝን  ወንድምነህ /አቶ/</t>
  </si>
  <si>
    <t>Aschenik Yibeltal Beza /Ato/</t>
  </si>
  <si>
    <t>አስጨነቅ ይበልጣል በዛ /አቶ/</t>
  </si>
  <si>
    <t>Asebe Anibeso /Ato/</t>
  </si>
  <si>
    <t>አሰበ አኒበሶ /አቶ/</t>
  </si>
  <si>
    <t>0921-130610</t>
  </si>
  <si>
    <t>2432</t>
  </si>
  <si>
    <t>Asechale Ayeche Wedem /Ato/</t>
  </si>
  <si>
    <t>አሰቻሌ አየቸ ወዴም /አቶ/</t>
  </si>
  <si>
    <t>2433</t>
  </si>
  <si>
    <t>Asechale Demoz Bitaw /Ato/</t>
  </si>
  <si>
    <t>አስቻለ ደሞዝ ቢተው /አቶ/</t>
  </si>
  <si>
    <t>2434</t>
  </si>
  <si>
    <t>Asechale Yerga Mengesha  /Ato/</t>
  </si>
  <si>
    <t>አስቻለው ይርጋ መንገሻ /አቶ/</t>
  </si>
  <si>
    <t>0917-580048</t>
  </si>
  <si>
    <t>2435</t>
  </si>
  <si>
    <t>Asechale Yesegat Werku /Ato/</t>
  </si>
  <si>
    <t>አሰቻለ የሰጋት ወርቁ /አቶ/</t>
  </si>
  <si>
    <t>2436</t>
  </si>
  <si>
    <t>Asechalew W/senebt Namachew /Ato/</t>
  </si>
  <si>
    <t>አስቻለው ወ/ሰንበት ናቸዉ /አቶ/</t>
  </si>
  <si>
    <t>2437</t>
  </si>
  <si>
    <t>Asefa Abate Temsgen /Ato/</t>
  </si>
  <si>
    <t>አሰፋ አባተ ተመስገን /አቶ/</t>
  </si>
  <si>
    <t>2438</t>
  </si>
  <si>
    <t>Asefa Abeje Lemenh /Ato/</t>
  </si>
  <si>
    <t>አሰፋ አበጀ ልመንህ /አቶ/</t>
  </si>
  <si>
    <t>2439</t>
  </si>
  <si>
    <t>Asefa Aga Setegn /Ato/</t>
  </si>
  <si>
    <t>አሰፋ አጋ ሰጠኝ /አቶ/</t>
  </si>
  <si>
    <t>2440</t>
  </si>
  <si>
    <t>Asefa Alaho Alaro /Ato/</t>
  </si>
  <si>
    <t>አሰፋ አላሆ አላሮ /አቶ/</t>
  </si>
  <si>
    <t>0913-623442</t>
  </si>
  <si>
    <t>2441</t>
  </si>
  <si>
    <t>Asefa Alaro /Ato/</t>
  </si>
  <si>
    <t>አስፋ አላሮ /አቶ/</t>
  </si>
  <si>
    <t>2442</t>
  </si>
  <si>
    <t>Asefa Alenbo Alaro /Ato/</t>
  </si>
  <si>
    <t>አሰፋ አለንቦ አላሮ /አቶ/</t>
  </si>
  <si>
    <t>0916-593650</t>
  </si>
  <si>
    <t>2443</t>
  </si>
  <si>
    <t>Asefa Anigelo (Ato)</t>
  </si>
  <si>
    <t>አስፋ አንጀሎ  /አቶ/</t>
  </si>
  <si>
    <t>2444</t>
  </si>
  <si>
    <t>Asefa Anjajo Aliye /Ato/</t>
  </si>
  <si>
    <t>አሰፋ አንጃጆ አለዬ /አቶ/</t>
  </si>
  <si>
    <t>2445</t>
  </si>
  <si>
    <t>Asefa Antigegne Asnake /Ato/</t>
  </si>
  <si>
    <t>አሰፋ አንቲገኝ አስናቀ /አቶ/</t>
  </si>
  <si>
    <t>2446</t>
  </si>
  <si>
    <t>Asefa Arego /Ato/</t>
  </si>
  <si>
    <t>አሰፋ አርጎ /አቶ/</t>
  </si>
  <si>
    <t>2447</t>
  </si>
  <si>
    <t>Asefa Asale Breku /Ato/</t>
  </si>
  <si>
    <t>አሰፋ አሣሌ በርኩ /አቶ/</t>
  </si>
  <si>
    <t>0919-184407</t>
  </si>
  <si>
    <t>2448</t>
  </si>
  <si>
    <t>Asefa Aschenek Teshale /Ato/</t>
  </si>
  <si>
    <t>አስፋ አስጨነቀ ተሻለ /አቶ/</t>
  </si>
  <si>
    <t>0910-045791</t>
  </si>
  <si>
    <t>2449</t>
  </si>
  <si>
    <t>Asefa Ataro /Ato/</t>
  </si>
  <si>
    <t>አስፋ አታሮ /አቶ/</t>
  </si>
  <si>
    <t>0916-026770</t>
  </si>
  <si>
    <t>2450</t>
  </si>
  <si>
    <t>Asefa Bate Bale /Ato/</t>
  </si>
  <si>
    <t>አሰፋ ባቴ ባሌ /አቶ/</t>
  </si>
  <si>
    <t>2451</t>
  </si>
  <si>
    <t>Asefa Bekele W/Giorgies /Ato/</t>
  </si>
  <si>
    <t>አሰፋ በቀለ ወ/ጊÄጊስ /አቶ/</t>
  </si>
  <si>
    <t>0911-696211</t>
  </si>
  <si>
    <t>2452</t>
  </si>
  <si>
    <t>Asefa Bekele Worke /Ato/</t>
  </si>
  <si>
    <t>አሰፋ በቀለ ወርቄ /አቶ/</t>
  </si>
  <si>
    <t>2453</t>
  </si>
  <si>
    <t>Asefa Belaye Zegeye /Ato/</t>
  </si>
  <si>
    <t>አሰፋ በላይ ዘገየ /አቶ/</t>
  </si>
  <si>
    <t>2454</t>
  </si>
  <si>
    <t>Asefa Biza Fanta /Ato/</t>
  </si>
  <si>
    <t>አሰፋ ቢዛ ፋንታ /አቶ/</t>
  </si>
  <si>
    <t>2455</t>
  </si>
  <si>
    <t>Asefa Buno Merde /Ato/</t>
  </si>
  <si>
    <t>አስፋ ቡኖ ሚረዶ /አቶ/</t>
  </si>
  <si>
    <t>0920-569231</t>
  </si>
  <si>
    <t>2456</t>
  </si>
  <si>
    <t>Asefa Dansa Buke /Ato/</t>
  </si>
  <si>
    <t>አሰፋ ዳንሣ ቡኬ /አቶ/</t>
  </si>
  <si>
    <t>0987-257379</t>
  </si>
  <si>
    <t>2457</t>
  </si>
  <si>
    <t>Asefa Degaga Dichasa /Ato/</t>
  </si>
  <si>
    <t>አሰፋ ደጋጋ ዲቻሳ /አቶ/</t>
  </si>
  <si>
    <t>2458</t>
  </si>
  <si>
    <t>Asefa Delelegn Meretie /Ato/</t>
  </si>
  <si>
    <t>አስፋ ደስለኝ ንርቴ /አቶ/</t>
  </si>
  <si>
    <t>2459</t>
  </si>
  <si>
    <t>Asefa Demsie wubneh /Ato/</t>
  </si>
  <si>
    <t>አሰፋ ደምሴ ውብነህ /አቶ/</t>
  </si>
  <si>
    <t>2460</t>
  </si>
  <si>
    <t>Asefa Desse /Wo/</t>
  </si>
  <si>
    <t>አሰፋ ደሴ /ወ/</t>
  </si>
  <si>
    <t>2461</t>
  </si>
  <si>
    <t>Asefa Dita /Ato/</t>
  </si>
  <si>
    <t>አሰፋ ዲታ /አቶ/</t>
  </si>
  <si>
    <t>2462</t>
  </si>
  <si>
    <t>Asefa Esubalew Tirunrh /Ato/</t>
  </si>
  <si>
    <t>አስፋ እሱባለው ጥሩነህ /አቶ/</t>
  </si>
  <si>
    <t>0918-599807</t>
  </si>
  <si>
    <t>2463</t>
  </si>
  <si>
    <t>Asefa Etiso /Ato/</t>
  </si>
  <si>
    <t>አሰፋ ኢቲሶ /አቶ/</t>
  </si>
  <si>
    <t>2464</t>
  </si>
  <si>
    <t>Asefa Gata Shino /Ato/</t>
  </si>
  <si>
    <t>አሰፋ ጋታ ሺኖ /አቶ/</t>
  </si>
  <si>
    <t>2465</t>
  </si>
  <si>
    <t>Asefa Gebeye Amare /Ato/</t>
  </si>
  <si>
    <t>አሰፋ ገበየ አማረ /አቶ/</t>
  </si>
  <si>
    <t>2466</t>
  </si>
  <si>
    <t>Asefa Getie Wagaye /Ato/</t>
  </si>
  <si>
    <t>አሰፋ ጌቴ ዋጋዬ /አቶ/</t>
  </si>
  <si>
    <t>0991-875689</t>
  </si>
  <si>
    <t>2467</t>
  </si>
  <si>
    <t>Asefa Golo /Ato/</t>
  </si>
  <si>
    <t>አስፋ ጎሎ /አቶ/</t>
  </si>
  <si>
    <t>0919-668895</t>
  </si>
  <si>
    <t>2468</t>
  </si>
  <si>
    <t>Asefa Gujo /Ato/</t>
  </si>
  <si>
    <t>አስፋ ጉጆ ናኤ  /አቶ/</t>
  </si>
  <si>
    <t>0989-425631</t>
  </si>
  <si>
    <t>2469</t>
  </si>
  <si>
    <t>Asefa Hailie Tefera /Ato/</t>
  </si>
  <si>
    <t>አሰፋ ኃይሌ ተፈራ /አቶ/</t>
  </si>
  <si>
    <t>0935-217421/
0921-964541</t>
  </si>
  <si>
    <t>2470</t>
  </si>
  <si>
    <t>Asefa Hunegnaw Bitew /Me/</t>
  </si>
  <si>
    <t>አሰፋ ሁነኛው ቢተው /ም/</t>
  </si>
  <si>
    <t>2471</t>
  </si>
  <si>
    <t>Asefa Jenbera Werko / Ato/</t>
  </si>
  <si>
    <t>አሰፋ ጀንበሬ ወርቁ /አቶ/</t>
  </si>
  <si>
    <t>2472</t>
  </si>
  <si>
    <t>Asefa Kebede Debisa /Ato/</t>
  </si>
  <si>
    <t>አሰፋ ከበደ ደቢሳ /አቶ/</t>
  </si>
  <si>
    <t>2473</t>
  </si>
  <si>
    <t>Asefa Ketema Abebe /Ato/</t>
  </si>
  <si>
    <t>አስፋ ከተማ አበበ /አቶ/</t>
  </si>
  <si>
    <t>2474</t>
  </si>
  <si>
    <t>Asefa Legese /Ato/</t>
  </si>
  <si>
    <t>አሰፋ ለገሰ ደማው /አቶ/</t>
  </si>
  <si>
    <t>0939-575270</t>
  </si>
  <si>
    <t>Yohannesk13@gmail.com</t>
  </si>
  <si>
    <t>2475</t>
  </si>
  <si>
    <t>Asefa Legese Damaw /Ato/</t>
  </si>
  <si>
    <t>አሰፋ ለገሰ ዳማው /አቶ/</t>
  </si>
  <si>
    <t>2476</t>
  </si>
  <si>
    <t>Asefa Mate /Ato/</t>
  </si>
  <si>
    <t>አስፋ ማቴ /አቶ/</t>
  </si>
  <si>
    <t>2477</t>
  </si>
  <si>
    <t>Asefa Melaku Adneh /Ato/</t>
  </si>
  <si>
    <t>አሰፋ መላኩ አዳነ/አቶ/</t>
  </si>
  <si>
    <t>0992-411646</t>
  </si>
  <si>
    <t>2478</t>
  </si>
  <si>
    <t>Asefa Mengistie Yirsie /Ato/</t>
  </si>
  <si>
    <t>አሰፋ መንግስቴ ይርሴ /አቶ/</t>
  </si>
  <si>
    <t>2479</t>
  </si>
  <si>
    <t>Asefa Mesefen /Ato/</t>
  </si>
  <si>
    <t>አሰፋ መሰፈን /አቶ/</t>
  </si>
  <si>
    <t>2480</t>
  </si>
  <si>
    <t>Asefa Mola Kassa</t>
  </si>
  <si>
    <t>አሰፉ ሞላ ካሳ /ወ/ሮ/</t>
  </si>
  <si>
    <t>2481</t>
  </si>
  <si>
    <t>Asefa Nega /Ato/</t>
  </si>
  <si>
    <t>አሰፋ ነጋ /አቶ/</t>
  </si>
  <si>
    <t>0924-028318</t>
  </si>
  <si>
    <t>2482</t>
  </si>
  <si>
    <t>Asefa Negese/Ato/</t>
  </si>
  <si>
    <t>አሰፋ ነገሰ ገ/ክርስቶስ /አቶ/</t>
  </si>
  <si>
    <t>2483</t>
  </si>
  <si>
    <t>Asefa Senshaw Yenesew /Ato/</t>
  </si>
  <si>
    <t>አሰፋ ሰንሻው የኔሰው /አቶ/</t>
  </si>
  <si>
    <t>0927-678337</t>
  </si>
  <si>
    <t>2484</t>
  </si>
  <si>
    <t>Asefa Shashamo Koga /Ato/</t>
  </si>
  <si>
    <t>አስፋ ሻሻሞ ቆጋ /አቶ/</t>
  </si>
  <si>
    <t>2485</t>
  </si>
  <si>
    <t>Asefa Siyum Belayche /Ato/</t>
  </si>
  <si>
    <t>አሰፋ ሥዩም በላይቸ /አቶ/</t>
  </si>
  <si>
    <t>2486</t>
  </si>
  <si>
    <t>Asefa Tekletsion Amare /Ato/</t>
  </si>
  <si>
    <t>አሰፋ ተክለፂዮን አማረ /አቶ/</t>
  </si>
  <si>
    <t>0986-725333</t>
  </si>
  <si>
    <t>2487</t>
  </si>
  <si>
    <t>Asefa Werana /Ato/</t>
  </si>
  <si>
    <t>አሰፋ ወራና /አቶ/</t>
  </si>
  <si>
    <t>2488</t>
  </si>
  <si>
    <t>Asefa Yesegat Werkie /Ato/</t>
  </si>
  <si>
    <t>አሰፋ ይስጋት ወርቄ /አቶ/</t>
  </si>
  <si>
    <t>2489</t>
  </si>
  <si>
    <t>Asefa YImenu Wule /Ato/</t>
  </si>
  <si>
    <t>አስፋ ይመኙ ውቤ /አቶ/</t>
  </si>
  <si>
    <t>0931-754533</t>
  </si>
  <si>
    <t>2490</t>
  </si>
  <si>
    <t>Asefa Yitayih Abigo /Ato/</t>
  </si>
  <si>
    <t>አሰፋ ይታይህ አብጎ /አቶ/</t>
  </si>
  <si>
    <t>2491</t>
  </si>
  <si>
    <t>Asefalgn Gebrechrkos Abay /Ato/</t>
  </si>
  <si>
    <t>አሰፋልኝ ገብረጨርቆስ አባይ /አቶ/</t>
  </si>
  <si>
    <t>614-065-098-24</t>
  </si>
  <si>
    <t>asef.abay@yahoo.com</t>
  </si>
  <si>
    <t>2492</t>
  </si>
  <si>
    <t>Asefash Darge Gebreyes /W/o/</t>
  </si>
  <si>
    <t>አሰፋሽ ዳርጌ ገብረየስ /ወ/ሮ/</t>
  </si>
  <si>
    <t>0977-103252</t>
  </si>
  <si>
    <t>2493</t>
  </si>
  <si>
    <t>Asefaw  Mulatu Tekele /Ato/</t>
  </si>
  <si>
    <t>አሰፋው ሙላቱ ተከለ /አቶ/</t>
  </si>
  <si>
    <t>0916-601055</t>
  </si>
  <si>
    <t>2494</t>
  </si>
  <si>
    <t>Asefaw Achamyeleh /Ato/</t>
  </si>
  <si>
    <t>አስፋዉ አቻምየለህ /አቶ/</t>
  </si>
  <si>
    <t>2495</t>
  </si>
  <si>
    <t>Asefaw Alemayehu  (Ato)</t>
  </si>
  <si>
    <t>አስፋው አለምቦ /አቶ/</t>
  </si>
  <si>
    <t>2496</t>
  </si>
  <si>
    <t>Asefaw Hunegnaw Belay /Ato/</t>
  </si>
  <si>
    <t>አስፋው ሁነኛው በላይ /አቶ/</t>
  </si>
  <si>
    <t>2497</t>
  </si>
  <si>
    <t>Asefaw Tuma Kata /Ato/</t>
  </si>
  <si>
    <t>አስፋው ቱማ ካታ /አቶ/</t>
  </si>
  <si>
    <t>2498</t>
  </si>
  <si>
    <t>Asefaw Wesene Beshahe /Ato/</t>
  </si>
  <si>
    <t>አስፋው ወስኔ በሻህ /አቶ/</t>
  </si>
  <si>
    <t>0920-852683</t>
  </si>
  <si>
    <t>2499</t>
  </si>
  <si>
    <t>Asefawe Eyamo  (Ato)</t>
  </si>
  <si>
    <t>አስፋው ኤያሞ /አቶ/</t>
  </si>
  <si>
    <t>2500</t>
  </si>
  <si>
    <t>Asefi Dejen Tegaye /Ato/</t>
  </si>
  <si>
    <t>አሰፋ ደጀን ተጋዬ /አቶ/</t>
  </si>
  <si>
    <t>2501</t>
  </si>
  <si>
    <t>Asefie Gashiya Tarekegn /Ato/</t>
  </si>
  <si>
    <t>አሰፌ ጋሻያ ታረቀኝ /አቶ/</t>
  </si>
  <si>
    <t>2502</t>
  </si>
  <si>
    <t>Asefu Yimer Yosuf /W/O</t>
  </si>
  <si>
    <t>አሰፉ ይምር የሱፍ /ወ/ሮ/</t>
  </si>
  <si>
    <t>0991-578409</t>
  </si>
  <si>
    <t>asefuyimer1@gmail.com</t>
  </si>
  <si>
    <t>2503</t>
  </si>
  <si>
    <t>Aseg Teshome Belay /W/O/</t>
  </si>
  <si>
    <t>አሰግ ተሾመ በላይ /ወ/ሮ/</t>
  </si>
  <si>
    <t>2504</t>
  </si>
  <si>
    <t>Asegedech Getachew Gto /W/O/</t>
  </si>
  <si>
    <t>አሰገደች  ጌታቸው ገቶ /ወ/ሮ/</t>
  </si>
  <si>
    <t>0968-438552</t>
  </si>
  <si>
    <t>2505</t>
  </si>
  <si>
    <t>Asegedech Mekonnen Fanta /W/o/</t>
  </si>
  <si>
    <t>አሰገደች መኮንን ፋንታ/ወ/ሮ/</t>
  </si>
  <si>
    <t>0943-294157</t>
  </si>
  <si>
    <t>ethiobeti@yahoo.com</t>
  </si>
  <si>
    <t>2506</t>
  </si>
  <si>
    <t>Asegedech Tensay Wakeyo /W/o/</t>
  </si>
  <si>
    <t>አሰገደች ተንሳይ ዋቀዮ /ወ/ሮ/</t>
  </si>
  <si>
    <t>0912-153153</t>
  </si>
  <si>
    <t>2507</t>
  </si>
  <si>
    <t>Asegedech Zewdie W/hanna /W/o/</t>
  </si>
  <si>
    <t>አሰገደች ዘዉዴ ወ/ሃና /ወ/ሮ/</t>
  </si>
  <si>
    <t>0911-152085</t>
  </si>
  <si>
    <t>2508</t>
  </si>
  <si>
    <t>2509</t>
  </si>
  <si>
    <t>Asekberew T/tsadike Aklile /Ato/</t>
  </si>
  <si>
    <t>አስከብረው ተ/ጻድቅ አክሊል /አቶ/</t>
  </si>
  <si>
    <t>2510</t>
  </si>
  <si>
    <t>Asela Hailu Bareta /Ato/</t>
  </si>
  <si>
    <t>አሰላ ሀይሌ ባረታ /አቶ/</t>
  </si>
  <si>
    <t>0942-958619</t>
  </si>
  <si>
    <t>2511</t>
  </si>
  <si>
    <t>Asela Waza /Ato/</t>
  </si>
  <si>
    <t>አሰላ ዋዛ /አቶ/</t>
  </si>
  <si>
    <t>2512</t>
  </si>
  <si>
    <t>Aselefech Abebe Gultem /W/o/</t>
  </si>
  <si>
    <t>አሰለች አበበ ጉልተም /ወ/ሮ/</t>
  </si>
  <si>
    <t>0934-631100</t>
  </si>
  <si>
    <t>2513</t>
  </si>
  <si>
    <t>Aselefech Demessie Belew /W/o/</t>
  </si>
  <si>
    <t>አሰለፈች ደምሴ በለው /ወ/ሮ/</t>
  </si>
  <si>
    <t>0916-342776</t>
  </si>
  <si>
    <t>2514</t>
  </si>
  <si>
    <t>Aselefech Mamo Mitkie /W/O/</t>
  </si>
  <si>
    <t>አስለፈች ማሞ ምትኩ /ወ/ሮ/</t>
  </si>
  <si>
    <t>2515</t>
  </si>
  <si>
    <t>Aselfech Dikaso Deleba /W/Ro/</t>
  </si>
  <si>
    <t>አስለፍች ድቃሶ ድልባታ /አቶ/</t>
  </si>
  <si>
    <t>2516</t>
  </si>
  <si>
    <t>Aselfech Serbesa Biru /W/t/</t>
  </si>
  <si>
    <t>አሰለፈች ሰርቤሳ ብሩ /ወ/ት/</t>
  </si>
  <si>
    <t>2517</t>
  </si>
  <si>
    <t>Asema Muluneh Adgeh /Ato/</t>
  </si>
  <si>
    <t>አሰማ ሙሉነህ አድገህ /አቶ/</t>
  </si>
  <si>
    <t>2518</t>
  </si>
  <si>
    <t>Asemamaw Alemaw Aseres /Ato/</t>
  </si>
  <si>
    <t>አስማማው አለማው አሰረስ /አቶ/</t>
  </si>
  <si>
    <t>2519</t>
  </si>
  <si>
    <t>Asemamaw Meku Terfe /Ato/</t>
  </si>
  <si>
    <t>አስስማማው መኩ ተረፈ /አቶ/</t>
  </si>
  <si>
    <t>2520</t>
  </si>
  <si>
    <t>Asemamaw Mesgan /Ato/</t>
  </si>
  <si>
    <t>አስማማው መስጋን /አቶ/</t>
  </si>
  <si>
    <t>2521</t>
  </si>
  <si>
    <t>Asemamaw Zemen /Ato/</t>
  </si>
  <si>
    <t>አስማማው ዘመን /አቶ/</t>
  </si>
  <si>
    <t>2522</t>
  </si>
  <si>
    <t>Asemaru Ayele Mebrate /W/o/</t>
  </si>
  <si>
    <t>አስማሩ አየለ መብራቴ /ወ/ሮ/</t>
  </si>
  <si>
    <t>0913-362181</t>
  </si>
  <si>
    <t>2523</t>
  </si>
  <si>
    <t xml:space="preserve">Asemenu Mulatu </t>
  </si>
  <si>
    <t>አሰመኑ ሙላቱ</t>
  </si>
  <si>
    <t>2524</t>
  </si>
  <si>
    <t>Asemera Anja Ganamo /Ato/</t>
  </si>
  <si>
    <t>አሰማረ አንጃ ጋናሞ /አቶ/</t>
  </si>
  <si>
    <t>0926-573313</t>
  </si>
  <si>
    <t>2525</t>
  </si>
  <si>
    <t>Asemere Mersha Derseh /Ato/</t>
  </si>
  <si>
    <t>አሰምሬ መርሻ ደርሰህ /አቶ/</t>
  </si>
  <si>
    <t>0932-827832</t>
  </si>
  <si>
    <t>2526</t>
  </si>
  <si>
    <t>Asemnu Zeze /Ato/</t>
  </si>
  <si>
    <t>አስምኑ ዜዘ /አቶ/</t>
  </si>
  <si>
    <t>2527</t>
  </si>
  <si>
    <t>Asemra Abebe Kebede /Ato/</t>
  </si>
  <si>
    <t>አሰመራ አበበ ከበደ /አቶ/</t>
  </si>
  <si>
    <t>2528</t>
  </si>
  <si>
    <t>Asenafi Aregeso /Ato/</t>
  </si>
  <si>
    <t>አሸናፊ አርግሶ /አቶ/</t>
  </si>
  <si>
    <t>0974-62-34-27</t>
  </si>
  <si>
    <t>2529</t>
  </si>
  <si>
    <t>Asenafi Birhanu /Ato/</t>
  </si>
  <si>
    <t>አሸናፊ ብርሃኑ /አቶ/</t>
  </si>
  <si>
    <t>0926-21-20-08</t>
  </si>
  <si>
    <t>2530</t>
  </si>
  <si>
    <t>Asenake Usato Unegarie /Ato/</t>
  </si>
  <si>
    <t>አሰናቀ ኡሳቶ ኡንጋሬ/አቶ/</t>
  </si>
  <si>
    <t>0916-853202</t>
  </si>
  <si>
    <t>2531</t>
  </si>
  <si>
    <t>Asenakech Eyasu Munea /W/o/</t>
  </si>
  <si>
    <t>አሰናቀች እያሱ ሙኔአ /ወ/ኦ/</t>
  </si>
  <si>
    <t>0916-479830</t>
  </si>
  <si>
    <t>2532</t>
  </si>
  <si>
    <t>Asenakech Fantahun Eshete /W/o/</t>
  </si>
  <si>
    <t>አስናቀች ፋንታሁን እሸቴ /ወ/ሮ/</t>
  </si>
  <si>
    <t>0910-259273</t>
  </si>
  <si>
    <t>2533</t>
  </si>
  <si>
    <t>Asera Jomole Demisse /Ato/</t>
  </si>
  <si>
    <t>አስራ ጆሞሌ ዴምሴ /አቶ/</t>
  </si>
  <si>
    <t>0916-888264</t>
  </si>
  <si>
    <t>2534</t>
  </si>
  <si>
    <t>Aserat Filimon Maja /Ato/</t>
  </si>
  <si>
    <t>አስራት ፍልሞን ማጃ /አቶ/</t>
  </si>
  <si>
    <t>0938-392304</t>
  </si>
  <si>
    <t>2535</t>
  </si>
  <si>
    <t>Aserat Robe /W/O/</t>
  </si>
  <si>
    <t>አስራት ሮቤ /ወ/ሮ/</t>
  </si>
  <si>
    <t>2536</t>
  </si>
  <si>
    <t>Asere Shulito  (Ato)</t>
  </si>
  <si>
    <t>አስራ ሹጉልቶ ላአንቶ (አቶ)</t>
  </si>
  <si>
    <t>2537</t>
  </si>
  <si>
    <t>Asere Tufa Tula /Ato/</t>
  </si>
  <si>
    <t>አሰሬ ቱፋ ቱላ /አቶ/</t>
  </si>
  <si>
    <t>2538</t>
  </si>
  <si>
    <t>Aserie Belaye Wale /Ato/</t>
  </si>
  <si>
    <t>አሰሪ በላይ ዋለ /አቶ/</t>
  </si>
  <si>
    <t>2539</t>
  </si>
  <si>
    <t>Aseries Asefa Tsedale /W/o/</t>
  </si>
  <si>
    <t>አሰሪስ አሰፋ ፀዳለ /ወ/ኦ/</t>
  </si>
  <si>
    <t>2540</t>
  </si>
  <si>
    <t>Asfa Alaro /Ato/</t>
  </si>
  <si>
    <t>0916-747539</t>
  </si>
  <si>
    <t>2541</t>
  </si>
  <si>
    <t>Asfaw Abraham /Ato/</t>
  </si>
  <si>
    <t>አስፋው አብረሃም /አቶ/</t>
  </si>
  <si>
    <t>2542</t>
  </si>
  <si>
    <t>Asfaw Asero Amato /Ato/</t>
  </si>
  <si>
    <t>አስፋው አሰሮ አማቶ /አቶ/</t>
  </si>
  <si>
    <t>2543</t>
  </si>
  <si>
    <t>Asfaw Darmo Adema /Ato /</t>
  </si>
  <si>
    <t>አስፋው ዳርሞ አደማ /አቶ/</t>
  </si>
  <si>
    <t>0945-724135</t>
  </si>
  <si>
    <t>2544</t>
  </si>
  <si>
    <t>Asfaw Dubale Honekarso /Ato/</t>
  </si>
  <si>
    <t>አስፋ ዱባለ ሀንካርሶ /አቶ/</t>
  </si>
  <si>
    <t>0916-164220/0985-519898</t>
  </si>
  <si>
    <t>2545</t>
  </si>
  <si>
    <t>Asfaw Endale Asfaw /Ato/</t>
  </si>
  <si>
    <t>አስፋው እንዳለ አስፋው /አቶ/</t>
  </si>
  <si>
    <t>0913-781433</t>
  </si>
  <si>
    <t>2546</t>
  </si>
  <si>
    <t>Asfaw Eresi Sobe /Ato/</t>
  </si>
  <si>
    <t>አስፋዉ እረሲ ሶቤ /አቶ/</t>
  </si>
  <si>
    <t>0911-408217</t>
  </si>
  <si>
    <t>2547</t>
  </si>
  <si>
    <t>Asfaw Kacha Naramo /Ato/</t>
  </si>
  <si>
    <t>አስፋው ብቻ ናራሞ /አቶ/</t>
  </si>
  <si>
    <t>2548</t>
  </si>
  <si>
    <t>Asfaw Kassie Erukneh /Kes/</t>
  </si>
  <si>
    <t>አስፋው ካሴ እሩቅነህ /ቄስ/</t>
  </si>
  <si>
    <t>2549</t>
  </si>
  <si>
    <t>Asfaw Kayimo /Ato/</t>
  </si>
  <si>
    <t>አስፋው ካይሞ /አቶ/</t>
  </si>
  <si>
    <t>2550</t>
  </si>
  <si>
    <t>Asfaw Lemma /Ato/</t>
  </si>
  <si>
    <t>አስፋው ለማ /አቶ/</t>
  </si>
  <si>
    <t>0927-347057</t>
  </si>
  <si>
    <t>asfeshe@gmail.com</t>
  </si>
  <si>
    <t>2551</t>
  </si>
  <si>
    <t>Asfaw Lemma Ebsa /Ato/</t>
  </si>
  <si>
    <t>አስፋው ለማ ኢብሳ /አቶ/</t>
  </si>
  <si>
    <t>0916-864953</t>
  </si>
  <si>
    <t>geteneshf12@gmail.com</t>
  </si>
  <si>
    <t>2552</t>
  </si>
  <si>
    <t>2553</t>
  </si>
  <si>
    <t>Asfaw Nebi Wake /Ato/</t>
  </si>
  <si>
    <t>አስፋው ነቢ ዋቄ /አቶ/</t>
  </si>
  <si>
    <t>0920-423010
1-813-597-9696</t>
  </si>
  <si>
    <t>meronasfaw95@outlook.com</t>
  </si>
  <si>
    <t>2554</t>
  </si>
  <si>
    <t>Asfaw Nebiwake /Ato/ and/or Almaz Ayele /W/o/</t>
  </si>
  <si>
    <t>አስፋው ነቢዋቄ /አቶ/ እና/ወይም አልማዝ አየለ /ወ/ሮ/</t>
  </si>
  <si>
    <t>0920-423210/813-5979696</t>
  </si>
  <si>
    <t>abrahamtadese83@gmail.com</t>
  </si>
  <si>
    <t>2555</t>
  </si>
  <si>
    <t>Asfaw Philto /Ato/</t>
  </si>
  <si>
    <t>አሰፋው ጵልጦ /አቶ/</t>
  </si>
  <si>
    <t>0939-680970</t>
  </si>
  <si>
    <t>2556</t>
  </si>
  <si>
    <t>Asfaw Segu Bekele /Ato/</t>
  </si>
  <si>
    <t>አስፋዉ ሰጉ በቀለ /አቶ/</t>
  </si>
  <si>
    <t>0911-612261</t>
  </si>
  <si>
    <t>nitsiblassaue@gmail.com
japygm@gmail.com</t>
  </si>
  <si>
    <t>2557</t>
  </si>
  <si>
    <t>Asfaw Solbe Sholo /Ato/</t>
  </si>
  <si>
    <t>አስፋው ሶልበ ሾሎ /አቶ/</t>
  </si>
  <si>
    <t>0984-903500</t>
  </si>
  <si>
    <t>2558</t>
  </si>
  <si>
    <t>Asfaw Tomma Aruda /Ato/</t>
  </si>
  <si>
    <t>አስፋው ቶማ አሩዳ /አቶ/</t>
  </si>
  <si>
    <t>0969-045023</t>
  </si>
  <si>
    <t>2559</t>
  </si>
  <si>
    <t>Asfaw Tsegaye Kidane /Ato/</t>
  </si>
  <si>
    <t>አስፋው ጸጋዬ ኪዳኔ /አቶ/</t>
  </si>
  <si>
    <t>2560</t>
  </si>
  <si>
    <t>Asfaw Tulie Shebebe /Ato/</t>
  </si>
  <si>
    <t>አስፋው ቱሌ ሸበበ /አቶ/</t>
  </si>
  <si>
    <t>2561</t>
  </si>
  <si>
    <t>Asfaw Wersa Dugda /Ato/</t>
  </si>
  <si>
    <t>አስፋዉ ወርሳ ዱግዳ /አቶ/</t>
  </si>
  <si>
    <t>0925-484953</t>
  </si>
  <si>
    <t>2562</t>
  </si>
  <si>
    <t>Asfaw Yigezu /Ato/</t>
  </si>
  <si>
    <t>አስፋው ይገዙ /አቶ/</t>
  </si>
  <si>
    <t>0925-681909</t>
  </si>
  <si>
    <t>2563</t>
  </si>
  <si>
    <t>Asfaw Yisihak /Ato/</t>
  </si>
  <si>
    <t>አስፋው ይስሐቅ /አቶ/</t>
  </si>
  <si>
    <t>2564</t>
  </si>
  <si>
    <t>Asfaw Youla Garmamo /Ato/</t>
  </si>
  <si>
    <t>አስፋው ዮኡላ ጋርማሞ/አቶ/</t>
  </si>
  <si>
    <t>2565</t>
  </si>
  <si>
    <t>Asfaw Zewde Hailegnaw /Ato/</t>
  </si>
  <si>
    <t>አስፋዉ ዘውዴ yይለኛዉ /አቶ/</t>
  </si>
  <si>
    <t>0911-206939</t>
  </si>
  <si>
    <t>muluye22@gmail.com</t>
  </si>
  <si>
    <t>2566</t>
  </si>
  <si>
    <t>አስፋው ዘዉዴ  yይለኛዉ /አቶ/</t>
  </si>
  <si>
    <t>soilarasfaw@gmail.com</t>
  </si>
  <si>
    <t>2567</t>
  </si>
  <si>
    <t>Asfawu Wolidemariam Cherie /Ato/</t>
  </si>
  <si>
    <t>አስፋው ወ/ማሪያም ቸሬ /አቶ/</t>
  </si>
  <si>
    <t>0924-870295</t>
  </si>
  <si>
    <t>2568</t>
  </si>
  <si>
    <t>Asha Amano Gemeda /Ato/</t>
  </si>
  <si>
    <t>አሻ አማኖ ደመዳ /አቶ/</t>
  </si>
  <si>
    <t>2569</t>
  </si>
  <si>
    <t>Asha Chaleabo Chakiso /Ato/</t>
  </si>
  <si>
    <t>አሻ ጫሌአቦ ጫኪሶ /አቶ/</t>
  </si>
  <si>
    <t>2570</t>
  </si>
  <si>
    <t>Ashabir Dea/Ato/</t>
  </si>
  <si>
    <t>አሸብር ደአ /አቶ/</t>
  </si>
  <si>
    <t>2571</t>
  </si>
  <si>
    <t>Ashae Agegne /Ato/</t>
  </si>
  <si>
    <t>አሸ አጌኝ /አቶ/</t>
  </si>
  <si>
    <t>2572</t>
  </si>
  <si>
    <t>Ashager Alemneh  Engeda /Ato/</t>
  </si>
  <si>
    <t>አሻገር አለምነህ እንግዳ /አቶ/</t>
  </si>
  <si>
    <t>0963-751663</t>
  </si>
  <si>
    <t>2573</t>
  </si>
  <si>
    <t>Ashagera Deriso Tega /Ato/</t>
  </si>
  <si>
    <t>አሻግሬ ደርሶ ፀጋ /አቶ/</t>
  </si>
  <si>
    <t>2574</t>
  </si>
  <si>
    <t>Ashagera Getaneh Baye / Ato/</t>
  </si>
  <si>
    <t>አሻግሬ ጌታነህ ባየ /አቶ/</t>
  </si>
  <si>
    <t>2575</t>
  </si>
  <si>
    <t>Ashagere Geremew Teruyr /Ato/</t>
  </si>
  <si>
    <t>አሻግሬ ገረመው ቱሩየ /አቶ/</t>
  </si>
  <si>
    <t>2576</t>
  </si>
  <si>
    <t>Ashagere Niguse Belay /Ato/</t>
  </si>
  <si>
    <t>አሻገረ ንጉሴ በላይ /አቶ/</t>
  </si>
  <si>
    <t>2577</t>
  </si>
  <si>
    <t>Ashagire Ashenafi (Ato)</t>
  </si>
  <si>
    <t>አሻግሬ አሸናፊ /አቶ/</t>
  </si>
  <si>
    <t>0916599848</t>
  </si>
  <si>
    <t>2578</t>
  </si>
  <si>
    <t>Ashagire Beyene Mananie /Ato/</t>
  </si>
  <si>
    <t>አሻግሬ በየኔ ማጋኔ /አቶ/</t>
  </si>
  <si>
    <t>0923-461408</t>
  </si>
  <si>
    <t>2579</t>
  </si>
  <si>
    <t>Ashagire Estifanos Haile /Kes/</t>
  </si>
  <si>
    <t>አሻግሬ እስጢፋኖስ ሀይሌ /ቄስ/</t>
  </si>
  <si>
    <t>2580</t>
  </si>
  <si>
    <t>Ashagire Kebed /Ato/</t>
  </si>
  <si>
    <t>አሻግሬ ከበደ /አቶ/</t>
  </si>
  <si>
    <t>2581</t>
  </si>
  <si>
    <t>Ashagire Muma /Ato/</t>
  </si>
  <si>
    <t>አሻግሬ ሙማ /አቶ/</t>
  </si>
  <si>
    <t>2582</t>
  </si>
  <si>
    <t>Ashagire Tefera Behailu /Ato/</t>
  </si>
  <si>
    <t>አሻግሬ ተፈራ በሀይሉ /አቶ/</t>
  </si>
  <si>
    <t>2583</t>
  </si>
  <si>
    <t>Ashagre Bitew Abetie/Ato/</t>
  </si>
  <si>
    <t>አሻግሬ ቢተው አብቴ /አቶ/</t>
  </si>
  <si>
    <t>2584</t>
  </si>
  <si>
    <t>Ashagre Kochito Ambi /Ato/</t>
  </si>
  <si>
    <t>አሻግሬ ቆጭቶ አምቢ /አቶ/</t>
  </si>
  <si>
    <t>2585</t>
  </si>
  <si>
    <t>Ashagre Munach Lijalem /Ato/</t>
  </si>
  <si>
    <t>አሻግሬ ሙናች ልጃለም    /አቶ/</t>
  </si>
  <si>
    <t>0989051739</t>
  </si>
  <si>
    <t>2586</t>
  </si>
  <si>
    <t>Ashagre Tesfaye Zenebe /Ato/</t>
  </si>
  <si>
    <t>አሻግሬ ተስፋዬ ዘነበ /አቶ/</t>
  </si>
  <si>
    <t>2587</t>
  </si>
  <si>
    <t>Ashagre W/Mariyame Ulbado /Ato/</t>
  </si>
  <si>
    <t>አሻግሬ ወ/ማሪያም ኡልባዶ /አቶ/</t>
  </si>
  <si>
    <t>2588</t>
  </si>
  <si>
    <t>Ashagre Wagaw /Ato/</t>
  </si>
  <si>
    <t>አሻግሬ ዋጋው /አቶ/</t>
  </si>
  <si>
    <t>2589</t>
  </si>
  <si>
    <t>Ashagrie Adane Ereta /Ato/</t>
  </si>
  <si>
    <t>አሻግሬ አዳነ ኤሬታ /አቶ/</t>
  </si>
  <si>
    <t>2590</t>
  </si>
  <si>
    <t>Ashagrie Denekew Daseta /Ato/</t>
  </si>
  <si>
    <t>አሻግሬ ደነቀወ ዳሥታ /አቶ/</t>
  </si>
  <si>
    <t>0925-484193</t>
  </si>
  <si>
    <t>2591</t>
  </si>
  <si>
    <t>Ashagrie Tilahun /Ato/</t>
  </si>
  <si>
    <t>አሻግሬ ጥላሁን /አቶ/</t>
  </si>
  <si>
    <t>2592</t>
  </si>
  <si>
    <t>Ashako Anjulo Adulo /Ato/</t>
  </si>
  <si>
    <t>አሻኩ አንጁሎ አዱሎ /አቶ/</t>
  </si>
  <si>
    <t>2593</t>
  </si>
  <si>
    <t>Ashanke Tura Bate /W/O/</t>
  </si>
  <si>
    <t>አስናቄ ቱራ ባቴ /ወ/ሮ/</t>
  </si>
  <si>
    <t>2594</t>
  </si>
  <si>
    <t>Ashber Kebede Etana /Ato/</t>
  </si>
  <si>
    <t>አሸብር ከበደ ኢታና /አቶ/</t>
  </si>
  <si>
    <t>0911-159147
240-421-6258</t>
  </si>
  <si>
    <t>2595</t>
  </si>
  <si>
    <t>Ashe Amogn Mekonen /Ato/</t>
  </si>
  <si>
    <t>አሼ አሞኝ መኮንን /አቶ/</t>
  </si>
  <si>
    <t>2596</t>
  </si>
  <si>
    <t>2597</t>
  </si>
  <si>
    <t>Asheber Teshome Biyaregelgn /Ato/</t>
  </si>
  <si>
    <t>አሸብር ተሾመ ቢያርግልኝ/አቶ/</t>
  </si>
  <si>
    <t>2598</t>
  </si>
  <si>
    <t>Ashebir Abreham Mena /Ato/</t>
  </si>
  <si>
    <t>አሸብር አብርሃም መና /አቶ/</t>
  </si>
  <si>
    <t>0910-462407</t>
  </si>
  <si>
    <t>2599</t>
  </si>
  <si>
    <t>Ashebir Alelgne Taye /Ato/</t>
  </si>
  <si>
    <t>አሸብር አለልኝ ታየ /አቶ/</t>
  </si>
  <si>
    <t>2600</t>
  </si>
  <si>
    <t>Ashebir Alemu Mitika /Ato/</t>
  </si>
  <si>
    <t>አሸበር አለሙ ምትኩ /አቶ/</t>
  </si>
  <si>
    <t>0986-050147</t>
  </si>
  <si>
    <t>2601</t>
  </si>
  <si>
    <t>Ashebir Birhan Mengistu /Ato/</t>
  </si>
  <si>
    <t>አሸብር ብርሀን መንግስቱ /አቶ/</t>
  </si>
  <si>
    <t>2602</t>
  </si>
  <si>
    <t>Ashebir Desalegn Agajhe /Ato/</t>
  </si>
  <si>
    <t>አሸብር ደሣለኝ አጋዤ /አቶ/</t>
  </si>
  <si>
    <t>0911-133440</t>
  </si>
  <si>
    <t>samjointernational2@gmail.com</t>
  </si>
  <si>
    <t>2603</t>
  </si>
  <si>
    <t>Ashebir Endale Birhan /Ato/</t>
  </si>
  <si>
    <t>አሸብር እንዳለ ብርሃን /አቶ/</t>
  </si>
  <si>
    <t>2604</t>
  </si>
  <si>
    <t>Ashebir Kebede Etana /Ato/</t>
  </si>
  <si>
    <t>0912-050647/0912-791774</t>
  </si>
  <si>
    <t>2605</t>
  </si>
  <si>
    <t>Ashebir Kefyalew Amibaw /Ato/</t>
  </si>
  <si>
    <t>አሸብር ከፍያለው አምባው /አቶ/</t>
  </si>
  <si>
    <t>2606</t>
  </si>
  <si>
    <t>Ashebir Megra Bedada /Ato/</t>
  </si>
  <si>
    <t>አሸብር መገራ በዳዳ /አቶ/</t>
  </si>
  <si>
    <t>2607</t>
  </si>
  <si>
    <t>Ashebir Meskele Blate /Ato/</t>
  </si>
  <si>
    <t>አሸብር መስቀሌ /አቶ</t>
  </si>
  <si>
    <t>2608</t>
  </si>
  <si>
    <t>Ashebir Sisay /Ato/</t>
  </si>
  <si>
    <t>አሸብር ሲሳይ /አቶ/</t>
  </si>
  <si>
    <t>0913-109463</t>
  </si>
  <si>
    <t>2609</t>
  </si>
  <si>
    <t>2610</t>
  </si>
  <si>
    <t>Ashebir Tibeb Aerta /Ato/</t>
  </si>
  <si>
    <t>አሸበር ጥበብ እረታ /አቶ/</t>
  </si>
  <si>
    <t>2611</t>
  </si>
  <si>
    <t>Ashebr Alemu Aychew /Ato/</t>
  </si>
  <si>
    <t>አሸብር አለሙ አይቸው /አቶ/</t>
  </si>
  <si>
    <t>0931-860113</t>
  </si>
  <si>
    <t>2612</t>
  </si>
  <si>
    <t>Ashebr Alenga Jote /Ato/</t>
  </si>
  <si>
    <t>አሸብር አላንጋ ጀቴ  /አቶ/</t>
  </si>
  <si>
    <t>2613</t>
  </si>
  <si>
    <t>Ashebr Mitiku Adisu /Ato/</t>
  </si>
  <si>
    <t>አሸብር ምትኩ አዲሱ /አቶ</t>
  </si>
  <si>
    <t>2614</t>
  </si>
  <si>
    <t>Ashegerie Ayele Atumo /Ato/</t>
  </si>
  <si>
    <t>አሸገሪ አየለ አቱሞ /አቶ/</t>
  </si>
  <si>
    <t>2615</t>
  </si>
  <si>
    <t>Asheko Botore Boledie /Ato/</t>
  </si>
  <si>
    <t>አሸኮ ቦቶሬ ቦሌዲ /አቶ/</t>
  </si>
  <si>
    <t>2616</t>
  </si>
  <si>
    <t>Ashenaf Tona Kerosa /Ato/</t>
  </si>
  <si>
    <t>አሸናፊ ቶና ከሮሳ /አቶ/</t>
  </si>
  <si>
    <t>2617</t>
  </si>
  <si>
    <t>Ashenafi Abebe G/silassie /Ato/</t>
  </si>
  <si>
    <t>አሸናፊ አበበ ገ/ሥላሴ /አቶ/</t>
  </si>
  <si>
    <t>2618</t>
  </si>
  <si>
    <t>2619</t>
  </si>
  <si>
    <t>Ashenafi Abera  /Ato/ And/or Biruktyt Asfaw  /W/o/</t>
  </si>
  <si>
    <t>አሸናፊ አበራ /አቶ/ እና/ወይም ብሩክታይት አስፋዉ /ወ/ሮ/</t>
  </si>
  <si>
    <t>0911-256440/0911-482221</t>
  </si>
  <si>
    <t>2620</t>
  </si>
  <si>
    <t>Ashenafi Abesha Kosha /Ato/</t>
  </si>
  <si>
    <t>አሸናፊ አበሻ ኮሻ /አቶ/</t>
  </si>
  <si>
    <t>0923-366436</t>
  </si>
  <si>
    <t>mestawotkebede16@gmail.com</t>
  </si>
  <si>
    <t>2621</t>
  </si>
  <si>
    <t>Ashenafi Adela /Ato/</t>
  </si>
  <si>
    <t>አሸናፊ አደላ /አቶ/</t>
  </si>
  <si>
    <t>2622</t>
  </si>
  <si>
    <t>Ashenafi Ademasu Tsega /Ato/</t>
  </si>
  <si>
    <t>አሸናፊ አደማሱ ጸጋ /አቶ/</t>
  </si>
  <si>
    <t>2623</t>
  </si>
  <si>
    <t>Ashenafi Aklilu Belay /Ato/</t>
  </si>
  <si>
    <t>አሸናፊ አክሊሉ በላይ /አቶ/</t>
  </si>
  <si>
    <t>2624</t>
  </si>
  <si>
    <t>Ashenafi Alemayehu /Ato/</t>
  </si>
  <si>
    <t>አሸናፊ አለማየሁ /አቶ/</t>
  </si>
  <si>
    <t>0977-307794</t>
  </si>
  <si>
    <t>2625</t>
  </si>
  <si>
    <t>Ashenafi Alemayehu Kewy /Ato/</t>
  </si>
  <si>
    <t>አሸናፊ አለማየሁ ቀውይ /አቶ/</t>
  </si>
  <si>
    <t>0924-542505</t>
  </si>
  <si>
    <t>ashenafi026@gmail.com</t>
  </si>
  <si>
    <t>2626</t>
  </si>
  <si>
    <t>2627</t>
  </si>
  <si>
    <t>Ashenafi Andualem Dibasu  /Ato/</t>
  </si>
  <si>
    <t xml:space="preserve">አሸናፊ አንዱዓለም ዲባሱ /አቶ/ </t>
  </si>
  <si>
    <t>2628</t>
  </si>
  <si>
    <t>Ashenafi Asale Ergadi /Ato/</t>
  </si>
  <si>
    <t>አሸናፊ አሳሌ ኤርጋዲ /አቶ/</t>
  </si>
  <si>
    <t>2629</t>
  </si>
  <si>
    <t>Ashenafi Asnake Gebre /Ato/</t>
  </si>
  <si>
    <t>አሸናፊ  አስናቀ ገብሬ /አቶ/</t>
  </si>
  <si>
    <t>2630</t>
  </si>
  <si>
    <t>Ashenafi Ataro /Ato/</t>
  </si>
  <si>
    <t>አሸናፊ አታሮ /አቶ/</t>
  </si>
  <si>
    <t>0909-731418</t>
  </si>
  <si>
    <t>2631</t>
  </si>
  <si>
    <t>Ashenafi Ayele Hareka /Ato/</t>
  </si>
  <si>
    <t>አሸናፊ አየለ ሀረቃ /አቶ/</t>
  </si>
  <si>
    <t>2632</t>
  </si>
  <si>
    <t>Ashenafi Aynate Adane /Ato/</t>
  </si>
  <si>
    <t>አሸናፊ አየናቴ አዳነ /አቶ/</t>
  </si>
  <si>
    <t>2633</t>
  </si>
  <si>
    <t>አሸናፊ አይናቴ አዳነ /አቶ</t>
  </si>
  <si>
    <t>0989-989924</t>
  </si>
  <si>
    <t>Shiferawhirut@yahoo.com</t>
  </si>
  <si>
    <t>2634</t>
  </si>
  <si>
    <t>Ashenafi Baleta /Ato/</t>
  </si>
  <si>
    <t>አሸናፊ ባለታ /አቶ/</t>
  </si>
  <si>
    <t>2635</t>
  </si>
  <si>
    <t>Ashenafi Bereket H/giorgis /Ato/ For Azariah Ashenafi /Minor/</t>
  </si>
  <si>
    <t>አሸናፊ በረከት/አቶ/ ለአዛርያ አሸናፊ /ህፃን/</t>
  </si>
  <si>
    <t>2636</t>
  </si>
  <si>
    <t>Ashenafi Berhanu Mola /Ato/</t>
  </si>
  <si>
    <t>አሸናፊ ብርሃኑ ሞላ /አቶ/</t>
  </si>
  <si>
    <t>0929-041653</t>
  </si>
  <si>
    <t>2637</t>
  </si>
  <si>
    <t>2638</t>
  </si>
  <si>
    <t>Ashenafi Borga Argaw /Ato/</t>
  </si>
  <si>
    <t>አሸናፊ ቦርጋ አርጋዉ /አቶ/</t>
  </si>
  <si>
    <t>0942-539743</t>
  </si>
  <si>
    <t>2639</t>
  </si>
  <si>
    <t>Ashenafi Demisu Belhu /Ato/</t>
  </si>
  <si>
    <t>አሸናፊ ድምሱ ብልሁ /አቶ/</t>
  </si>
  <si>
    <t>0910-935928</t>
  </si>
  <si>
    <t>2640</t>
  </si>
  <si>
    <t>Ashenafi Feleke Alemu /Ato/</t>
  </si>
  <si>
    <t>አሸናፊ ፈለቀ አለሙ /አቶ/</t>
  </si>
  <si>
    <t>2641</t>
  </si>
  <si>
    <t>Ashenafi G/Yohannes /Ato/ and/or Emnesh Gebeyhu /W/o/</t>
  </si>
  <si>
    <t>አሸናፊ ገ/ዮሐንስ /አቶ/ እና/ወይም እምነሽ ገበየሁ /ወ/ሮ/</t>
  </si>
  <si>
    <t>0923-808569</t>
  </si>
  <si>
    <t>2642</t>
  </si>
  <si>
    <t>Ashenafi G/Yohannes Kassa /Ato/</t>
  </si>
  <si>
    <t>አሸናፊ ገ/ዮሐንስ ካሳ /አቶ/</t>
  </si>
  <si>
    <t>0911-038209</t>
  </si>
  <si>
    <t>gebeyehu.abebe@yahoo.com</t>
  </si>
  <si>
    <t>2643</t>
  </si>
  <si>
    <t xml:space="preserve">Ashenafi G/Yohannes Kassa /Ato/ </t>
  </si>
  <si>
    <t>አሸናፊ ገ/Äሐንስ ካሳ /አቶ/</t>
  </si>
  <si>
    <t>4369911060370/
0911-038209</t>
  </si>
  <si>
    <t>2644</t>
  </si>
  <si>
    <t>Ashenafi Gebre Nurga /Ato/</t>
  </si>
  <si>
    <t>አሸናፊ ገብሬ ኑርጋ /አቶ/</t>
  </si>
  <si>
    <t>0922-787739</t>
  </si>
  <si>
    <t>2645</t>
  </si>
  <si>
    <t>Ashenafi Getachew Lemma /Ato/</t>
  </si>
  <si>
    <t>አሸናፊ ጌታቸው ለማ /አቶ/</t>
  </si>
  <si>
    <t>2646</t>
  </si>
  <si>
    <t>Ashenafi Goraw Habteyes /Ato/</t>
  </si>
  <si>
    <t>አሸናፊ ጎራው ሀብተየስ /አቶ/</t>
  </si>
  <si>
    <t>0953-999599</t>
  </si>
  <si>
    <t>2647</t>
  </si>
  <si>
    <t>Ashenafi Gujo Bureketo /Ato/</t>
  </si>
  <si>
    <t>አሸናፊ ጉጆ ቡርቅቶ /አቶ/</t>
  </si>
  <si>
    <t>0916-150015</t>
  </si>
  <si>
    <t>2648</t>
  </si>
  <si>
    <t>Ashenafi Habteyes /Ato/</t>
  </si>
  <si>
    <t>አሸናፊ ሀብተየስ /አቶ/</t>
  </si>
  <si>
    <t>ashenafi1978@yahoo.com</t>
  </si>
  <si>
    <t>2649</t>
  </si>
  <si>
    <t>Ashenafi Hailu Bereded /Ato/</t>
  </si>
  <si>
    <t>አሸናፊ ሀይሉ በረደድ /አቶ/</t>
  </si>
  <si>
    <t>0911-572599</t>
  </si>
  <si>
    <t>ashenafih5@gmail.com</t>
  </si>
  <si>
    <t>2650</t>
  </si>
  <si>
    <t>Ashenafi Kalcha Kara /Ato/</t>
  </si>
  <si>
    <t>አሸናፊ ግልቻ ካራ /አቶ/</t>
  </si>
  <si>
    <t>2651</t>
  </si>
  <si>
    <t>Ashenafi Karfato Karsa /Ato/</t>
  </si>
  <si>
    <t>አሸናፊ ቃርፋቶ ካርሳ /አቶ/</t>
  </si>
  <si>
    <t>0916-021159</t>
  </si>
  <si>
    <t>2652</t>
  </si>
  <si>
    <t>Ashenafi Kayamo /Ato/</t>
  </si>
  <si>
    <t>አሸናፊ ካያሞ /አቶ/</t>
  </si>
  <si>
    <t>2653</t>
  </si>
  <si>
    <t>Ashenafi Kebede W/Mariam /Ato/</t>
  </si>
  <si>
    <t>አሸናፊ ከበደ ወ/ማርያም /አቶ/</t>
  </si>
  <si>
    <t>0910-615662</t>
  </si>
  <si>
    <t>2654</t>
  </si>
  <si>
    <t>Ashenafi Kifle Desta /Ato/</t>
  </si>
  <si>
    <t>አሸናፊ ክፍሌ ደስታ /አቶ/</t>
  </si>
  <si>
    <t>0919-183555</t>
  </si>
  <si>
    <t>2655</t>
  </si>
  <si>
    <t>Ashenafi Ledamo Kuba /Ato/</t>
  </si>
  <si>
    <t>አሸናፊ ለዳሞ ኩባ /አቶ/</t>
  </si>
  <si>
    <t>0916-412413</t>
  </si>
  <si>
    <t>2656</t>
  </si>
  <si>
    <t>Ashenafi Mele Mune /Ato/</t>
  </si>
  <si>
    <t>አሸናፊ መሌ ሙኔ /አቶ/</t>
  </si>
  <si>
    <t>2657</t>
  </si>
  <si>
    <t>2658</t>
  </si>
  <si>
    <t>Ashenafi Melkamu Demeke /Ato/</t>
  </si>
  <si>
    <t>አሸናፊ መልካሙ ደመቀ /አቶ/</t>
  </si>
  <si>
    <t>0966-724900</t>
  </si>
  <si>
    <t>2659</t>
  </si>
  <si>
    <t>Ashenafi Mersha /Ato/ For Dagmawi Ashenafi /Minor/</t>
  </si>
  <si>
    <t>አሸናፊ መርሻ /አቶ/ ለዳግማዊ አሸናፊ /ህፃን/</t>
  </si>
  <si>
    <t>0911-937203</t>
  </si>
  <si>
    <t>2660</t>
  </si>
  <si>
    <t>Ashenafi Mesekele Sarato /Ato/</t>
  </si>
  <si>
    <t>አሸናፊ መስቀለ ሳራቶ /አቶ/</t>
  </si>
  <si>
    <t>2661</t>
  </si>
  <si>
    <t>Ashenafi Sefew /Ato/</t>
  </si>
  <si>
    <t>አሸናፊ ሰፊው /አቶ/</t>
  </si>
  <si>
    <t>720-338-7860</t>
  </si>
  <si>
    <t>2662</t>
  </si>
  <si>
    <t>Ashenafi Shote /Ato/</t>
  </si>
  <si>
    <t>አሸናፊ ሾጤ /አቶ/</t>
  </si>
  <si>
    <t>2663</t>
  </si>
  <si>
    <t>Ashenafi Sitotaw Biyamesh /Ato/</t>
  </si>
  <si>
    <t>አሸናፊ ስጦታው ቢያመሽ /አቶ/</t>
  </si>
  <si>
    <t>2664</t>
  </si>
  <si>
    <t>Ashenafi Tefera Hunkie /Ato/</t>
  </si>
  <si>
    <t>አሸናፊ ተፈራ ሁንቄ /አቶ/</t>
  </si>
  <si>
    <t>0910-623214</t>
  </si>
  <si>
    <t>2665</t>
  </si>
  <si>
    <t>Ashenafi Temesgen tekle/Ato/</t>
  </si>
  <si>
    <t>አሸናፊ ተመስገን ተክሌ/አቶ/</t>
  </si>
  <si>
    <t>2666</t>
  </si>
  <si>
    <t>Ashenafi Tesfaye Debela /Ato/</t>
  </si>
  <si>
    <t>አሸናፊ ተስፋዬ ደበላ /አቶ/</t>
  </si>
  <si>
    <t>2667</t>
  </si>
  <si>
    <t>Ashenafi Teshome Haile /Ato/</t>
  </si>
  <si>
    <t>አሸናፊ ተሾመ ሀይሌ /አቶ/</t>
  </si>
  <si>
    <t>2668</t>
  </si>
  <si>
    <t>Ashenafi W/gebreal Woldu /Ato/</t>
  </si>
  <si>
    <t>አሸናፊ ወ/ገብርኤል ወልዱ /አቶ/</t>
  </si>
  <si>
    <t>2669</t>
  </si>
  <si>
    <t>Ashenafi Wondimagegn Getahun /Ato/</t>
  </si>
  <si>
    <t>አሸናፊ ወንድምአገኝ ጌታሁን /አቶ/</t>
  </si>
  <si>
    <t>0913-718823</t>
  </si>
  <si>
    <t>mahidemisse4@gmail.com</t>
  </si>
  <si>
    <t>2670</t>
  </si>
  <si>
    <t>Ashenafi Yure  /Ato/</t>
  </si>
  <si>
    <t>አሸናፊ ቶሬ ቡኔዎ /አቶ/</t>
  </si>
  <si>
    <t>0926-129653</t>
  </si>
  <si>
    <t>2671</t>
  </si>
  <si>
    <t>Asheshaw Shife /Ato/</t>
  </si>
  <si>
    <t>አሸሸው ሸፌ /አቶ/</t>
  </si>
  <si>
    <t>0987-751098</t>
  </si>
  <si>
    <t>2672</t>
  </si>
  <si>
    <t>Asheshew Zewedie Tsegaw /Ato/</t>
  </si>
  <si>
    <t>አሸሸው ዘወዲ ጸጋው /አቶ/</t>
  </si>
  <si>
    <t>2673</t>
  </si>
  <si>
    <t>Ashore Engidew  /Ato/</t>
  </si>
  <si>
    <t>አሾሬ  እግዳው/አቶ/</t>
  </si>
  <si>
    <t>2674</t>
  </si>
  <si>
    <t>Asicale Negesse Mare /Ato/</t>
  </si>
  <si>
    <t>አስቻለ ንጉሴ ማረ /አቶ/</t>
  </si>
  <si>
    <t>2675</t>
  </si>
  <si>
    <t>Asichale Ambelu Tarkigne /Ato/</t>
  </si>
  <si>
    <t>አስቻል  አምበሉ ታርቀኝ /አቶ/</t>
  </si>
  <si>
    <t>2676</t>
  </si>
  <si>
    <t>Asichale Mihret Aytenew /Ato/</t>
  </si>
  <si>
    <t>አስቻለ ምህረት አይተነዉ /አቶ/</t>
  </si>
  <si>
    <t>2677</t>
  </si>
  <si>
    <t>Asichale Mosse Kumie /Ato/</t>
  </si>
  <si>
    <t>አስቻለ ሞሴ ቁሜ /አቶ/</t>
  </si>
  <si>
    <t>0910-302082</t>
  </si>
  <si>
    <t>2678</t>
  </si>
  <si>
    <t>Asichale Yibelte Zeleki /Ato/</t>
  </si>
  <si>
    <t>አሰቻለ ይበልጤ ዘላቀ /አቶ/</t>
  </si>
  <si>
    <t>2679</t>
  </si>
  <si>
    <t>Asiche Adal Alemu /Ato/</t>
  </si>
  <si>
    <t>አሰጨ አዳል አለሙ /አቶ/</t>
  </si>
  <si>
    <t>2680</t>
  </si>
  <si>
    <t>Asichenek Bayih Yesheta /Ato/</t>
  </si>
  <si>
    <t>አስጨነቅ ባይህ የሸታ /አቶ/</t>
  </si>
  <si>
    <t>0937-094502</t>
  </si>
  <si>
    <t>2681</t>
  </si>
  <si>
    <t>Asichenek Sharew Alemu /Ato/</t>
  </si>
  <si>
    <t>አስጨነቀ ሸረው አለሙ /አቶ/</t>
  </si>
  <si>
    <t>2682</t>
  </si>
  <si>
    <t>Asifaw Alemayew Mekonnen /Ato/</t>
  </si>
  <si>
    <t>አስፈው አለማየሁ መኮንን /አቶ/</t>
  </si>
  <si>
    <t>0908-042209</t>
  </si>
  <si>
    <t>2683</t>
  </si>
  <si>
    <t>Asifaw Amelo /Ato/</t>
  </si>
  <si>
    <t>አስፋወ አመሎ /አቶ/</t>
  </si>
  <si>
    <t>2684</t>
  </si>
  <si>
    <t>Asifaw Gesit /Ato/</t>
  </si>
  <si>
    <t>አሲፋው ገሲት /አቶ/</t>
  </si>
  <si>
    <t>0921-130501</t>
  </si>
  <si>
    <t>2685</t>
  </si>
  <si>
    <t>Asifaw Sitotaw  Enkuahun /Ato/</t>
  </si>
  <si>
    <t>አሰፋው ሰጦታው እንኳሁን /አቶ/</t>
  </si>
  <si>
    <t>2686</t>
  </si>
  <si>
    <t>Asige Alito /Ato/</t>
  </si>
  <si>
    <t>አሲገ አሊቶ /አቶ/</t>
  </si>
  <si>
    <t>0969-741832</t>
  </si>
  <si>
    <t>2687</t>
  </si>
  <si>
    <t>Asikenaw Enyew Mutie /Ato/</t>
  </si>
  <si>
    <t>አሰቀነው እንየው ሙጤ /አቶ/</t>
  </si>
  <si>
    <t>2688</t>
  </si>
  <si>
    <t>Asim Manaye Dere /Ato/</t>
  </si>
  <si>
    <t>አስም ማናየ ደሬ /አቶ/</t>
  </si>
  <si>
    <t>2689</t>
  </si>
  <si>
    <t>Asimamaw Abirham /Ato/</t>
  </si>
  <si>
    <t xml:space="preserve">አሰማማው አብርሐም /አቶ/ </t>
  </si>
  <si>
    <t>0911-068248</t>
  </si>
  <si>
    <t>2690</t>
  </si>
  <si>
    <t>Asimamaw Amare Tades /Ato/</t>
  </si>
  <si>
    <t>አሰማመው አማረ ታደስ /አቶ/</t>
  </si>
  <si>
    <t>2691</t>
  </si>
  <si>
    <t>Asimamaw Getie Alemeneh /Ato/</t>
  </si>
  <si>
    <t>አስማማው ጌቴ አላምነህ /አቶ/</t>
  </si>
  <si>
    <t>0918-472797</t>
  </si>
  <si>
    <t>2692</t>
  </si>
  <si>
    <t>Asimamaw Hunegnaw Tamen /Ato/</t>
  </si>
  <si>
    <t>አስማማው ሁናቸው ታመነ /አቶ/</t>
  </si>
  <si>
    <t>0903-141589</t>
  </si>
  <si>
    <t>2693</t>
  </si>
  <si>
    <t>Asimamew Alelegn Ayelewe /Ato/</t>
  </si>
  <si>
    <t>አሰማማው አለልኝ አያሌው /አቶ/</t>
  </si>
  <si>
    <t>2694</t>
  </si>
  <si>
    <t>Asimare Bayilie Tamerat /Ato/</t>
  </si>
  <si>
    <t>አሰማረ ባይሌ ታምራት /አቶ/</t>
  </si>
  <si>
    <t>0932-833291</t>
  </si>
  <si>
    <t>2695</t>
  </si>
  <si>
    <t>Asimare Gelaw Belew /Ato/</t>
  </si>
  <si>
    <t>አስማረ ገላው በለው /አቶ/</t>
  </si>
  <si>
    <t>2696</t>
  </si>
  <si>
    <t>Asimare Getnet Yihune /Ato/</t>
  </si>
  <si>
    <t>አስማረ ጌትነት ይሁኔ /አቶ/</t>
  </si>
  <si>
    <t>0931-888412</t>
  </si>
  <si>
    <t>2697</t>
  </si>
  <si>
    <t>Asimare Giza Mule /Ato/</t>
  </si>
  <si>
    <t>አስማር ግዛ ሙሌ /አቶ/</t>
  </si>
  <si>
    <t>2698</t>
  </si>
  <si>
    <t>Asimare Melke /Ato/</t>
  </si>
  <si>
    <t>አሰማረ መልኬ /አቶ/</t>
  </si>
  <si>
    <t>2699</t>
  </si>
  <si>
    <t>Asimare Yirsie Nigusie /Ato/</t>
  </si>
  <si>
    <t>አስማር ይርሴ ንጉሴ /አቶ/</t>
  </si>
  <si>
    <t>2700</t>
  </si>
  <si>
    <t>Asimera Geta Genbero /Ato/</t>
  </si>
  <si>
    <t>አስመራ ጌታ ገንበሮ /አቶ/</t>
  </si>
  <si>
    <t>2701</t>
  </si>
  <si>
    <t>Asinake Ayenew Damtie /Ato/</t>
  </si>
  <si>
    <t>አሰናቀ አየነዉ ዳምጤ /አቶ/</t>
  </si>
  <si>
    <t>2702</t>
  </si>
  <si>
    <t>Asinake Demis Ayelew /Ato/</t>
  </si>
  <si>
    <t>አሰናቀ ደምስ አያሌው /አቶ/</t>
  </si>
  <si>
    <t>2703</t>
  </si>
  <si>
    <t>Asinake Endale Anija /Ato/</t>
  </si>
  <si>
    <t>አሰናቀ እንዳለ አንጃ /አቶ/</t>
  </si>
  <si>
    <t>2704</t>
  </si>
  <si>
    <t>Asinakeche Dubale Deba /W/o/</t>
  </si>
  <si>
    <t>አሰናቀች ዱባሌ ደባ /ወ/ሮ/</t>
  </si>
  <si>
    <t>2705</t>
  </si>
  <si>
    <t>Asinakew Amisalu Tefari /Ato/</t>
  </si>
  <si>
    <t>አስናው አምሳሉ ተፋሪ /አቶ/</t>
  </si>
  <si>
    <t>2706</t>
  </si>
  <si>
    <t>Asinakew Teka Wolde /Ato/</t>
  </si>
  <si>
    <t>አስናቀው ተካ ወልድ /አቶ/</t>
  </si>
  <si>
    <t>2707</t>
  </si>
  <si>
    <t>Asino Adisu Kejere /Ato/</t>
  </si>
  <si>
    <t>አስኖ አድሱ ከጅሬ /አቶ/</t>
  </si>
  <si>
    <t>0936-174603</t>
  </si>
  <si>
    <t>2708</t>
  </si>
  <si>
    <t>Asirar Aliyi Hamid /Ato/</t>
  </si>
  <si>
    <t>አሲራር አሊይ ሀሚድ /አቶ/</t>
  </si>
  <si>
    <t>2709</t>
  </si>
  <si>
    <t xml:space="preserve">Asirat Churga /Ato/ </t>
  </si>
  <si>
    <t>አስራት ጨርጋ /አቶ/</t>
  </si>
  <si>
    <t>2710</t>
  </si>
  <si>
    <t>Asirat Siyum Mekuria /W/o/ and/or Tamiru Tesfaye W/hana /Ato/</t>
  </si>
  <si>
    <t>አስራት ስዩም መኩሪያ /ወ/ሮ/ እና/ወይም ታምሩ ተስፋዬ ወ/ሀና /አቶ/</t>
  </si>
  <si>
    <t>0911-666662
0911-381607</t>
  </si>
  <si>
    <t>excelsourcingplc@gmail.com</t>
  </si>
  <si>
    <t>2711</t>
  </si>
  <si>
    <t>Asiratu Liku /Ato/</t>
  </si>
  <si>
    <t>አሰራቱ ሊቁ  /አቶ/</t>
  </si>
  <si>
    <t>2712</t>
  </si>
  <si>
    <t>Asiratu Zeru Alemawe /Ato/</t>
  </si>
  <si>
    <t xml:space="preserve">አሥራቱ ዘሩ አልማው /አቶ/ </t>
  </si>
  <si>
    <t>2713</t>
  </si>
  <si>
    <t>Asire Amite Mekonnen /Ato/</t>
  </si>
  <si>
    <t>አሰሬ አምጤ መኮንን /አቶ/</t>
  </si>
  <si>
    <t>2714</t>
  </si>
  <si>
    <t>Asire Andarge Areki /Ato/</t>
  </si>
  <si>
    <t>አሰሬ አንደርጌ አረቄ /አቶ/</t>
  </si>
  <si>
    <t>2715</t>
  </si>
  <si>
    <t>Asire Jembere Ayenalem /Ato/</t>
  </si>
  <si>
    <t>አሰሬ ጀምበሬ አይናለም /አቶ/</t>
  </si>
  <si>
    <t>2716</t>
  </si>
  <si>
    <t>Asire Mengiste Fenta /Ato/</t>
  </si>
  <si>
    <t>አስሬ መንግሰቴ ፈንታ /አቶ/</t>
  </si>
  <si>
    <t>2717</t>
  </si>
  <si>
    <t>Asires Ayele /Ato/</t>
  </si>
  <si>
    <t>አስረስ አየለ /አቶ/</t>
  </si>
  <si>
    <t>2718</t>
  </si>
  <si>
    <t>Asires Ayenachew Zeyed /Ato/</t>
  </si>
  <si>
    <t>አሰረሰ አየናቸው ዘየደ /አቶ/</t>
  </si>
  <si>
    <t>2719</t>
  </si>
  <si>
    <t>Asires Beleyineh Hailu /Ato/</t>
  </si>
  <si>
    <t>አሰረሰ በላይነህ ሀይሉ /አቶ/</t>
  </si>
  <si>
    <t>2720</t>
  </si>
  <si>
    <t>Asires Mekonen Lakew /Ato/</t>
  </si>
  <si>
    <t>አስረስ መኮንን ላቀው /አቶ/</t>
  </si>
  <si>
    <t>2721</t>
  </si>
  <si>
    <t>Asires Mohammed Tesema /Ato/</t>
  </si>
  <si>
    <t>አስረስ ሙሀመድ ተሰማ /አቶ/</t>
  </si>
  <si>
    <t>2722</t>
  </si>
  <si>
    <t>Asirie Lulie Nigatu /Ato/</t>
  </si>
  <si>
    <t>አስሬ ሉሌ ንጋቱ /አቶ/</t>
  </si>
  <si>
    <t>2723</t>
  </si>
  <si>
    <t>Asiter Dawit /W/O/</t>
  </si>
  <si>
    <t>አስተር ዳዊት /ወ/ሮ/</t>
  </si>
  <si>
    <t>2724</t>
  </si>
  <si>
    <t>Asiter Mekonnen Fatie  /Ato/</t>
  </si>
  <si>
    <t>አስቴር መኮነን ፈቴ /አቶ/</t>
  </si>
  <si>
    <t>0922-943651</t>
  </si>
  <si>
    <t>2725</t>
  </si>
  <si>
    <t>Asitu Ariga /Ato/</t>
  </si>
  <si>
    <t>አሰቱ አርጋ /አቶ/</t>
  </si>
  <si>
    <t>2726</t>
  </si>
  <si>
    <t>Asiya Basher Musa  /W/o/</t>
  </si>
  <si>
    <t>አስያ በሽር ሙሳ /ወ/ሮ/</t>
  </si>
  <si>
    <t>0912-634779</t>
  </si>
  <si>
    <t>2727</t>
  </si>
  <si>
    <t>Asiya Mohammed Yeshaw /W/o/</t>
  </si>
  <si>
    <t xml:space="preserve">አስያ መሀመድ የሻዉ /ወ/ሮ/ </t>
  </si>
  <si>
    <t>2728</t>
  </si>
  <si>
    <t>Asiya Nasir Muzemil /W/o/</t>
  </si>
  <si>
    <t>አሲያ ናስር መዘሚል /ወ/ሮ/</t>
  </si>
  <si>
    <t>2729</t>
  </si>
  <si>
    <t>2730</t>
  </si>
  <si>
    <t>Aska Bokiso /Ato/</t>
  </si>
  <si>
    <t>አሱካ ቦችሾ /አቶ/</t>
  </si>
  <si>
    <t>0939-52-03-45</t>
  </si>
  <si>
    <t>2731</t>
  </si>
  <si>
    <t>Askale Beshih W/stadik</t>
  </si>
  <si>
    <t>አስካለ በሺህ ወ/ስታዲቅ</t>
  </si>
  <si>
    <t>2732</t>
  </si>
  <si>
    <t>Askale Cheru Aboye /W/o/</t>
  </si>
  <si>
    <t>አስካለ ቸሩ አቦዬ /ወ/ሮ/</t>
  </si>
  <si>
    <t>0912-608427</t>
  </si>
  <si>
    <t>2733</t>
  </si>
  <si>
    <t>Askale Lorato /W/O/</t>
  </si>
  <si>
    <t>አሰካሌ ሎራቶ /ወ/ሮ/</t>
  </si>
  <si>
    <t>0937-806307</t>
  </si>
  <si>
    <t>2734</t>
  </si>
  <si>
    <t>Askale Nigusie W/Hawariyat /W/O/</t>
  </si>
  <si>
    <t>አስካለ ንጉሴ ወ/ሐዋሪያት /ወ/ሮ/</t>
  </si>
  <si>
    <t>0947-371334</t>
  </si>
  <si>
    <t>2735</t>
  </si>
  <si>
    <t>Askale Shdiyo Shardie /Ato/</t>
  </si>
  <si>
    <t>አስካለ ሳድዮ ሻርዴ /አቶ/</t>
  </si>
  <si>
    <t>0946-471877</t>
  </si>
  <si>
    <t>2736</t>
  </si>
  <si>
    <t>Askalech Erago Haile /W/o/</t>
  </si>
  <si>
    <t>አስካልች እራጎ ሀይሌ /ወ/ሮ/</t>
  </si>
  <si>
    <t>2737</t>
  </si>
  <si>
    <t>Askalemariam Abera Fenta /W/o/</t>
  </si>
  <si>
    <t>አስካለማርያም አበራ ፈንታ /ወ/ሮ/</t>
  </si>
  <si>
    <t>0916-993388</t>
  </si>
  <si>
    <t>2738</t>
  </si>
  <si>
    <t>Askegnew Toru /Ato/</t>
  </si>
  <si>
    <t>አስቀኛዉ ቶሩ /አቶ/</t>
  </si>
  <si>
    <t>2739</t>
  </si>
  <si>
    <t>Askere Biarge Salele /Ato/</t>
  </si>
  <si>
    <t>አሰቀረ ቢያድጌ ሳለሌ /አቶ/</t>
  </si>
  <si>
    <t>2740</t>
  </si>
  <si>
    <t>2741</t>
  </si>
  <si>
    <t>2742</t>
  </si>
  <si>
    <t>Asmamaw Adefrash Gebeyehu /Ato/</t>
  </si>
  <si>
    <t>አስማማው አደፈራሸ ገበየሁ /አቶ/</t>
  </si>
  <si>
    <t>2743</t>
  </si>
  <si>
    <t>Asmamaw Adugna Molla /Ato/</t>
  </si>
  <si>
    <t>አስማማዉ አዱኛ ሞላ /አቶ/</t>
  </si>
  <si>
    <t>2744</t>
  </si>
  <si>
    <t>Asmamaw Alem Berie /Ato/</t>
  </si>
  <si>
    <t>አሰማማው አለም በሬ /አቶ/</t>
  </si>
  <si>
    <t>0915-279010</t>
  </si>
  <si>
    <t>2745</t>
  </si>
  <si>
    <t>Asmamaw Alemu Mamo /Ato/</t>
  </si>
  <si>
    <t>አስማማው አለሙ ማሞ /አቶ/</t>
  </si>
  <si>
    <t>2746</t>
  </si>
  <si>
    <t xml:space="preserve">Asmamaw Asefa Kebede /Ato/ </t>
  </si>
  <si>
    <t>አስማማው አሰፋ ከበደ   /አቶ/</t>
  </si>
  <si>
    <t>2747</t>
  </si>
  <si>
    <t>Asmamaw Ayalew Wendachew /Ato</t>
  </si>
  <si>
    <t>አስማማው አያሌው ወንዳቸው  /አቶ/</t>
  </si>
  <si>
    <t>2748</t>
  </si>
  <si>
    <t>Asmamaw Ayele Birlie /Ato/</t>
  </si>
  <si>
    <t>አስማማው አየለ ብረሌ /አቶ/</t>
  </si>
  <si>
    <t>2749</t>
  </si>
  <si>
    <t>Asmamaw Belay Terefe /Ato/</t>
  </si>
  <si>
    <t>አስማማው በላይ ተረፈ /አቶ/</t>
  </si>
  <si>
    <t>0920-508229</t>
  </si>
  <si>
    <t>2750</t>
  </si>
  <si>
    <t>Asmamaw Beyene Kanko /Ato/</t>
  </si>
  <si>
    <t>አስማማው በየነ ካንኮ /አቶ/</t>
  </si>
  <si>
    <t>0921-562613</t>
  </si>
  <si>
    <t>2751</t>
  </si>
  <si>
    <t>Asmamaw Demisae Zegeye /Ato/</t>
  </si>
  <si>
    <t>አስማማው ድምሴ ዘገየ /አቶ/</t>
  </si>
  <si>
    <t>2752</t>
  </si>
  <si>
    <t>Asmamaw Demisse /Ato/</t>
  </si>
  <si>
    <t>አሰማመው ደምሴ /አቶ/</t>
  </si>
  <si>
    <t>2753</t>
  </si>
  <si>
    <t>Asmamaw Fikade Teruneh /Ato/</t>
  </si>
  <si>
    <t>አሰማመው ፍቃዴ ጥሩነህ /አቶ/</t>
  </si>
  <si>
    <t>2754</t>
  </si>
  <si>
    <t>Asmamaw Gebeye Ejigu /Ato/</t>
  </si>
  <si>
    <t>አስማማው ገበዬ እጅጉ /አቶ/</t>
  </si>
  <si>
    <t>2755</t>
  </si>
  <si>
    <t>Asmamaw Minbale Tegaw /Ato/</t>
  </si>
  <si>
    <t xml:space="preserve">አስማማው ምንባለ ጠጋው /አቶ/ </t>
  </si>
  <si>
    <t>2756</t>
  </si>
  <si>
    <t>Asmamaw Munaw Debalke    /Ato/</t>
  </si>
  <si>
    <t>አስማማው ሙናው ደባልቄ    /አቶ/</t>
  </si>
  <si>
    <t>2757</t>
  </si>
  <si>
    <t>Asmamaw Shelema Mijena /Ato/</t>
  </si>
  <si>
    <t>አስማማው ሽለማ ሚጀና /አቶ/</t>
  </si>
  <si>
    <t>0984-737626/0911-667976</t>
  </si>
  <si>
    <t>antsinwerq@gmail.com</t>
  </si>
  <si>
    <t>2758</t>
  </si>
  <si>
    <t>Asmamaw Zeweda Tesema / Ato/</t>
  </si>
  <si>
    <t>አስማማው ዘውዴ ተሰማ /አቶ/</t>
  </si>
  <si>
    <t>2759</t>
  </si>
  <si>
    <t>Asmamawu Mamo Adugna /Ato/</t>
  </si>
  <si>
    <t>አስማማዉ ማሞ አዱኛ /አቶ/</t>
  </si>
  <si>
    <t>2760</t>
  </si>
  <si>
    <t>Asmare Alemayehu Kebede /Ato/</t>
  </si>
  <si>
    <t>አስማር አለማየሁ ከበደ /አቶ/</t>
  </si>
  <si>
    <t>0984-145380</t>
  </si>
  <si>
    <t>2761</t>
  </si>
  <si>
    <t>Asmare Bezie Ayele /Ato/</t>
  </si>
  <si>
    <t>አስማረ በዚ አየለ /አቶ/</t>
  </si>
  <si>
    <t>2762</t>
  </si>
  <si>
    <t>Asmare Eshtie Tadesse /Ato/</t>
  </si>
  <si>
    <t>አስማረ እሸቱ ታደሰ /አቶ/</t>
  </si>
  <si>
    <t>2763</t>
  </si>
  <si>
    <t>Asmare Gedefaw /Ato/</t>
  </si>
  <si>
    <t>አስማረ ገድፋው /አቶ/</t>
  </si>
  <si>
    <t>0978-776040</t>
  </si>
  <si>
    <t>2764</t>
  </si>
  <si>
    <t>Asmare Hailu Wale /Ato/</t>
  </si>
  <si>
    <t>አስማረ ሀይሉ ዋለ /አቶ/</t>
  </si>
  <si>
    <t>2765</t>
  </si>
  <si>
    <t>Asmare Mulu /Ato/</t>
  </si>
  <si>
    <t>አስማረ ሙሉ /አቶ/</t>
  </si>
  <si>
    <t>2766</t>
  </si>
  <si>
    <t>Asmare Woindmu Zena /Ato/</t>
  </si>
  <si>
    <t>አስማረ ወንድሙ ዜና /አቶ/</t>
  </si>
  <si>
    <t>0912-246089</t>
  </si>
  <si>
    <t>2767</t>
  </si>
  <si>
    <t>2768</t>
  </si>
  <si>
    <t>Asmelash Dewiso /Ato/</t>
  </si>
  <si>
    <t>አስመላሸ ዴቢሶ /አቶ/</t>
  </si>
  <si>
    <t>0926-132593</t>
  </si>
  <si>
    <t>2769</t>
  </si>
  <si>
    <t>2770</t>
  </si>
  <si>
    <t>Asmie Asefa Tamerat /Ato/</t>
  </si>
  <si>
    <t>አስሜ አስፋ ታምራት /አቶ/</t>
  </si>
  <si>
    <t>2771</t>
  </si>
  <si>
    <t>Asmie Yegizaw Amere /Ato/</t>
  </si>
  <si>
    <t>አስሜ ይግዛው አማረ  /አቶ/</t>
  </si>
  <si>
    <t>2772</t>
  </si>
  <si>
    <t>Asmira Abay Akele /Ato/</t>
  </si>
  <si>
    <t>አስምራ አባይ አካለ /አቶ/</t>
  </si>
  <si>
    <t>2773</t>
  </si>
  <si>
    <t>Asmira Yigzaw /Ato/</t>
  </si>
  <si>
    <t>አሰምሬ ይግዛው /አቶ/</t>
  </si>
  <si>
    <t>2774</t>
  </si>
  <si>
    <t>Asmite Mesfen /Ato/</t>
  </si>
  <si>
    <t>አስማይት መስፍን /አቶ/</t>
  </si>
  <si>
    <t>0915-995768</t>
  </si>
  <si>
    <t>asmite@yahoo.com</t>
  </si>
  <si>
    <t>2775</t>
  </si>
  <si>
    <t>Asmrie Andualem Mengesha /Ato/</t>
  </si>
  <si>
    <t>አስምሬ አንዷለም መንገሻ /አቶ/</t>
  </si>
  <si>
    <t>0972-075635</t>
  </si>
  <si>
    <t>2776</t>
  </si>
  <si>
    <t>Asmrie Minalu Bekele /Ato/</t>
  </si>
  <si>
    <t>አስምሬ ምናሉ በቀለ/አቶ/</t>
  </si>
  <si>
    <t>2777</t>
  </si>
  <si>
    <t>Asnake Abtie Ante</t>
  </si>
  <si>
    <t>አስናቀ አብጤ አንተ /አቶ/</t>
  </si>
  <si>
    <t>2778</t>
  </si>
  <si>
    <t>Asnake Adefris Belyneh (Ato)</t>
  </si>
  <si>
    <t>አስናቀ አደፍሪስ በላይነሀ /አቶ/</t>
  </si>
  <si>
    <t>965257862</t>
  </si>
  <si>
    <t>2779</t>
  </si>
  <si>
    <t>Asnake Agunie Yirga /Dr/</t>
  </si>
  <si>
    <t>አስናቀ አጉኔ ይርጋ /ዶ/ር/</t>
  </si>
  <si>
    <t>0985-205436</t>
  </si>
  <si>
    <t>2780</t>
  </si>
  <si>
    <t>Asnake Alemayehu Derebe /Ato/</t>
  </si>
  <si>
    <t>አስናቀ አለማየሁ ደርቤ /አቶ/</t>
  </si>
  <si>
    <t>2781</t>
  </si>
  <si>
    <t>Asnake Arega Yimer /Ato/</t>
  </si>
  <si>
    <t>አስናቀ አረጋ ይመር /አቶ/</t>
  </si>
  <si>
    <t>2782</t>
  </si>
  <si>
    <t>Asnake Belete Ayehu (Ato)</t>
  </si>
  <si>
    <t>አስናቀ በለጠ አየሁ /አቶ/</t>
  </si>
  <si>
    <t>0924635920</t>
  </si>
  <si>
    <t>2783</t>
  </si>
  <si>
    <t>Asnake Gujo Bureketo /Ato/</t>
  </si>
  <si>
    <t>አስናቀ ጎጆ ቡርቅቶ /አቶ/</t>
  </si>
  <si>
    <t>2784</t>
  </si>
  <si>
    <t>Asnake H/michael W/tsadik /Ato/</t>
  </si>
  <si>
    <t>አሰናቀ ኃ/ሚካኤል ወ/ፃዲቅ /አቶ/</t>
  </si>
  <si>
    <t>2785</t>
  </si>
  <si>
    <t>Asnake Jenbere Kassa /Ato/</t>
  </si>
  <si>
    <t>አሰናቀ ጀምበሬ ካሳ /አቶ/</t>
  </si>
  <si>
    <t>2786</t>
  </si>
  <si>
    <t>Asnake Mekicha Engeda /Ato/</t>
  </si>
  <si>
    <t>አስናቀ መቅጭ እንግዳ /አቶ/</t>
  </si>
  <si>
    <t>2787</t>
  </si>
  <si>
    <t>Asnake Mekonen /Ato/ For Melona Asnake  /Minor/</t>
  </si>
  <si>
    <t>አስናቀ መኮንን /አቶ/ ለሜሎና አስናቀ  /ህፃን/</t>
  </si>
  <si>
    <t>2788</t>
  </si>
  <si>
    <t>Asnake Mekonnen Bitew /Ato/</t>
  </si>
  <si>
    <t>አሰናቀ መኮንን ቢተው /አቶ/</t>
  </si>
  <si>
    <t>2789</t>
  </si>
  <si>
    <t>Asnake Mogenet Biyarega/ Ato/</t>
  </si>
  <si>
    <t>አስናቀ ሞኝነት ቢያርጌ /አቶ/</t>
  </si>
  <si>
    <t>2790</t>
  </si>
  <si>
    <t>Asnake Nigatu Lakew /Ato/</t>
  </si>
  <si>
    <t>አስናቀ ንጋቱ ላቀው /አቶ/</t>
  </si>
  <si>
    <t>America</t>
  </si>
  <si>
    <t>asnake_Lakew</t>
  </si>
  <si>
    <t>2791</t>
  </si>
  <si>
    <t>Asnake Tassew /Ato/</t>
  </si>
  <si>
    <t>አስናቀ ጣሰው ሞልቶታል /አቶ/</t>
  </si>
  <si>
    <t>0911-248252</t>
  </si>
  <si>
    <t>2792</t>
  </si>
  <si>
    <t>Asnake Telahun Fenta /Ato/</t>
  </si>
  <si>
    <t>አስናቀ ጥላሁን ፈንታ /አቶ/</t>
  </si>
  <si>
    <t>0912-349962</t>
  </si>
  <si>
    <t>2793</t>
  </si>
  <si>
    <t>Asnake Teruneh Zeru /Ato/</t>
  </si>
  <si>
    <t>አስናቀ ጥሩነህ ዘሩ /አቶ/</t>
  </si>
  <si>
    <t>2794</t>
  </si>
  <si>
    <t>Asnake Zewde /Ato/</t>
  </si>
  <si>
    <t>አስናቀ ዘውዴ /አቶ/</t>
  </si>
  <si>
    <t>0923-239253</t>
  </si>
  <si>
    <t>2795</t>
  </si>
  <si>
    <t>Asnakech Alemayehu Demissie /W/o/</t>
  </si>
  <si>
    <t>አስናቀች አለማየሁ ደምሴ /ወ/ሮ/</t>
  </si>
  <si>
    <t>0913-226250</t>
  </si>
  <si>
    <t>2796</t>
  </si>
  <si>
    <t>Asnakech Bayu Dubale /W/o/</t>
  </si>
  <si>
    <t>አስናቀች ባዩ ዱባለ /ወ/ሮ/</t>
  </si>
  <si>
    <t>2797</t>
  </si>
  <si>
    <t>Asnakech Boda Boloda/Ato/</t>
  </si>
  <si>
    <t>አስናቀች ቦዳ ቦሎዳ /አቶ/</t>
  </si>
  <si>
    <t>2798</t>
  </si>
  <si>
    <t>Asnakech Bogale Bedada /W/t/</t>
  </si>
  <si>
    <t xml:space="preserve"> አስናቀች ቦጋለ በዳዳ /ወ/ት/</t>
  </si>
  <si>
    <t>0945-085550
0914-902023</t>
  </si>
  <si>
    <t>2799</t>
  </si>
  <si>
    <t>Asnakech Ganamo Gajabo /Ato/</t>
  </si>
  <si>
    <t>አስናቀች ጋናሞ ጋጂቦ /አቶ/</t>
  </si>
  <si>
    <t>0926-265844</t>
  </si>
  <si>
    <t>2800</t>
  </si>
  <si>
    <t>Asnakech Girma  /W/o/ For David Ermias Zegenu /Minor/</t>
  </si>
  <si>
    <t>አስናቀች ግርማ ስብሐቱ /ወ/ሮ/ ለዴቪድ ኤርሚያስ ዘገኑ /ህፃን/</t>
  </si>
  <si>
    <t>0912-178418</t>
  </si>
  <si>
    <t>2801</t>
  </si>
  <si>
    <t>Asnakech Girma  /W/o/ For Jhon Ermias Zegenu /Minor/</t>
  </si>
  <si>
    <t>አስናቀች ግርማ ስብሐቱ /ወ/ሮ/ ለጆን ኤርሚያስ ዘገኑ /ህፃን/</t>
  </si>
  <si>
    <t>0935-367403</t>
  </si>
  <si>
    <t>2802</t>
  </si>
  <si>
    <t>Asnakech Girma  /W/o/ For Yededya Ermias Zegenu /Minor/</t>
  </si>
  <si>
    <t>አስናቀች ግርማ ስብሐቱ /ወ/ሮ/ ለይድድያ ኤርሚያስ ዘገኑ /ህፃን/</t>
  </si>
  <si>
    <t>0920-926502</t>
  </si>
  <si>
    <t>2803</t>
  </si>
  <si>
    <t>Asnakech Girma /W/o/ For Lidia Ermias Zegenu /Minor/</t>
  </si>
  <si>
    <t>አስናቀች ግርማ ስብሐቱ /ወ/ሮ/ ለሊዲያ ኤርሚያስ ዘገኑ /ህፃን/</t>
  </si>
  <si>
    <t>0911-659352</t>
  </si>
  <si>
    <t>2804</t>
  </si>
  <si>
    <t xml:space="preserve">Asnakech Girma Sibhatu /W/o/ </t>
  </si>
  <si>
    <t>አስናቀች ግርማ ስብሐቱ /ወ/ሮ/</t>
  </si>
  <si>
    <t>0911-831485</t>
  </si>
  <si>
    <t>2805</t>
  </si>
  <si>
    <t>Asnakech Kekebo Dubie /W/O/</t>
  </si>
  <si>
    <t>አስናቀች ቀቀቦ ዱቤ /ወ/ሮ/</t>
  </si>
  <si>
    <t>0968-060274</t>
  </si>
  <si>
    <t>2806</t>
  </si>
  <si>
    <t>Asnakech Lemma /W/o/</t>
  </si>
  <si>
    <t>አስናቀች ለማ /ወ/ሮ/</t>
  </si>
  <si>
    <t>0943-952529</t>
  </si>
  <si>
    <t>2807</t>
  </si>
  <si>
    <t>Asnakech Lemma Mulatu /W/o/</t>
  </si>
  <si>
    <t>አስናቀች ለማ ሙላቱ /ወ/ሮ/</t>
  </si>
  <si>
    <t>2808</t>
  </si>
  <si>
    <t>Asnakech Shita Teklu /W/o/</t>
  </si>
  <si>
    <t>አስናቀች ሽታ ተክሉ /ወ/ሮ/</t>
  </si>
  <si>
    <t>2809</t>
  </si>
  <si>
    <t>Asnakech Tefera H/Selasie /W/o/</t>
  </si>
  <si>
    <t>አስናቀች ተፈራ ሀ/ስላሴ /ወ/ሮ/</t>
  </si>
  <si>
    <t>2810</t>
  </si>
  <si>
    <t>Asnakech Tekle Tesema /W/o/</t>
  </si>
  <si>
    <t>አስናቀች ተክሌ ተሰማ /ወ/ሮ/</t>
  </si>
  <si>
    <t>0912-180430</t>
  </si>
  <si>
    <t>touch_asni@yahoo.com</t>
  </si>
  <si>
    <t>2811</t>
  </si>
  <si>
    <t>Asnakeche Alemu Bule /W/o/</t>
  </si>
  <si>
    <t>አስናቀች አለሙ ቡሊ /ወ/ሮ/</t>
  </si>
  <si>
    <t>0922-473843
0920228104</t>
  </si>
  <si>
    <t>2812</t>
  </si>
  <si>
    <t>Asnakew Dagnaw Welde  /Ato/</t>
  </si>
  <si>
    <t>አስናቀው ዳኛው ወልዴ    /አቶ/</t>
  </si>
  <si>
    <t>2813</t>
  </si>
  <si>
    <t>Asnakew Kebede Yitbarek  /Ato/</t>
  </si>
  <si>
    <t>አስናቀወ ከበደ ይትባረክ /አቶ/</t>
  </si>
  <si>
    <t>2814</t>
  </si>
  <si>
    <t>Asnakew Salile Nure /Ato/</t>
  </si>
  <si>
    <t>አሰናቀ ሳለሴ ኑሬ /አቶ/</t>
  </si>
  <si>
    <t>2815</t>
  </si>
  <si>
    <t>Asnakew Worku Aynshet /Ato/</t>
  </si>
  <si>
    <t>አስነቀው ወርቁ አይንሸት /አቶ/</t>
  </si>
  <si>
    <t>2816</t>
  </si>
  <si>
    <t>Asnaku Semegn Agazi /Wo/</t>
  </si>
  <si>
    <t>›e“l eS˜ /¨/a/</t>
  </si>
  <si>
    <t>0913-742999</t>
  </si>
  <si>
    <t>2817</t>
  </si>
  <si>
    <t>2818</t>
  </si>
  <si>
    <t>Asnik Debebe Yehuala /W/o/</t>
  </si>
  <si>
    <t>አስንቅ ደበበ የኋላ /ወ/ሮ/</t>
  </si>
  <si>
    <t>0911-454393</t>
  </si>
  <si>
    <t>mitikug2021@gmail.com</t>
  </si>
  <si>
    <t>2819</t>
  </si>
  <si>
    <t>Asniya Jemal Mohammed /W/o/</t>
  </si>
  <si>
    <t>አስኒያ ጀማል መሀመድ /ወ/ሮ/</t>
  </si>
  <si>
    <t>2820</t>
  </si>
  <si>
    <t>Asqual Anchalew Bure /W/t/</t>
  </si>
  <si>
    <t>አስኳል አንቻለው ቡሬ /ወ/ት/</t>
  </si>
  <si>
    <t>0940-649128</t>
  </si>
  <si>
    <t>2821</t>
  </si>
  <si>
    <t>Asrat Atlaw Garde /Kesis/</t>
  </si>
  <si>
    <t>አስራት አጥላው ጋርዴ /ቀሲስ/</t>
  </si>
  <si>
    <t>0929-000559</t>
  </si>
  <si>
    <t>2822</t>
  </si>
  <si>
    <t>Asrat Atumo Tadese /Ato/</t>
  </si>
  <si>
    <t>አስራት አቱሞ ታደሰ /አቶ/</t>
  </si>
  <si>
    <t>2823</t>
  </si>
  <si>
    <t>Asrat Butare Akamo /Ato/</t>
  </si>
  <si>
    <t>አሰራት ቡታሬ አቃሞ /አቶ/</t>
  </si>
  <si>
    <t>0955-946016</t>
  </si>
  <si>
    <t>2824</t>
  </si>
  <si>
    <t>Asrat Demelash Kebede</t>
  </si>
  <si>
    <t>አስራት ደመላሽ ከበደ /አቶ/</t>
  </si>
  <si>
    <t>2825</t>
  </si>
  <si>
    <t>Asrat Goa Chonde /Ato/</t>
  </si>
  <si>
    <t xml:space="preserve">አስራት ጎኣ ጮንዴ /አቶ/ </t>
  </si>
  <si>
    <t>0923-319095</t>
  </si>
  <si>
    <t>2826</t>
  </si>
  <si>
    <t>Asrat Haile Tegegne /Ato/</t>
  </si>
  <si>
    <t>አስራት ሀይሌ ተገኝ /አቶ/</t>
  </si>
  <si>
    <t>0940-200412</t>
  </si>
  <si>
    <t>2827</t>
  </si>
  <si>
    <t>Asrat Jarsa Asale  (Ato)</t>
  </si>
  <si>
    <t>አሥራት ጃርሣ አሣሌ /አቶ/</t>
  </si>
  <si>
    <t>0916590151</t>
  </si>
  <si>
    <t>2828</t>
  </si>
  <si>
    <t>Asrat Kachito Kalo /Ato/</t>
  </si>
  <si>
    <t>አስራት ክችቶ ካሎ /አቶ/</t>
  </si>
  <si>
    <t>2829</t>
  </si>
  <si>
    <t>Asrat Kanke /Ato/</t>
  </si>
  <si>
    <t xml:space="preserve">አሰራት ካንኬ /አቶ/ </t>
  </si>
  <si>
    <t>2830</t>
  </si>
  <si>
    <t>Asrat Kasa Maja /Ato/</t>
  </si>
  <si>
    <t>አስራት ካሳ ማጃ /አቶ/</t>
  </si>
  <si>
    <t>0972-774122</t>
  </si>
  <si>
    <t>2831</t>
  </si>
  <si>
    <t>Asrat Kasitiro /Ato/</t>
  </si>
  <si>
    <t>አስራት ካሰትሮ /አቶ/</t>
  </si>
  <si>
    <t>0920-571277</t>
  </si>
  <si>
    <t>2832</t>
  </si>
  <si>
    <t>Asrat Lema /Ato/</t>
  </si>
  <si>
    <t>አስራት ለማ /አቶ/</t>
  </si>
  <si>
    <t>0916-054518</t>
  </si>
  <si>
    <t>2833</t>
  </si>
  <si>
    <t>Asrat Mekonnen Garbo /Ato/</t>
  </si>
  <si>
    <t>አስራት መኮንን ጋርቦ /አቶ/</t>
  </si>
  <si>
    <t>0913-594048</t>
  </si>
  <si>
    <t>2834</t>
  </si>
  <si>
    <t>2835</t>
  </si>
  <si>
    <t>Asrat Samuel Goyso /Ato/</t>
  </si>
  <si>
    <t>አስራት ሳሙኤል ጎይሶ /አቶ/</t>
  </si>
  <si>
    <t>0913-692066</t>
  </si>
  <si>
    <t>2836</t>
  </si>
  <si>
    <t>Asrat Shibeshi W/Gebriel /Ato/</t>
  </si>
  <si>
    <t>አስራት ሽበሺ ወ/ገብርኤል /አቶ/</t>
  </si>
  <si>
    <t>2837</t>
  </si>
  <si>
    <t>Asrat Shugute  Shebro /Ato/</t>
  </si>
  <si>
    <t xml:space="preserve"> አሥራት ሹጉጤ ሸቡሮ /አቶ/</t>
  </si>
  <si>
    <t>2838</t>
  </si>
  <si>
    <t>Asrat Shumi Bedada /Ato/</t>
  </si>
  <si>
    <t>አስራት ሹሚ በዳዳ /አቶ/</t>
  </si>
  <si>
    <t>0929-407869</t>
  </si>
  <si>
    <t>2839</t>
  </si>
  <si>
    <t>Asrat Tesema Goshu /Ato/</t>
  </si>
  <si>
    <t>አስራቴ ተሰማ ጎሹ</t>
  </si>
  <si>
    <t>2840</t>
  </si>
  <si>
    <t>2841</t>
  </si>
  <si>
    <t>Asrat Tilahun Ayalew /W/t/</t>
  </si>
  <si>
    <t>አስራት ጥላሁን አያሌው /ወ/ት/</t>
  </si>
  <si>
    <t>0912-168948</t>
  </si>
  <si>
    <t>2842</t>
  </si>
  <si>
    <t>Asrat Toru Gona /Ato/</t>
  </si>
  <si>
    <t>አስራት ቶሩ ጎና /አቶ/</t>
  </si>
  <si>
    <t>2843</t>
  </si>
  <si>
    <t>Asrat W/giworgis Gebere /Ato/</t>
  </si>
  <si>
    <t>አስራት ወ/ጊወርጊስ ገበረ /አቶ/</t>
  </si>
  <si>
    <t>2844</t>
  </si>
  <si>
    <t>Asrate Afework Birhanu /Ato/</t>
  </si>
  <si>
    <t>አስራት አፈወርቅ ብርሃኑ /አቶ/</t>
  </si>
  <si>
    <t>2845</t>
  </si>
  <si>
    <t>Asrate Kere Azimeraw /Ato/</t>
  </si>
  <si>
    <t>አስራቴ ቀሬ አዝመራዉ</t>
  </si>
  <si>
    <t>2846</t>
  </si>
  <si>
    <t>Asratie Nigussie Hunegnaw /Ato/</t>
  </si>
  <si>
    <t>አስራት ንጉሴ ሀነጋው /አቶ/</t>
  </si>
  <si>
    <t>2847</t>
  </si>
  <si>
    <t>Asratu Darcho /Ato/</t>
  </si>
  <si>
    <t>አስራት ዳርቾ /አቶ/</t>
  </si>
  <si>
    <t>2848</t>
  </si>
  <si>
    <t>Asratu Gashaw Abeje /Ato/</t>
  </si>
  <si>
    <t>አስራት ጋሻው አበጀ /አቶ/</t>
  </si>
  <si>
    <t>2849</t>
  </si>
  <si>
    <t>Asratu Kase Zeleke /Ato/</t>
  </si>
  <si>
    <t>አስራት ካሴ ዘለቀ /አቶ/</t>
  </si>
  <si>
    <t>2850</t>
  </si>
  <si>
    <t>Asrebeb Mollaw Melesse /W/o/</t>
  </si>
  <si>
    <t>አስረበብ ሞላው መለሰ /ወ/ሮ/</t>
  </si>
  <si>
    <t>2851</t>
  </si>
  <si>
    <t>Asred Dagne Wendemneh /Ato/</t>
  </si>
  <si>
    <t>አሰረዳ ዳኘ ወንድሜነህ /አቶ/</t>
  </si>
  <si>
    <t>2852</t>
  </si>
  <si>
    <t>Asres Asfaw Melese /Ato/</t>
  </si>
  <si>
    <t>አስረስ አስፋው መለሰ /አቶ/</t>
  </si>
  <si>
    <t>2853</t>
  </si>
  <si>
    <t>Asres Dagne Tadesse /Ato/</t>
  </si>
  <si>
    <t>አስረስ ዳኜ ታደሰ /አቶ/</t>
  </si>
  <si>
    <t>0918-708871</t>
  </si>
  <si>
    <t>2854</t>
  </si>
  <si>
    <t>Asres Goda /Ato/</t>
  </si>
  <si>
    <t>አስረስ ጎዳ /አቶ/</t>
  </si>
  <si>
    <t>0921-381516</t>
  </si>
  <si>
    <t>seramezegeb@gmail.com</t>
  </si>
  <si>
    <t>2855</t>
  </si>
  <si>
    <t>Asresa Setu Dagnaw/Ato/</t>
  </si>
  <si>
    <t>አሰርሳ ሰጡ ዳኛው /አቶ/</t>
  </si>
  <si>
    <t>2856</t>
  </si>
  <si>
    <t>Asresie Achamyeleh Gessese /W/o/</t>
  </si>
  <si>
    <t>አስረሴ አቻምየለህ ገሰሰ /ወ/ሮ/</t>
  </si>
  <si>
    <t>2857</t>
  </si>
  <si>
    <t>Asret Arza /Ato/</t>
  </si>
  <si>
    <t>አስራት አርዛ /አቶ/</t>
  </si>
  <si>
    <t>0916-606119</t>
  </si>
  <si>
    <t>2858</t>
  </si>
  <si>
    <t>Asret Belaynehi Badie /Ato/</t>
  </si>
  <si>
    <t>አስራት በላይነህ ባዴ /አቶ/</t>
  </si>
  <si>
    <t>0913-376469</t>
  </si>
  <si>
    <t>2859</t>
  </si>
  <si>
    <t>Asrie Dilie Kebede (Ato)</t>
  </si>
  <si>
    <t>አስሬ ድሌ ከበደ  /አቶ/</t>
  </si>
  <si>
    <t>2860</t>
  </si>
  <si>
    <t>Asrie Kassie Mengist /Ato/</t>
  </si>
  <si>
    <t>አስሬ ካሴ መንግስት /አቶ/</t>
  </si>
  <si>
    <t>2861</t>
  </si>
  <si>
    <t>Assamere Sahile /Ato/</t>
  </si>
  <si>
    <t>አሳመረ ሳህሌ /አቶ/</t>
  </si>
  <si>
    <t>0913-737040</t>
  </si>
  <si>
    <t>assameresahile@gmail.com</t>
  </si>
  <si>
    <t>2862</t>
  </si>
  <si>
    <t>Assaye Belachew Kasse /Ato/</t>
  </si>
  <si>
    <t>አሳየ በላቸው ካሴ /አቶ/</t>
  </si>
  <si>
    <t>0933-162060</t>
  </si>
  <si>
    <t>2863</t>
  </si>
  <si>
    <t>Assaye Kasse Belete /Ato/</t>
  </si>
  <si>
    <t>አሳየ ካሳ በለጠ /አቶ/</t>
  </si>
  <si>
    <t>2864</t>
  </si>
  <si>
    <t>Assaye Kindie /Ato/</t>
  </si>
  <si>
    <t>አሳየ ክንዴ /አቶ/</t>
  </si>
  <si>
    <t>2865</t>
  </si>
  <si>
    <t>Assefa Abdisa Jegora /Ato/</t>
  </si>
  <si>
    <t>አሰፋ አብዲሳ ጃጎራ /አቶ/</t>
  </si>
  <si>
    <t>0915-600738</t>
  </si>
  <si>
    <t>2866</t>
  </si>
  <si>
    <t>Assefa Altaye /Ato/</t>
  </si>
  <si>
    <t>አሰፋ አልታዬ /አቶ/</t>
  </si>
  <si>
    <t>0936-480014</t>
  </si>
  <si>
    <t>2867</t>
  </si>
  <si>
    <t>2873</t>
  </si>
  <si>
    <t>Assefa Bereded Kidanie</t>
  </si>
  <si>
    <t>አሰፋ በረድ ኪዳኔ</t>
  </si>
  <si>
    <t>2874</t>
  </si>
  <si>
    <t>Assefa Deda Dilamo /Ato/</t>
  </si>
  <si>
    <t>አሰፋ ደዳ ዲላሞ /አቶ/</t>
  </si>
  <si>
    <t>0913-255300</t>
  </si>
  <si>
    <t>assefadilamo@gmail.com</t>
  </si>
  <si>
    <t>2875</t>
  </si>
  <si>
    <t>Assefa Demissie Kassa /Ato/</t>
  </si>
  <si>
    <t>አሰፋ ደምሴ ካሳ /አቶ/</t>
  </si>
  <si>
    <t>0913-214307</t>
  </si>
  <si>
    <t>2876</t>
  </si>
  <si>
    <t>Assefa Dita Debele /Ato/</t>
  </si>
  <si>
    <t>አሰፋ ዲታ ደበሌ /አቶ/</t>
  </si>
  <si>
    <t>2877</t>
  </si>
  <si>
    <t>Assefa Gizachew Lema /Ato/</t>
  </si>
  <si>
    <t>አሰፋ ግዛቸው ለማ</t>
  </si>
  <si>
    <t>2878</t>
  </si>
  <si>
    <t>Assefa Gulima Meshesha /Ato/</t>
  </si>
  <si>
    <t>አሰፋ ጉልማ መሸሻ /አቶ/</t>
  </si>
  <si>
    <t>2879</t>
  </si>
  <si>
    <t>Assefa Haile Gebere /Ato/</t>
  </si>
  <si>
    <t xml:space="preserve"> አሰፋ ሀይሌ ገብሬ /አቶ/</t>
  </si>
  <si>
    <t>0988-920411</t>
  </si>
  <si>
    <t>2880</t>
  </si>
  <si>
    <t>Assefa Kassa Tsega /Ato/</t>
  </si>
  <si>
    <t>አሰፋ ካሣ ደጋ /አቶ/</t>
  </si>
  <si>
    <t>2881</t>
  </si>
  <si>
    <t>Assefa Lewoye Demsie /Ato/</t>
  </si>
  <si>
    <t>አስፋ ለወየ ደምሴ /አቶ/</t>
  </si>
  <si>
    <t>2882</t>
  </si>
  <si>
    <t>Assefa Mulatu Cherint /Ato/</t>
  </si>
  <si>
    <t>አሰፋ ሙላቱ ቸርነት /አቶ/</t>
  </si>
  <si>
    <t>2883</t>
  </si>
  <si>
    <t>Assefa Oyicha Orisa /Ato/</t>
  </si>
  <si>
    <t>አስፋ ኦይቻ ኦርሳ /አቶ/</t>
  </si>
  <si>
    <t>0916-862323</t>
  </si>
  <si>
    <t>2884</t>
  </si>
  <si>
    <t>Assefa Tedela Haile /Ato/</t>
  </si>
  <si>
    <t>አሰፋ ተድላ ኃይሌ /አቶ/</t>
  </si>
  <si>
    <t>2885</t>
  </si>
  <si>
    <t>Assefa Telasa Teneyo/Ato/</t>
  </si>
  <si>
    <t>አስፋ ቴላሳ ቴንኞ /አቶ/</t>
  </si>
  <si>
    <t>2886</t>
  </si>
  <si>
    <t>Assefa Wolderufael W/Kirkos /Ato/</t>
  </si>
  <si>
    <t>አሰፋ ወልደሩፋኤል ወልደቂርቆስ /አቶ/</t>
  </si>
  <si>
    <t>416-471-2858
0911-653108</t>
  </si>
  <si>
    <t>elasse@live.com</t>
  </si>
  <si>
    <t>2887</t>
  </si>
  <si>
    <t>Assefa Yimer Belachew /Ato/</t>
  </si>
  <si>
    <t>አሠፋ ይመር በላቸው /አቶ/</t>
  </si>
  <si>
    <t>0913-320732</t>
  </si>
  <si>
    <t>2888</t>
  </si>
  <si>
    <t>Assegdech Bisrat /W/o/</t>
  </si>
  <si>
    <t>አሰገደች ብስራት /ወ/ሮ/</t>
  </si>
  <si>
    <t>2889</t>
  </si>
  <si>
    <t>Asseged Hailu Zerga /Ato/</t>
  </si>
  <si>
    <t>አሰግድ ሀይሉ ዘርጋ /አቶ/</t>
  </si>
  <si>
    <t>0913-082824</t>
  </si>
  <si>
    <t>2890</t>
  </si>
  <si>
    <t>Asseged Tolla Gurmu /Ato/</t>
  </si>
  <si>
    <t>አሰግድ ቶላ ጉርሙ /አቶ/</t>
  </si>
  <si>
    <t>2891</t>
  </si>
  <si>
    <t>Assegedech Demissie /W/o/</t>
  </si>
  <si>
    <t>አሰገደች ደምሴ /ወ/ሮ/</t>
  </si>
  <si>
    <t>0942-793232</t>
  </si>
  <si>
    <t>2892</t>
  </si>
  <si>
    <t>Assegid Kidane /Ato/</t>
  </si>
  <si>
    <t>አሰግድ ኪዳኔ /አቶ/</t>
  </si>
  <si>
    <t>2893</t>
  </si>
  <si>
    <t>Assegid Lemma Ygebawal /Ato/</t>
  </si>
  <si>
    <t>አስግድ ለማ ይገባዋል /አቶ/</t>
  </si>
  <si>
    <t>0931-354079</t>
  </si>
  <si>
    <t>2894</t>
  </si>
  <si>
    <t>Assfa Adugna Shene /Ato/</t>
  </si>
  <si>
    <t>አሰፋ አዱኛ ሸኔ /አቶ/</t>
  </si>
  <si>
    <t>0925-232681</t>
  </si>
  <si>
    <t>2895</t>
  </si>
  <si>
    <t>Assil Adem /Ato/</t>
  </si>
  <si>
    <t>አሲል አደም /አቶ/</t>
  </si>
  <si>
    <t>0911-605851</t>
  </si>
  <si>
    <t>asseladem@gmail.com</t>
  </si>
  <si>
    <t>2896</t>
  </si>
  <si>
    <t>Assmamaw Tehone /Ato/</t>
  </si>
  <si>
    <t>አስማማው ተሆኔ /አቶ/</t>
  </si>
  <si>
    <t>2897</t>
  </si>
  <si>
    <t>Assmamw Wondemagegne Negash /Ato/</t>
  </si>
  <si>
    <t>አስማማው ወንድማገኝ ነጋሽ /አቶ/</t>
  </si>
  <si>
    <t>2898</t>
  </si>
  <si>
    <t>Astahun Data /Ato/</t>
  </si>
  <si>
    <t>አስታሁና ዳታ /አቶ/</t>
  </si>
  <si>
    <t>0923-287078</t>
  </si>
  <si>
    <t>2899</t>
  </si>
  <si>
    <t>Astatik Aschale Mekonnen /Ato/</t>
  </si>
  <si>
    <t>አስታጥቅ አስቻለ መኮንን /አቶ/</t>
  </si>
  <si>
    <t>2900</t>
  </si>
  <si>
    <t>Astatikie Dessie Tizazu /Ato/</t>
  </si>
  <si>
    <t>አስታጥቄ ደሴ ትዝዙ/አቶ/</t>
  </si>
  <si>
    <t>2901</t>
  </si>
  <si>
    <t>Astatke Belay /Ato/</t>
  </si>
  <si>
    <t>አስታጥቄ በላይ /አቶ/</t>
  </si>
  <si>
    <t>0912-136758</t>
  </si>
  <si>
    <t>astatke@gmail.com</t>
  </si>
  <si>
    <t>2902</t>
  </si>
  <si>
    <t>178-09048787</t>
  </si>
  <si>
    <t>2903</t>
  </si>
  <si>
    <t>Astatke Mekonen Meshfe /Ato/</t>
  </si>
  <si>
    <t>አሰታጥቄ መኮንን መሸፈ /አቶ/</t>
  </si>
  <si>
    <t>2904</t>
  </si>
  <si>
    <t>Astedaderu Ashgire /Ato/</t>
  </si>
  <si>
    <t>አስተዳደሩ አሸግሬ /አቶ/</t>
  </si>
  <si>
    <t>2905</t>
  </si>
  <si>
    <t>Aster Abate Hagos /W/o/</t>
  </si>
  <si>
    <t>አስቴር አባተ ሐጎስ /ወ/ሮ/</t>
  </si>
  <si>
    <t>0911-648528</t>
  </si>
  <si>
    <t>2906</t>
  </si>
  <si>
    <t>Aster Abebe Mekete /W/o/</t>
  </si>
  <si>
    <t>አስቴር አበበ መከተ /ወ/ሮ/</t>
  </si>
  <si>
    <t>2907</t>
  </si>
  <si>
    <t>Aster Abebe Mekete /W/o/ For Eden Solomon Zewdu /Minor/</t>
  </si>
  <si>
    <t>አስቴር አበበ መከተ /ወ/ሮ/ ለኤደን ሰለሞን ዘመዱ /ህፃን/</t>
  </si>
  <si>
    <t>2908</t>
  </si>
  <si>
    <t>Aster Abebe Mekete /W/o/ For Kirubel Solomon Zewdu /Minor/</t>
  </si>
  <si>
    <t>አስቴር አበበ መከተ /ወ/ሮ/ ለኪሩቤል ሰለሞን ዘመዱ /ህፃን/</t>
  </si>
  <si>
    <t>2909</t>
  </si>
  <si>
    <t>Aster Abera Belay /A/o/</t>
  </si>
  <si>
    <t>አስቴር አበራ በላይ /ወ/ሮ/</t>
  </si>
  <si>
    <t>0937-445967</t>
  </si>
  <si>
    <t>2910</t>
  </si>
  <si>
    <t>Aster Adema Areshato /Ato/</t>
  </si>
  <si>
    <t>አስቴር አደማ አረሻቶ /አቶ/</t>
  </si>
  <si>
    <t>0949-684904</t>
  </si>
  <si>
    <t>2911</t>
  </si>
  <si>
    <t>Aster Admasu /W/O</t>
  </si>
  <si>
    <t>አስቴር አድማሱ /ወ/ሮ/</t>
  </si>
  <si>
    <t>2912</t>
  </si>
  <si>
    <t>2913</t>
  </si>
  <si>
    <t>Aster Asfaw Shibeshi /W/o/</t>
  </si>
  <si>
    <t>አስቴር አስፋው ሺበሺ /ወ/ሮ/</t>
  </si>
  <si>
    <t>0911-888161</t>
  </si>
  <si>
    <t>asterbeyene@gmail.com</t>
  </si>
  <si>
    <t>2914</t>
  </si>
  <si>
    <t>2915</t>
  </si>
  <si>
    <t>Aster Asnake W/Tensay /W/o/</t>
  </si>
  <si>
    <t>አስቴር አስናቀ ወ/ተንሳይ /ወ/ሮ/</t>
  </si>
  <si>
    <t>0911-128556</t>
  </si>
  <si>
    <t>2916</t>
  </si>
  <si>
    <t>Aster Atenafu Mengiste /W/o</t>
  </si>
  <si>
    <t>አስቴር አጥናፉ መንግስቴ /ወ/ሮ/</t>
  </si>
  <si>
    <t>0913-750982</t>
  </si>
  <si>
    <t>asterm@blackeconomyexcellence.com</t>
  </si>
  <si>
    <t>2917</t>
  </si>
  <si>
    <t>Aster Bade Bereka /W/o/</t>
  </si>
  <si>
    <t>አስቴር ባዬ በረካ /ወ/ሮ/</t>
  </si>
  <si>
    <t>2918</t>
  </si>
  <si>
    <t>Aster Baraso /W/o/</t>
  </si>
  <si>
    <t>አስተር ባራሶ /አቶ/</t>
  </si>
  <si>
    <t>2919</t>
  </si>
  <si>
    <t>2920</t>
  </si>
  <si>
    <t>Aster Belayneh Nigatu /W/o/</t>
  </si>
  <si>
    <t>አስቴር በላይነህ ንጋቱ /ወ/ሮ/</t>
  </si>
  <si>
    <t>2921</t>
  </si>
  <si>
    <t>Aster Berhanu Ayele /W/o/</t>
  </si>
  <si>
    <t>አስቴር ብርሀኑ አየለ /ወ/ሮ/</t>
  </si>
  <si>
    <t>0911-645094</t>
  </si>
  <si>
    <t>2922</t>
  </si>
  <si>
    <t>Aster Boleka Baramo/Wro/</t>
  </si>
  <si>
    <t>አስቴር ቦልካ ባራሞ/ወሮ/</t>
  </si>
  <si>
    <t>2923</t>
  </si>
  <si>
    <t>Aster Brhanu Debebe /W/o/</t>
  </si>
  <si>
    <t>አስቴር ብርሀኑ ደበበ /ወ/ሮ/</t>
  </si>
  <si>
    <t>2924</t>
  </si>
  <si>
    <t>Aster Chala /W/o/ For Herma Daniel /Minor/</t>
  </si>
  <si>
    <t>አስቴር ጫላ /ወ/ሮ/ ለሄርማ ዳንኤል /ህፃን/</t>
  </si>
  <si>
    <t>0911-133859</t>
  </si>
  <si>
    <t>2925</t>
  </si>
  <si>
    <t>Aster Chala /W/ro For Tinbete Daniel /Minor/</t>
  </si>
  <si>
    <t>አስቴር ጫላ /ወ/ሮ/ ለትንቢተ ዳንኤል /ህፃን/</t>
  </si>
  <si>
    <t>0911-548231</t>
  </si>
  <si>
    <t>2926</t>
  </si>
  <si>
    <t>Aster Dubale /Ato/</t>
  </si>
  <si>
    <t>አስቴር ዱባለ /አቶ/</t>
  </si>
  <si>
    <t>2927</t>
  </si>
  <si>
    <t>Aster Estifanos W/Medhin /W/o/</t>
  </si>
  <si>
    <t>አስቴር እስጢፋኖስ ወ/መድህን /ወ/ሮ/</t>
  </si>
  <si>
    <t>2928</t>
  </si>
  <si>
    <t>2929</t>
  </si>
  <si>
    <t>2930</t>
  </si>
  <si>
    <t>Aster Gezehegn Genbero /W/o/</t>
  </si>
  <si>
    <t>አስቴር ገዛኸኝ ጌንበሮ /ወ/ሮ/</t>
  </si>
  <si>
    <t>2931</t>
  </si>
  <si>
    <t>Aster Girma /W/o/</t>
  </si>
  <si>
    <t>አስቴር ግርማ /ወ/ሮ/</t>
  </si>
  <si>
    <t>703-5682125</t>
  </si>
  <si>
    <t>2932</t>
  </si>
  <si>
    <t>Aster Gizaw Andarige /W/o/</t>
  </si>
  <si>
    <t>አስቴር ግዛዉ አንዳርጌ /ወ/ሮ/</t>
  </si>
  <si>
    <t>0912-097975</t>
  </si>
  <si>
    <t>2933</t>
  </si>
  <si>
    <t>2934</t>
  </si>
  <si>
    <t>Aster Hajo Abdurahaman /W/o/</t>
  </si>
  <si>
    <t>አስቴር ሀጆ አብዱራህማን /ወ/ሮ/</t>
  </si>
  <si>
    <t>249-999-495-007</t>
  </si>
  <si>
    <t>tirihashabtegergis@gmail.com/ashu2be@gmail.com</t>
  </si>
  <si>
    <t>2935</t>
  </si>
  <si>
    <t>Aster Jenbere Dumecha /W/o/</t>
  </si>
  <si>
    <t>አስቴር ጀንበሬ ዱሜቻ /ወ/ሮ/</t>
  </si>
  <si>
    <t>0939-451010</t>
  </si>
  <si>
    <t>2936</t>
  </si>
  <si>
    <t>Aster Kassa /W/o/</t>
  </si>
  <si>
    <t>አስቴር ካሳ /ወ/ሮ/</t>
  </si>
  <si>
    <t>0401-958400</t>
  </si>
  <si>
    <t>edenhabtom85@yahoo.co.uk</t>
  </si>
  <si>
    <t>2937</t>
  </si>
  <si>
    <t>Aster Kedama Argo /W/o/</t>
  </si>
  <si>
    <t>አስቴር ቀዳማ አርጎ /ወ/ሮ/</t>
  </si>
  <si>
    <t>2938</t>
  </si>
  <si>
    <t>Aster Legesse /W/o/ For Abigia Sintayehu</t>
  </si>
  <si>
    <t>አስቴር ለገሰ /ወ/ሮ/ ለአቢጊያ ስንታየሁ አበበ /ህፃን/</t>
  </si>
  <si>
    <t>0916-414226</t>
  </si>
  <si>
    <t>2939</t>
  </si>
  <si>
    <t>Aster Legesse Addere /W/o</t>
  </si>
  <si>
    <t>አስቴር ለገሰ /ወ/ሮ/</t>
  </si>
  <si>
    <t>0927-001785</t>
  </si>
  <si>
    <t>2940</t>
  </si>
  <si>
    <t>Aster Legesse For Barkot Sintayehu Abebe /Minor/</t>
  </si>
  <si>
    <t>አስቴር ለገሰ /ወ/ሮ/ ለባርኮት ስንታየሁ አበበ /ህፃን/</t>
  </si>
  <si>
    <t>0938-243135</t>
  </si>
  <si>
    <t>2941</t>
  </si>
  <si>
    <t>Aster Mamo /W/o/</t>
  </si>
  <si>
    <t>አስቴር ማሞ /ወ/ሮ/</t>
  </si>
  <si>
    <t>0977-641913</t>
  </si>
  <si>
    <t>asterdmamo@yahoo.com</t>
  </si>
  <si>
    <t>2942</t>
  </si>
  <si>
    <t>Aster Mamo Bekele /W/o/</t>
  </si>
  <si>
    <t>አስቴር ማሞ በቀለ /ወ/ሮ/</t>
  </si>
  <si>
    <t>2943</t>
  </si>
  <si>
    <t>Aster Muluneh Dagne /W/o/</t>
  </si>
  <si>
    <t>አስቴር ሙሉነህ ዳኜ /ወ/ሮ/</t>
  </si>
  <si>
    <t>0920-878120</t>
  </si>
  <si>
    <t>bekalu2090@gmail.com</t>
  </si>
  <si>
    <t>2944</t>
  </si>
  <si>
    <t>Aster Negasi Yohannes /W/o/</t>
  </si>
  <si>
    <t>አስቴር ነጋሲ ዮሀንስ /ወ/ሮ/</t>
  </si>
  <si>
    <t>0910-168056</t>
  </si>
  <si>
    <t>2945</t>
  </si>
  <si>
    <t>Aster Sahlu G/Hiwot /W/o/</t>
  </si>
  <si>
    <t>አስቴር ሳህሉ ገ/ህይወት /ወ/ሮ/</t>
  </si>
  <si>
    <t>0910-630301</t>
  </si>
  <si>
    <t>2946</t>
  </si>
  <si>
    <t>Aster Sahlu G/Hiwot /Wo/</t>
  </si>
  <si>
    <t>2947</t>
  </si>
  <si>
    <t>Aster Seyoum /W/o/ For Mesebak Dereselegn /Minor/</t>
  </si>
  <si>
    <t>አስቴር ስዩም /ወ/ሮ/ ለምስባከ ድረስልኝ /ህጻን/</t>
  </si>
  <si>
    <t>0912-127255</t>
  </si>
  <si>
    <t>2948</t>
  </si>
  <si>
    <t>Aster Shertawi Jabeye /W/o/</t>
  </si>
  <si>
    <t>አስቴር ሺርታዊ ጃቢዬ /ወ/ሮ</t>
  </si>
  <si>
    <t>2949</t>
  </si>
  <si>
    <t>Aster Shile Gute /W/O</t>
  </si>
  <si>
    <t>አስቴር ሽሌ ጉቴ /አቶ/</t>
  </si>
  <si>
    <t>0987-637846</t>
  </si>
  <si>
    <t>2950</t>
  </si>
  <si>
    <t>Aster Sinbo /Ato/</t>
  </si>
  <si>
    <t>አስቴር ስንቦ /አቶ/</t>
  </si>
  <si>
    <t>0961-358454</t>
  </si>
  <si>
    <t>2951</t>
  </si>
  <si>
    <t>Aster Tadesse Beyene /W/o/</t>
  </si>
  <si>
    <t>አስቴር ታደሰ በየነ /ወ/ሮ/</t>
  </si>
  <si>
    <t>0911-554868</t>
  </si>
  <si>
    <t>2952</t>
  </si>
  <si>
    <t>Aster Tadesse W/Michael /W/o/</t>
  </si>
  <si>
    <t>አስቴር ታደሰ ወ/ሚካኤል /ወ/ሮ/</t>
  </si>
  <si>
    <t>0913-057327</t>
  </si>
  <si>
    <t>2953</t>
  </si>
  <si>
    <t>Aster Tarsyos Tessabo /W/o/</t>
  </si>
  <si>
    <t>አስቴር ታርሲዮስ ጤሳቦ /ወ/ሮ/</t>
  </si>
  <si>
    <t>0912-018841</t>
  </si>
  <si>
    <t>2954</t>
  </si>
  <si>
    <t>Aster Taye Jemaneh /W/o/</t>
  </si>
  <si>
    <t>አስቴር ታዬ ጀማነህ /ወ/ሮ/</t>
  </si>
  <si>
    <t>0910-512747</t>
  </si>
  <si>
    <t>2955</t>
  </si>
  <si>
    <t>Aster Tena Mherete /W/o/</t>
  </si>
  <si>
    <t>አስቴር ጠና ምህረት /ወ/ሮ/</t>
  </si>
  <si>
    <t>0965-668980</t>
  </si>
  <si>
    <t>2956</t>
  </si>
  <si>
    <t>Aster Tesfamikael Mengistu /W/o/</t>
  </si>
  <si>
    <t>አስቴር ተስፋሚካኤል መንግስቱ /ወ/ሮ/</t>
  </si>
  <si>
    <t>0911-770086</t>
  </si>
  <si>
    <t>hbest.tenaw@gmail.com</t>
  </si>
  <si>
    <t>2957</t>
  </si>
  <si>
    <t>Aster Tifo Gota /W/O/</t>
  </si>
  <si>
    <t xml:space="preserve">አስተር ትፎ ጎታ /ወ/ሮ/ </t>
  </si>
  <si>
    <t>2958</t>
  </si>
  <si>
    <t>Aster Tomas Adato  /W/o/</t>
  </si>
  <si>
    <t>አስተር ቶማስ አዳቶ /ወ/ሮ/</t>
  </si>
  <si>
    <t>2959</t>
  </si>
  <si>
    <t>Aster Tsegay /W/o/</t>
  </si>
  <si>
    <t>አስቴር ፀጋዬ /ወ/ሮ/</t>
  </si>
  <si>
    <t>0912-072585</t>
  </si>
  <si>
    <t>astertsegay513@gmail.com</t>
  </si>
  <si>
    <t>2960</t>
  </si>
  <si>
    <t>Aster Worku Asfaw /W/o/</t>
  </si>
  <si>
    <t>አስቴር ወርቁ አስፋው /ወ/ሮ/</t>
  </si>
  <si>
    <t>0910-414576/0911-236506</t>
  </si>
  <si>
    <t>2961</t>
  </si>
  <si>
    <t>Aster Yeshitila  /W/o/ For Sofoniyas Tessema And/or Maya Tessema /Minor/</t>
  </si>
  <si>
    <t>አስቴር የሺጥላ  /ወ/ሮ/ ለሶፎንያስ ተሰማ እና/ወይም ማያ ተሰማ /ህፃን/</t>
  </si>
  <si>
    <t>0924-306690</t>
  </si>
  <si>
    <t>2962</t>
  </si>
  <si>
    <t>Aster Yeshitila W/Aregay /W/o/</t>
  </si>
  <si>
    <t>አስቴር የሺጥላ ወ/አረጋይ /ወ/ሮ/</t>
  </si>
  <si>
    <t>0910-921910</t>
  </si>
  <si>
    <t>2963</t>
  </si>
  <si>
    <t>Asteway Seid Yimer /Ato/</t>
  </si>
  <si>
    <t>አሥተዋይ ሰይድ ይመር /አቶ/</t>
  </si>
  <si>
    <t>2964</t>
  </si>
  <si>
    <t>Astiku Dinaso Biwoso /Ato/</t>
  </si>
  <si>
    <t>አሰቲኩ ቢናሶ ቢዎሶ /አቶ/</t>
  </si>
  <si>
    <t>2965</t>
  </si>
  <si>
    <t>Asufa  Hula Hujawa /Ato/</t>
  </si>
  <si>
    <t>አሱፍ ሁላ ሁጃዋ /አቶ/</t>
  </si>
  <si>
    <t>2966</t>
  </si>
  <si>
    <t>Asufa Lankamo Dawako /Ato/</t>
  </si>
  <si>
    <t>አሱፋ ላንቃሞ ዳዋኮ /አቶ/</t>
  </si>
  <si>
    <t>0932-699031</t>
  </si>
  <si>
    <t>2967</t>
  </si>
  <si>
    <t>Atalay Adugna Mirete /Ato/</t>
  </si>
  <si>
    <t>አታላይ አዱኛ ምረቴ /አቶ/</t>
  </si>
  <si>
    <t>2968</t>
  </si>
  <si>
    <t>Atalay Alamirew /Ato/</t>
  </si>
  <si>
    <t>አታላይ አላምረው /አቶ/</t>
  </si>
  <si>
    <t>0989-359364</t>
  </si>
  <si>
    <t>2969</t>
  </si>
  <si>
    <t>Atalay Alehigne Endalew /Ato/</t>
  </si>
  <si>
    <t>አታላይ አልዅኝ እንዳለ /አቶ/</t>
  </si>
  <si>
    <t>0920-765379</t>
  </si>
  <si>
    <t>2970</t>
  </si>
  <si>
    <t>Atalay Alem Belete /Ato/</t>
  </si>
  <si>
    <t>አታላይ አለም በለጠ /አቶ/</t>
  </si>
  <si>
    <t>2971</t>
  </si>
  <si>
    <t>Atalay Ashagrie Tirueh /Ato/</t>
  </si>
  <si>
    <t>አታላይ አሻግሬ ጥሩነህ /አቶ/</t>
  </si>
  <si>
    <t>2972</t>
  </si>
  <si>
    <t>Atalay Ayele Eskeziya /Ato/</t>
  </si>
  <si>
    <t>አታላይ አየለ እስክዚያ /አቶ/</t>
  </si>
  <si>
    <t>2973</t>
  </si>
  <si>
    <t>Atalay Meku Ewnete  /Ato/</t>
  </si>
  <si>
    <t>አታላይ መኩ እውነቴ /አቶ/</t>
  </si>
  <si>
    <t>2974</t>
  </si>
  <si>
    <t>Atalaye Mesele Wondemagegn</t>
  </si>
  <si>
    <t>አታላይ መሰለ ወንድማገኝ/አቶ/</t>
  </si>
  <si>
    <t>2975</t>
  </si>
  <si>
    <t>Atalel Bitew Chekol /W/O/</t>
  </si>
  <si>
    <t>አታለል ቢተው ቸኮል /ወ/ሮ/</t>
  </si>
  <si>
    <t>2976</t>
  </si>
  <si>
    <t>Atalel Wondmu Leyew /Ato/</t>
  </si>
  <si>
    <t>አታለል ወንድሙ</t>
  </si>
  <si>
    <t>2977</t>
  </si>
  <si>
    <t>Atalo Muche /Ato/</t>
  </si>
  <si>
    <t>አታሎ ሙጨ /አቶ/</t>
  </si>
  <si>
    <t>2978</t>
  </si>
  <si>
    <t>Atalu Mulu Bizuneh /Weyzero/</t>
  </si>
  <si>
    <t xml:space="preserve">አታሉ ሙሉ ብዙነህ /ወይዘሮ/ </t>
  </si>
  <si>
    <t>2979</t>
  </si>
  <si>
    <t>Atanaw Arega /Ato/</t>
  </si>
  <si>
    <t>አጣናው አረጋ /አቶ/</t>
  </si>
  <si>
    <t>0921-508158</t>
  </si>
  <si>
    <t>2980</t>
  </si>
  <si>
    <t>Atanew Yitayh Mengistu /Ato/</t>
  </si>
  <si>
    <t>አቶ አጣነው ይታይህ መንግስቱ /አቶ/</t>
  </si>
  <si>
    <t>2981</t>
  </si>
  <si>
    <t>Atanfu Ababaw /Ato/</t>
  </si>
  <si>
    <t>አጥናፉ አበባው /አቶ/</t>
  </si>
  <si>
    <t>2982</t>
  </si>
  <si>
    <t>Atano Manaye Arechebo /Ato/</t>
  </si>
  <si>
    <t>አጣኖ ማናዬ አረቸቦ /አቶ/</t>
  </si>
  <si>
    <t>2983</t>
  </si>
  <si>
    <t>Atehunegne Mengist Yayeh /Ato/</t>
  </si>
  <si>
    <t>አንተሁነኝ መንግስቴ ያየህ  /አ/ቶ</t>
  </si>
  <si>
    <t>2984</t>
  </si>
  <si>
    <t>Atenafu Direse Abateneh /Ato/</t>
  </si>
  <si>
    <t>አጥናፉ ድርሰ አባተነህ /አቶ/</t>
  </si>
  <si>
    <t>0926-803528</t>
  </si>
  <si>
    <t>2985</t>
  </si>
  <si>
    <t>Ateneh Mengist Tegebaru /Ato/</t>
  </si>
  <si>
    <t>አተነህ መንግስቱ ተግባሩ /አቶ/</t>
  </si>
  <si>
    <t>2986</t>
  </si>
  <si>
    <t>Aterefu Heylu /W/t/</t>
  </si>
  <si>
    <t>አተረፉ ሀይሉ /ወ/ት/</t>
  </si>
  <si>
    <t>2987</t>
  </si>
  <si>
    <t>Aterf Kassa /Ato/</t>
  </si>
  <si>
    <t>አተርፍ ካሳ /አቶ/</t>
  </si>
  <si>
    <t>2988</t>
  </si>
  <si>
    <t>Atersaw Anebye Seraw /Ato/</t>
  </si>
  <si>
    <t>አትርሳው አነብየ ስራው /አቶ/</t>
  </si>
  <si>
    <t>0937-695113</t>
  </si>
  <si>
    <t>2989</t>
  </si>
  <si>
    <t>Atersaw Muche Abeje /Ato/</t>
  </si>
  <si>
    <t>አትርሳው ሙጨ አበጀ /አቶ/</t>
  </si>
  <si>
    <t>2990</t>
  </si>
  <si>
    <t>Atersaw Shebabaw Ayana /Ato/</t>
  </si>
  <si>
    <t>አትርሳው ሽባባው አያና /አቶ/</t>
  </si>
  <si>
    <t>2991</t>
  </si>
  <si>
    <t>Atershew Fantahun Alemneh /W/o/</t>
  </si>
  <si>
    <t>አትርሺው ፋንታሁን አለምነህ /ወ/ሮ/</t>
  </si>
  <si>
    <t>0911-430156/0922-849089</t>
  </si>
  <si>
    <t>alexsiswawa81@gmail.com</t>
  </si>
  <si>
    <t>2992</t>
  </si>
  <si>
    <t>Atinaf Alemayehu Chekol /Ato/</t>
  </si>
  <si>
    <t>አጥናፍ አለማየሁ ቸኮል /አቶ/</t>
  </si>
  <si>
    <t>0913-974437</t>
  </si>
  <si>
    <t>2993</t>
  </si>
  <si>
    <t>Atinafu Abebe Bogale /Ato/</t>
  </si>
  <si>
    <t>አጥናፍ አበበ ቦጋለ /አቶ/</t>
  </si>
  <si>
    <t>0915-718957</t>
  </si>
  <si>
    <t>2994</t>
  </si>
  <si>
    <t>Atinafu Felie Dreseh /Ato/</t>
  </si>
  <si>
    <t>አጥናፍ ፈሌ ደርስህ /አቶ/</t>
  </si>
  <si>
    <t>2995</t>
  </si>
  <si>
    <t>Atinafu Hariso  Tunsisa /Ato/</t>
  </si>
  <si>
    <t>አጥናፉ ሃሪሶ ቱንሲሳ /አቶ/</t>
  </si>
  <si>
    <t>0954-781169/0916649364</t>
  </si>
  <si>
    <t>2996</t>
  </si>
  <si>
    <t>Atinafu Teferi Zwude /Ato/</t>
  </si>
  <si>
    <t>አጥናፉ ተፈሪ ዘውዴ /አቶ/</t>
  </si>
  <si>
    <t>0947-011010</t>
  </si>
  <si>
    <t>2997</t>
  </si>
  <si>
    <t>Atinafu Temesgen Sama /Ato/</t>
  </si>
  <si>
    <t>አጥናፉ ተመስገን ሳማ /አቶ/</t>
  </si>
  <si>
    <t>2998</t>
  </si>
  <si>
    <t>Atinafu W/Gebriel Yimer /Ato/</t>
  </si>
  <si>
    <t>አጥናፉ ወ/ገብርኤል ይመር /አቶ/</t>
  </si>
  <si>
    <t>2999</t>
  </si>
  <si>
    <t>Atinikut Beyene Yale /Ato/</t>
  </si>
  <si>
    <t>አትንኩት በየነ ያለ /አቶ/</t>
  </si>
  <si>
    <t>3000</t>
  </si>
  <si>
    <t>Atinikut Fentie  /Ato/</t>
  </si>
  <si>
    <t>አትንኩት ፍንቴ   /አቶ/</t>
  </si>
  <si>
    <t>3001</t>
  </si>
  <si>
    <t>Atinkut Atanew  /Ato/</t>
  </si>
  <si>
    <t>አትንኩት አጣናው   /አቶ/</t>
  </si>
  <si>
    <t>3002</t>
  </si>
  <si>
    <t>Atinkut Aynalem Workneh /Ato/</t>
  </si>
  <si>
    <t>አትንኩት አይናለም ወርቅነህ /አቶ/</t>
  </si>
  <si>
    <t>0978-774174</t>
  </si>
  <si>
    <t>3003</t>
  </si>
  <si>
    <t>Atinkut Waga Asmare /Ato/</t>
  </si>
  <si>
    <t>አትንኩት ዋጋ አስማረ /አቶ/</t>
  </si>
  <si>
    <t>3004</t>
  </si>
  <si>
    <t>Atinkut Ybeletal Muche /Ato/</t>
  </si>
  <si>
    <t>አትንኩት ይበልጣል ሙጨ /አቶ/</t>
  </si>
  <si>
    <t>0946-446518</t>
  </si>
  <si>
    <t>3005</t>
  </si>
  <si>
    <t>Atiresew Asaye Kebede /Ato/</t>
  </si>
  <si>
    <t>አቲርሰው አሳዬ ከበደ /አቶ/</t>
  </si>
  <si>
    <t>3006</t>
  </si>
  <si>
    <t>Atirsaw Gebeyehu /Ato/</t>
  </si>
  <si>
    <t>አታርሳው ገበየሁ /አቶ/</t>
  </si>
  <si>
    <t>3007</t>
  </si>
  <si>
    <t>Atirsaw Yayeh Delele /ato/</t>
  </si>
  <si>
    <t>አትርሳው ያየህ ደለለ /አቶ/</t>
  </si>
  <si>
    <t>3008</t>
  </si>
  <si>
    <t>Atirsaw Zerefaw /Ato/</t>
  </si>
  <si>
    <t>አትርሳው ዘረፍው /አቶ/</t>
  </si>
  <si>
    <t>3009</t>
  </si>
  <si>
    <t>Atirse Degaga Dechasa /Ato/</t>
  </si>
  <si>
    <t>አትርሴ ድጋጋ ዴቻሳ /አቶ/</t>
  </si>
  <si>
    <t>3010</t>
  </si>
  <si>
    <t>Atirse Haile Abu /Ato/</t>
  </si>
  <si>
    <t>አቲርሰ ሀይሌ አቡ /አቶ/</t>
  </si>
  <si>
    <t>3011</t>
  </si>
  <si>
    <t>Atirse Hajeto Haleto /Ato/</t>
  </si>
  <si>
    <t>አቲርሰ ሀጄቶ ሃሌቶ /አቶ/</t>
  </si>
  <si>
    <t>3012</t>
  </si>
  <si>
    <t>Atirsew Demeke                         Wubetie /Ato/</t>
  </si>
  <si>
    <t>አትርሰው ደመቀ ውቢት /አቶ/</t>
  </si>
  <si>
    <t>0931-905957</t>
  </si>
  <si>
    <t>3013</t>
  </si>
  <si>
    <t>Atirsew Fentie  /Ato/</t>
  </si>
  <si>
    <t>አትርሣው ፍንቴ  /አቶ/</t>
  </si>
  <si>
    <t>3014</t>
  </si>
  <si>
    <t>Atitegeb Alem/W/O/</t>
  </si>
  <si>
    <t>አትጠገብ አለም /ወ/ሮ/</t>
  </si>
  <si>
    <t>3015</t>
  </si>
  <si>
    <t>Atlabachew Melese Lema /Ato/</t>
  </si>
  <si>
    <t>አጥላባቸው መለስ ለማ /አቶ/</t>
  </si>
  <si>
    <t>0912-231786</t>
  </si>
  <si>
    <t>3016</t>
  </si>
  <si>
    <t>Atlaw Aragaw /Ato/</t>
  </si>
  <si>
    <t>አትላው አራጋው /አቶ/</t>
  </si>
  <si>
    <t>0982-426012</t>
  </si>
  <si>
    <t>3017</t>
  </si>
  <si>
    <t>Atlaw Tilahun Tegegn /Ato/</t>
  </si>
  <si>
    <t>አጥላው ጥላሁን ተገኘ /አቶ/</t>
  </si>
  <si>
    <t>0923-919335/0984-195430</t>
  </si>
  <si>
    <t>3018</t>
  </si>
  <si>
    <t>Atnaf Mekonnen /Ato/</t>
  </si>
  <si>
    <t>አጥናፍ መኮንን /አቶ/</t>
  </si>
  <si>
    <t>0923-298534</t>
  </si>
  <si>
    <t>atnafmekonnen@gmail.com</t>
  </si>
  <si>
    <t>3019</t>
  </si>
  <si>
    <t>Atnafu Nigtie Dagnachew /Kes/</t>
  </si>
  <si>
    <t>አጥናፉ ንጋቴ ዳኛቸው /ቄሰ/</t>
  </si>
  <si>
    <t>3020</t>
  </si>
  <si>
    <t>Atnikut Mossie /Ato/</t>
  </si>
  <si>
    <t>አትንኩት ሞሴ /አቶ/</t>
  </si>
  <si>
    <t>0934-524021</t>
  </si>
  <si>
    <t>3021</t>
  </si>
  <si>
    <t>Ato Ejigu Debie Muniy</t>
  </si>
  <si>
    <t>አቶ እጂጉ ደቤ ሙንየ</t>
  </si>
  <si>
    <t>3022</t>
  </si>
  <si>
    <t>Ato Zigeju Andualem Teshome</t>
  </si>
  <si>
    <t>አቶ ዝግጁ አንዱአለም ተሾመ</t>
  </si>
  <si>
    <t>3023</t>
  </si>
  <si>
    <t>3024</t>
  </si>
  <si>
    <t>Atomo W/giworegis Ago /Ato/</t>
  </si>
  <si>
    <t>አቶሞ ወ/ጊወርጊስ አጎ /አቶ/</t>
  </si>
  <si>
    <t>3025</t>
  </si>
  <si>
    <t>Atowdo Walato /Ato/</t>
  </si>
  <si>
    <t>አቶውዶ ዋላቶ /አቶ/</t>
  </si>
  <si>
    <t>3026</t>
  </si>
  <si>
    <t>Atresaw Atinafu Senishaw/Ato/</t>
  </si>
  <si>
    <t>አትሬሳው አቲናፉ ሰኒሻው/አቶ/</t>
  </si>
  <si>
    <t>3027</t>
  </si>
  <si>
    <t>3028</t>
  </si>
  <si>
    <t>3029</t>
  </si>
  <si>
    <t>3030</t>
  </si>
  <si>
    <t>Atsede Nigussie Mekuanint /W/o/</t>
  </si>
  <si>
    <t>አፀደ ንጉሴ መኳንንት /ወ/ሮ/</t>
  </si>
  <si>
    <t>0920-313148</t>
  </si>
  <si>
    <t>3031</t>
  </si>
  <si>
    <t>Atsede Teshome Yigezu /W/o/</t>
  </si>
  <si>
    <t>አፀደ ተሾመ ይገዙ /ወ/ሮ/</t>
  </si>
  <si>
    <t>3032</t>
  </si>
  <si>
    <t>Atsede Worku Megera /W/o/</t>
  </si>
  <si>
    <t>አፀደ ወርቁ መግራ /ወ/ሮ/</t>
  </si>
  <si>
    <t>0911-604853</t>
  </si>
  <si>
    <t>3033</t>
  </si>
  <si>
    <t>Atsede Zerihun Gutema /W/o/</t>
  </si>
  <si>
    <t>አፀደ ዘሪሁን ጉተማ /ወ/ሮ/</t>
  </si>
  <si>
    <t>3034</t>
  </si>
  <si>
    <t>Atsedemariam Abeje Ytayew /W/o/</t>
  </si>
  <si>
    <t>አፀደማርያም አበጀ ይታየዉ /ወ/ሮ/</t>
  </si>
  <si>
    <t>0930-615700</t>
  </si>
  <si>
    <t>3035</t>
  </si>
  <si>
    <t>Atsedemariam Walelign Gessese /W/o/</t>
  </si>
  <si>
    <t>አፀደማሪያም ዋለልኝ ገሰሰ /ወ/ሮ/</t>
  </si>
  <si>
    <t>0960-369869</t>
  </si>
  <si>
    <t>3036</t>
  </si>
  <si>
    <t>Atsedewoin Tilahun Bizuneh /W/o</t>
  </si>
  <si>
    <t>አፀደወይን ጥላሁን ብዙነህ /ወ/ሮ/</t>
  </si>
  <si>
    <t>0912-645035</t>
  </si>
  <si>
    <t>3037</t>
  </si>
  <si>
    <t>Atsedewoin Tilahun Bizuneh /W/o/</t>
  </si>
  <si>
    <t>0922-206888</t>
  </si>
  <si>
    <t>betegebriel@gamil.com</t>
  </si>
  <si>
    <t>3038</t>
  </si>
  <si>
    <t>Atsedewoyin Tilahun Bizuneh /W/o/</t>
  </si>
  <si>
    <t>awashriver@gol.com</t>
  </si>
  <si>
    <t>3039</t>
  </si>
  <si>
    <t>Atsere Kota Olila /Ato/</t>
  </si>
  <si>
    <t>አጽሬ ኮታ ኦሊላ /አቶ/</t>
  </si>
  <si>
    <t>3040</t>
  </si>
  <si>
    <t xml:space="preserve">Atwo Electro Mechanical </t>
  </si>
  <si>
    <t xml:space="preserve">ኤቱ ኤሌክትሮ መካኒካል </t>
  </si>
  <si>
    <t>0900-202020/0911-236864</t>
  </si>
  <si>
    <t>3041</t>
  </si>
  <si>
    <t>0900-202020
0911-236864</t>
  </si>
  <si>
    <t>a2electromech@gmail.com</t>
  </si>
  <si>
    <t>3042</t>
  </si>
  <si>
    <t>Autalo Aunkushe Ayane /Ato/</t>
  </si>
  <si>
    <t>ኡታሎ ኡንኩሼ አያኔ /አቶ/</t>
  </si>
  <si>
    <t>3043</t>
  </si>
  <si>
    <t>Awad Ahmed Yesuf /Ato/</t>
  </si>
  <si>
    <t>አዋድ አህመድ የሱፍ /አቶ/</t>
  </si>
  <si>
    <t>0911-167704</t>
  </si>
  <si>
    <t>3044</t>
  </si>
  <si>
    <t>Awajew Belay Mengistu /Ato/</t>
  </si>
  <si>
    <t>አወጀው በላይ መንግስቱ /አቶ/</t>
  </si>
  <si>
    <t>0940-279831</t>
  </si>
  <si>
    <t>3045</t>
  </si>
  <si>
    <t>Awaju Belay Mengistu /Ato/</t>
  </si>
  <si>
    <t>አዋጁ በላይ መንግስቱ /አቶ/</t>
  </si>
  <si>
    <t>0930-015336</t>
  </si>
  <si>
    <t>gyisma@yahoo.com</t>
  </si>
  <si>
    <t>3046</t>
  </si>
  <si>
    <t>Awal Abamecha /Ato/</t>
  </si>
  <si>
    <t>አወል አባመቻ /አቶ/</t>
  </si>
  <si>
    <t>3047</t>
  </si>
  <si>
    <t>Awal Amino /Ato/</t>
  </si>
  <si>
    <t>አወል አምኖ /አቶ/</t>
  </si>
  <si>
    <t>3048</t>
  </si>
  <si>
    <t>Awall Aman Ibrahim /Ato/</t>
  </si>
  <si>
    <t>አወል አማን ኢብራሂም /አቶ/</t>
  </si>
  <si>
    <t>0992-543473</t>
  </si>
  <si>
    <t>3049</t>
  </si>
  <si>
    <t>Awasa Make (Ato)</t>
  </si>
  <si>
    <t>አዋሳ ማቀ ጎባና (አቶ)</t>
  </si>
  <si>
    <t>0953-353556</t>
  </si>
  <si>
    <t>3050</t>
  </si>
  <si>
    <t>Awash Chamo Chaba /Ato/</t>
  </si>
  <si>
    <t>አዋሸ ጫሞ ጫባ /አቶ/</t>
  </si>
  <si>
    <t>0923-083887</t>
  </si>
  <si>
    <t>3051</t>
  </si>
  <si>
    <t>Awate Mokona /Ato/</t>
  </si>
  <si>
    <t>አዋቴ ሞኮና /አቶ/</t>
  </si>
  <si>
    <t>3052</t>
  </si>
  <si>
    <t>Awedbar Shumet Gdife /Ato/</t>
  </si>
  <si>
    <t>አወድባር ሹመት ገድፉ /አቶ/</t>
  </si>
  <si>
    <t>0934-738570</t>
  </si>
  <si>
    <t>3053</t>
  </si>
  <si>
    <t xml:space="preserve">Awek Lishanu Admasu /Ato/ </t>
  </si>
  <si>
    <t>አወቀ ሊሻኑ አድማሱ /አቶ/</t>
  </si>
  <si>
    <t>3054</t>
  </si>
  <si>
    <t>Aweke Adarege Gashaye /Ato/</t>
  </si>
  <si>
    <t>አወቀ አንዳርጌ ጋሻዬ /አቶ/</t>
  </si>
  <si>
    <t>3055</t>
  </si>
  <si>
    <t>Aweke Alamene Bezuneh /Ato/</t>
  </si>
  <si>
    <t>አወቀ አላምኔ ቡዙነህ /አቶ/</t>
  </si>
  <si>
    <t>0920-690596</t>
  </si>
  <si>
    <t>3056</t>
  </si>
  <si>
    <t>Aweke Berhanu Abebe /Ato/</t>
  </si>
  <si>
    <t>አወቀ ብርሃኑ አበበ /አቶ/</t>
  </si>
  <si>
    <t>0914-316943</t>
  </si>
  <si>
    <t>3057</t>
  </si>
  <si>
    <t>Aweke Chere  Hayle /Ato/</t>
  </si>
  <si>
    <t>አወቀ ቸሬ ሀይለ /አቶ/</t>
  </si>
  <si>
    <t>3058</t>
  </si>
  <si>
    <t>Aweke Dure Ewentu /Ato/</t>
  </si>
  <si>
    <t>አወቀ ዱሬ እውነቱ /አቶ/</t>
  </si>
  <si>
    <t>3059</t>
  </si>
  <si>
    <t>Aweke Eshete Kassie /Ato/</t>
  </si>
  <si>
    <t>አወቀ እሸቴ ካሴ /አቶ/</t>
  </si>
  <si>
    <t>3060</t>
  </si>
  <si>
    <t>Aweke Getahun Ademassu /Ato/</t>
  </si>
  <si>
    <t>አወቀ ጌታሁን አድማሱ/አቶ/</t>
  </si>
  <si>
    <t>3061</t>
  </si>
  <si>
    <t>3062</t>
  </si>
  <si>
    <t>Aweke Mekuannit Takele /Ato/</t>
  </si>
  <si>
    <t>ኣወቀ መኳንንቴ ታከለ /አቶ/</t>
  </si>
  <si>
    <t>3063</t>
  </si>
  <si>
    <t>Aweke Mesfin Werkineh (Ato)</t>
  </si>
  <si>
    <t>አወቀ መስፍን ወርቅነህ /አቶ/</t>
  </si>
  <si>
    <t>0906285042</t>
  </si>
  <si>
    <t>3064</t>
  </si>
  <si>
    <t>Aweke Muneyelt Gelaw /Ato/</t>
  </si>
  <si>
    <t>አወቀ ሙኔልት ገላው /አቶ/</t>
  </si>
  <si>
    <t>3065</t>
  </si>
  <si>
    <t>Aweke Yigezaw Webe /Ato/</t>
  </si>
  <si>
    <t>አወቀ ይግዛው ወቤ /አቶ/</t>
  </si>
  <si>
    <t>3066</t>
  </si>
  <si>
    <t>Awekech Negash Tamiat /W/o/</t>
  </si>
  <si>
    <t>አወቀች ነጋሽ ታምራት /ወ/ሮ/</t>
  </si>
  <si>
    <t>3067</t>
  </si>
  <si>
    <t>3068</t>
  </si>
  <si>
    <t>Awlachew Asfaw Alemu /Ato/</t>
  </si>
  <si>
    <t>አውላቸው አስፋው አለሙ /አቶ/</t>
  </si>
  <si>
    <t>3069</t>
  </si>
  <si>
    <t>Awok Lishanu Admasu /Ato/</t>
  </si>
  <si>
    <t>0911-543099</t>
  </si>
  <si>
    <t>3070</t>
  </si>
  <si>
    <t>Awok Simeneh Zerihun /Ato/</t>
  </si>
  <si>
    <t>አወቀ ስሜነህ ዘሪሁን /አቶ/</t>
  </si>
  <si>
    <t>3071</t>
  </si>
  <si>
    <t>Awok Teshom /Ato/</t>
  </si>
  <si>
    <t>አወቀ ተሾም /አቶ/</t>
  </si>
  <si>
    <t>0933-016123</t>
  </si>
  <si>
    <t>3072</t>
  </si>
  <si>
    <t>Awoke Akalu Muluken  /Ato/</t>
  </si>
  <si>
    <t>አውቀ አካሉ ሙሉቀን   /አቶ/</t>
  </si>
  <si>
    <t>3073</t>
  </si>
  <si>
    <t>Awoke Amare Wakno /Ato/</t>
  </si>
  <si>
    <t>አወቀ አማሬ ዋክኖ /አቶ/</t>
  </si>
  <si>
    <t>3074</t>
  </si>
  <si>
    <t>Awoke Amesalu Kassie /Ato/</t>
  </si>
  <si>
    <t>አወቀ አመሰሉ ካሴ /አቶ/</t>
  </si>
  <si>
    <t>3075</t>
  </si>
  <si>
    <t>Awoke Aschenek Bogale /Ato/</t>
  </si>
  <si>
    <t>አወቀ አስጨነቅ ቦጋለ /አቶ/</t>
  </si>
  <si>
    <t>3076</t>
  </si>
  <si>
    <t xml:space="preserve">Awoke Assefa Wendemu /Ato/ </t>
  </si>
  <si>
    <t>አወቀ አስፋ ወንድሙ /አቶ/</t>
  </si>
  <si>
    <t>3077</t>
  </si>
  <si>
    <t>Awoke Ayanew Muketie /Ato/</t>
  </si>
  <si>
    <t>አወቀ አያናው ሙቀቴ /አቶ/</t>
  </si>
  <si>
    <t>0934-630755</t>
  </si>
  <si>
    <t>3078</t>
  </si>
  <si>
    <t>Awoke Ayichilie Wasie /Ato/</t>
  </si>
  <si>
    <t>አወቀ አዪቺሊ ዋሴ /አቶ/</t>
  </si>
  <si>
    <t>3079</t>
  </si>
  <si>
    <t>Awoke Barie /Ato/</t>
  </si>
  <si>
    <t>አወቀ ባሬ /አቶ/</t>
  </si>
  <si>
    <t>3080</t>
  </si>
  <si>
    <t>Awoke Belay /Ato/</t>
  </si>
  <si>
    <t>አወቀ በላይ መርን/አቶ/</t>
  </si>
  <si>
    <t>0962-902668</t>
  </si>
  <si>
    <t>3081</t>
  </si>
  <si>
    <t xml:space="preserve">Awoke Birhanu Nega  /Ato/ </t>
  </si>
  <si>
    <t>አወቀ ብርሃኑ ነጋ /አቶ/</t>
  </si>
  <si>
    <t>3082</t>
  </si>
  <si>
    <t>Awoke Dagna Enyew /Ato/</t>
  </si>
  <si>
    <t>አወቀ ዳኛ እንየው /አቶ/</t>
  </si>
  <si>
    <t>3083</t>
  </si>
  <si>
    <t>Awoke Dagne Eingedaw /Ato/</t>
  </si>
  <si>
    <t>አወቀ ዳኜ አይነጋው /አቶ/</t>
  </si>
  <si>
    <t>3084</t>
  </si>
  <si>
    <t>Awoke Dereje Ayalew /Kes/</t>
  </si>
  <si>
    <t>አወቀ ደረጀ አያሌው /ቄሰ/</t>
  </si>
  <si>
    <t>0977838790</t>
  </si>
  <si>
    <t>3085</t>
  </si>
  <si>
    <t>Awoke Erkie /Ato/</t>
  </si>
  <si>
    <t>አውቀ እርቄ /አቶ/</t>
  </si>
  <si>
    <t>3086</t>
  </si>
  <si>
    <t>Awoke Fenta Anbaw /Ato/</t>
  </si>
  <si>
    <t xml:space="preserve"> አወቀ ፈንታ አንባው /አቶ/</t>
  </si>
  <si>
    <t>3087</t>
  </si>
  <si>
    <t>Awoke Fkad Malede /Ato/</t>
  </si>
  <si>
    <t>አወቀ ፍቃድ ማለደ /አቶ/</t>
  </si>
  <si>
    <t>0918-391928</t>
  </si>
  <si>
    <t>3088</t>
  </si>
  <si>
    <t>3089</t>
  </si>
  <si>
    <t>Awoke Kebede Kassa /Ato/</t>
  </si>
  <si>
    <t>አወቀ ከበደ ካሳ /አቶ/</t>
  </si>
  <si>
    <t>3090</t>
  </si>
  <si>
    <t>Awoke Kebede Lakew /Ato/</t>
  </si>
  <si>
    <t>አወቀ ከበደ ላቀው /አቶ/</t>
  </si>
  <si>
    <t>3091</t>
  </si>
  <si>
    <t>Awoke Kebede Workineh /Ato/</t>
  </si>
  <si>
    <t>አወቀ ከበደ ወርቅነህ /አቶ/</t>
  </si>
  <si>
    <t>3092</t>
  </si>
  <si>
    <t>Awoke Kibret Kbiteneh /Ato/</t>
  </si>
  <si>
    <t>አወቀ ክብረት ከብቴነህ /አቶ/</t>
  </si>
  <si>
    <t>3093</t>
  </si>
  <si>
    <t>Awoke Mekonnen /Ato/</t>
  </si>
  <si>
    <t>አወቀ መኮንን /አቶ/</t>
  </si>
  <si>
    <t>3094</t>
  </si>
  <si>
    <t>Awoke Melkie Ayehu /Ato/</t>
  </si>
  <si>
    <t> አወቀ መልኬ አየሁ /አቶ/</t>
  </si>
  <si>
    <t>0911-638337
0913-279474</t>
  </si>
  <si>
    <t>awokeayehu@yahoo.com</t>
  </si>
  <si>
    <t>3095</t>
  </si>
  <si>
    <t>Awoke Mulugeta Goshe /Ato/</t>
  </si>
  <si>
    <t>አወቀ ሙሉጌታ ጎሼ /አቶ/</t>
  </si>
  <si>
    <t>3096</t>
  </si>
  <si>
    <t xml:space="preserve">Awoke Muluwork  /Ato/ </t>
  </si>
  <si>
    <t>ንቁ ሙሉወርቅ /አቶ/</t>
  </si>
  <si>
    <t>3097</t>
  </si>
  <si>
    <t>Awoke Sibihat Abeze /Ato/</t>
  </si>
  <si>
    <t>አውቀ ሰበሃት አበዘ /አቶ/</t>
  </si>
  <si>
    <t>3098</t>
  </si>
  <si>
    <t>Awoke Tasew Gedam /Ato/</t>
  </si>
  <si>
    <t>አወቀ ጣሰው ገዳሙ /አቶ/</t>
  </si>
  <si>
    <t>0978-782380</t>
  </si>
  <si>
    <t>3099</t>
  </si>
  <si>
    <t>Awoke Tefera Belew /Ato/</t>
  </si>
  <si>
    <t>አወቀ ተፈራ በለወ /አቶ/</t>
  </si>
  <si>
    <t>3100</t>
  </si>
  <si>
    <t>Awoke Tesfaw Getahun /Ato/</t>
  </si>
  <si>
    <t>አወቀ ተሰፈው ጌታሁን  /አቶ/</t>
  </si>
  <si>
    <t>3101</t>
  </si>
  <si>
    <t>Awoke Teshome Bayih /Ato</t>
  </si>
  <si>
    <t>አወቀ ተሾመ ባይህ  /አቶ/</t>
  </si>
  <si>
    <t>3102</t>
  </si>
  <si>
    <t>Awoke Tsemero Chako /Ato/</t>
  </si>
  <si>
    <t>አወቄ ፀመሮ ጫኮ /አቶ/</t>
  </si>
  <si>
    <t>3103</t>
  </si>
  <si>
    <t>Awoke Wale Kebede /Ato/</t>
  </si>
  <si>
    <t>አወቀ ዋለ ከበደ /አቶ/</t>
  </si>
  <si>
    <t>3104</t>
  </si>
  <si>
    <t>Awoke Zelalem /Ato/</t>
  </si>
  <si>
    <t>አወቀ ዘላለም /አቶ/</t>
  </si>
  <si>
    <t>0912-349175</t>
  </si>
  <si>
    <t>3105</t>
  </si>
  <si>
    <t>Awoke Zeleke Tesema /Ato/</t>
  </si>
  <si>
    <t>አወቀ ዘለቀ ተስማ /አቶ/</t>
  </si>
  <si>
    <t>3106</t>
  </si>
  <si>
    <t>Awol /jihad /Ato/</t>
  </si>
  <si>
    <t>አወል /ጂሃድ /አቶ/</t>
  </si>
  <si>
    <t>0970-008187</t>
  </si>
  <si>
    <t>3107</t>
  </si>
  <si>
    <t>Awol A/Fira /Ato/</t>
  </si>
  <si>
    <t>አወል አባፊራ /አቶ/</t>
  </si>
  <si>
    <t>0909-473065</t>
  </si>
  <si>
    <t>3108</t>
  </si>
  <si>
    <t>Awol Ababor /Ato/</t>
  </si>
  <si>
    <t>አወል አባቡሩ/አቶ/</t>
  </si>
  <si>
    <t>0982-079123</t>
  </si>
  <si>
    <t>3109</t>
  </si>
  <si>
    <t>Awol Abazinab /Ato/</t>
  </si>
  <si>
    <t>አወል አባዚናብ /አቶ/</t>
  </si>
  <si>
    <t>0903-358374</t>
  </si>
  <si>
    <t>3110</t>
  </si>
  <si>
    <t>Awol Mohammed Hassen /Ato/</t>
  </si>
  <si>
    <t>አወል መሀመድ ሃሰን /አቶ/</t>
  </si>
  <si>
    <t>0913-821186</t>
  </si>
  <si>
    <t>3111</t>
  </si>
  <si>
    <t>Awol Sete Legesse /Ato/</t>
  </si>
  <si>
    <t>አወል ሰጠ ለገሰ /አቶ/</t>
  </si>
  <si>
    <t>0942-592049</t>
  </si>
  <si>
    <t>3112</t>
  </si>
  <si>
    <t>Awol Temam Hussen /Ato/</t>
  </si>
  <si>
    <t>አወል ተማም ሁሴን /አቶ/</t>
  </si>
  <si>
    <t>0917-774397</t>
  </si>
  <si>
    <t>3113</t>
  </si>
  <si>
    <t>Awole Bergene /Ato/</t>
  </si>
  <si>
    <t>አዎል ብርገነ /አቶ/</t>
  </si>
  <si>
    <t>3114</t>
  </si>
  <si>
    <t>Awole Ibrahim A/Temam /Ato/</t>
  </si>
  <si>
    <t>አወል ኢቢራሂም /አቶ/</t>
  </si>
  <si>
    <t>0966-153715</t>
  </si>
  <si>
    <t>3115</t>
  </si>
  <si>
    <t>Awole Miskir Omate /Ato/</t>
  </si>
  <si>
    <t>አወል ምስክር አማቴ /አቶ/</t>
  </si>
  <si>
    <t>0925-623638</t>
  </si>
  <si>
    <t>3116</t>
  </si>
  <si>
    <t>Awole Mohammed Hassen /Ato/</t>
  </si>
  <si>
    <t>አወል መሐመድ ሀሰን /አቶ/</t>
  </si>
  <si>
    <t>0922-924051</t>
  </si>
  <si>
    <t>3117</t>
  </si>
  <si>
    <t>Awole Ufesa Urekaso /Ato/</t>
  </si>
  <si>
    <t>አወል ኡፌሳ ኡርክሶ /አቶ/</t>
  </si>
  <si>
    <t>0902-644353/0916-168773</t>
  </si>
  <si>
    <t>3118</t>
  </si>
  <si>
    <t>Awolen Alem Bimrew /Ato/</t>
  </si>
  <si>
    <t>አዎለን አለም ቢምረው /አቶ/</t>
  </si>
  <si>
    <t>3119</t>
  </si>
  <si>
    <t>Awot Tekle G/Hiwot /Ato/</t>
  </si>
  <si>
    <t>አወት ተክሌ ገ/ህይወት /አቶ/</t>
  </si>
  <si>
    <t>0912-646117</t>
  </si>
  <si>
    <t>3120</t>
  </si>
  <si>
    <t>Awraris Girma Abebe /Ato/</t>
  </si>
  <si>
    <t>አውራሪስ ግርማ አበበ /አቶ/</t>
  </si>
  <si>
    <t>417638744795</t>
  </si>
  <si>
    <t>awraris.girma@injera.ch</t>
  </si>
  <si>
    <t>3121</t>
  </si>
  <si>
    <t>Awugichew Endalemaw Adeko /Ato/</t>
  </si>
  <si>
    <t>አውጉችው እንዳለማው አደቆ /አቶ/</t>
  </si>
  <si>
    <t>3122</t>
  </si>
  <si>
    <t>Awukie Acha Kebede / Ato/</t>
  </si>
  <si>
    <t>አውቄ አቻ ከበደ /አቶ/</t>
  </si>
  <si>
    <t>3123</t>
  </si>
  <si>
    <t>Awulachew Zewudie Fikie /Ato/</t>
  </si>
  <si>
    <t>አውላቸው ዘውዴ ፈቄ /አቶ/</t>
  </si>
  <si>
    <t>0920-209117</t>
  </si>
  <si>
    <t>3124</t>
  </si>
  <si>
    <t>Awulew Birlie Woldie /Ato/</t>
  </si>
  <si>
    <t>አወለው ብርሌ ወልዴ /አቶ/</t>
  </si>
  <si>
    <t>0982-549904</t>
  </si>
  <si>
    <t>3125</t>
  </si>
  <si>
    <t>Awuraja Buche Balie /Ato/</t>
  </si>
  <si>
    <t>አውራጃ ቡቼ ባሌ /አቶ/</t>
  </si>
  <si>
    <t>0912-761988</t>
  </si>
  <si>
    <t>3126</t>
  </si>
  <si>
    <t>Awuraris Getachew Tilahun /Ato/</t>
  </si>
  <si>
    <t>አውራሪስ ጌታቸው ጥላሁን /አቶ/</t>
  </si>
  <si>
    <t>0914-463175</t>
  </si>
  <si>
    <t>Washo</t>
  </si>
  <si>
    <t>3127</t>
  </si>
  <si>
    <t>Axumawit Meshesha Daddy /W/t/</t>
  </si>
  <si>
    <t>አክሱማዊት መሸሻ ዳዲ /ወ/ት/</t>
  </si>
  <si>
    <t>0933-912313</t>
  </si>
  <si>
    <t>3128</t>
  </si>
  <si>
    <t>Ayaka Shunta /Ato/</t>
  </si>
  <si>
    <t>አይካ ሹንቻ /አቶ/</t>
  </si>
  <si>
    <t>3129</t>
  </si>
  <si>
    <t>Ayal Asefa Tenaw    /Ato/</t>
  </si>
  <si>
    <t>አያል አሰፋ ጤናው   /አቶ/</t>
  </si>
  <si>
    <t>3130</t>
  </si>
  <si>
    <t>Ayal Ewenetu Alemu /Ato/</t>
  </si>
  <si>
    <t>አያል እውነቱ አለሙ /አቶ/</t>
  </si>
  <si>
    <t>3131</t>
  </si>
  <si>
    <t>Ayal Zegeye Kassew /Ato/</t>
  </si>
  <si>
    <t>አያል ዘገየ ካሰው /አቶ/</t>
  </si>
  <si>
    <t>3132</t>
  </si>
  <si>
    <t>Ayale Dese Tezazu /Ato/</t>
  </si>
  <si>
    <t>አያል ደሴ ትዛዙ /አቶ/</t>
  </si>
  <si>
    <t>0919-845364</t>
  </si>
  <si>
    <t>3133</t>
  </si>
  <si>
    <t>Ayalenew Tibebu  Dagne /Ato/</t>
  </si>
  <si>
    <t>አያሌው ጥበቡ ዳኜ /አቶ/</t>
  </si>
  <si>
    <t>3134</t>
  </si>
  <si>
    <t>Ayalew Adgeh Wube /Ato/</t>
  </si>
  <si>
    <t>አያሌው አድገህ ዉቤ /አቶ/</t>
  </si>
  <si>
    <t>0923-026199</t>
  </si>
  <si>
    <t>3135</t>
  </si>
  <si>
    <t>Ayalew Alemu Wolela /Ato/</t>
  </si>
  <si>
    <t>አያሌው አለሙ ወለላ /አቶ/</t>
  </si>
  <si>
    <t>0916-134853</t>
  </si>
  <si>
    <t>ayalew.wolela62@gmail.com</t>
  </si>
  <si>
    <t>3136</t>
  </si>
  <si>
    <t>Ayalew Amare Chuneduko /Ato/</t>
  </si>
  <si>
    <t>አያሌው አማሬ ጩንዱቆ /አቶ/</t>
  </si>
  <si>
    <t>3137</t>
  </si>
  <si>
    <t>Ayalew Aschenek Teshale/ Ato/</t>
  </si>
  <si>
    <t>አያሌው አስጨነቀ ተሻል /አቶ/</t>
  </si>
  <si>
    <t>3138</t>
  </si>
  <si>
    <t>Ayalew Asres Tizazu /Ato/</t>
  </si>
  <si>
    <t>አያሌው አስረስ ትዛዙ /አቶ/</t>
  </si>
  <si>
    <t>0920-553830</t>
  </si>
  <si>
    <t>3139</t>
  </si>
  <si>
    <t>Ayalew Assefa Amejo /Ato/</t>
  </si>
  <si>
    <t>አያሌው አሰፋ አሜጆ /አቶ/</t>
  </si>
  <si>
    <t>3140</t>
  </si>
  <si>
    <t>Ayalew Atumo Abito /Ato/</t>
  </si>
  <si>
    <t>አያሌው አቱሞ አቢቶ /አቶ/</t>
  </si>
  <si>
    <t>3141</t>
  </si>
  <si>
    <t>Ayalew Belachew Kebede /Ato/</t>
  </si>
  <si>
    <t>አያሌው በላቸው ከበደ /አቶ/</t>
  </si>
  <si>
    <t>3142</t>
  </si>
  <si>
    <t>Ayalew Beze Fenta /Ato/</t>
  </si>
  <si>
    <t>አያሌው በዜ ፈንታ /አቶ/</t>
  </si>
  <si>
    <t>3143</t>
  </si>
  <si>
    <t>Ayalew Emiru Enyew /Ato/</t>
  </si>
  <si>
    <t>አያሌው እምሩ እንየው /አቶ/</t>
  </si>
  <si>
    <t>0934-377909</t>
  </si>
  <si>
    <t>tsertse@gmail.com</t>
  </si>
  <si>
    <t>wota.aye@gmail.com</t>
  </si>
  <si>
    <t>3144</t>
  </si>
  <si>
    <t>Ayalew Getahun Tegegne /Kis/</t>
  </si>
  <si>
    <t>አያሌው ጌታሁን ተገኝ /አቶ/</t>
  </si>
  <si>
    <t>0920-260253</t>
  </si>
  <si>
    <t>3145</t>
  </si>
  <si>
    <t>Ayalew Getnet Belet /Ato/</t>
  </si>
  <si>
    <t>አያሌው ጌትነት በለጠ /አቶ/</t>
  </si>
  <si>
    <t>3146</t>
  </si>
  <si>
    <t>Ayalew Guta /Ato/</t>
  </si>
  <si>
    <t>አያሌው ጉታ /አቶ/</t>
  </si>
  <si>
    <t>0915-988350</t>
  </si>
  <si>
    <t>gutaayalew@yahoo.com</t>
  </si>
  <si>
    <t>3147</t>
  </si>
  <si>
    <t>Ayalew Kebede Ayele /Ato/</t>
  </si>
  <si>
    <t>አያሌው ከበደ አየለ /አቶ/</t>
  </si>
  <si>
    <t>0911-456102</t>
  </si>
  <si>
    <t>habtamewnetu7@gmail.com</t>
  </si>
  <si>
    <t>3148</t>
  </si>
  <si>
    <t>Ayalew Mekonnen Deseta /Ato/</t>
  </si>
  <si>
    <t>አያሌው መኮንን ደስታ /አቶ/</t>
  </si>
  <si>
    <t>3149</t>
  </si>
  <si>
    <t>Ayalew Mekonnen Feleke /Ato/</t>
  </si>
  <si>
    <t>አያሌው መኮንን ፈለቀ /አቶ/</t>
  </si>
  <si>
    <t>3150</t>
  </si>
  <si>
    <t>Ayalew Melie Gesese /Ato/</t>
  </si>
  <si>
    <t>አያሌው ሙሉ ገሠሠ /አቶ/</t>
  </si>
  <si>
    <t>3151</t>
  </si>
  <si>
    <t>Ayalew Mengist Mekonnen /Ato/</t>
  </si>
  <si>
    <t>አያሌው መንግስት መኮንን/ አቶ/</t>
  </si>
  <si>
    <t>3152</t>
  </si>
  <si>
    <t>Ayalew Mengistie Alemayehu /Ato/</t>
  </si>
  <si>
    <t>አያሌው መንግስቴ አለማየሁ /አቶ/</t>
  </si>
  <si>
    <t>0946-791677</t>
  </si>
  <si>
    <t>3153</t>
  </si>
  <si>
    <t>Ayalew Mosse Mekonnen /Ato/</t>
  </si>
  <si>
    <t>አያሌው ሞሴ መኮንን /አቶ/</t>
  </si>
  <si>
    <t>0913-863712</t>
  </si>
  <si>
    <t>3154</t>
  </si>
  <si>
    <t>Ayalew Sinegeoirges Zegye /Ato/</t>
  </si>
  <si>
    <t>አያሌዉ ሥነጊዮርጊስ ዘገየ /አቶ/</t>
  </si>
  <si>
    <t>3155</t>
  </si>
  <si>
    <t>አያሌው ስነጊዮርጊስ ዘገየ /አቶ/</t>
  </si>
  <si>
    <t>417-872-78508</t>
  </si>
  <si>
    <t>zekarias.cherinet@att.net</t>
  </si>
  <si>
    <t>3156</t>
  </si>
  <si>
    <t>Ayalew Tagele Gelaye /Ato/</t>
  </si>
  <si>
    <t>አያሌው ታገለ ገላዬ /አቶ/</t>
  </si>
  <si>
    <t>0911-729204</t>
  </si>
  <si>
    <t>Henokagerea@gamil.com</t>
  </si>
  <si>
    <t>3157</t>
  </si>
  <si>
    <t>Ayalew Teshome Alemu    /Ato/</t>
  </si>
  <si>
    <t>አያሌው ተሾመ አለሙ    /አቶ/</t>
  </si>
  <si>
    <t>3158</t>
  </si>
  <si>
    <t>Ayalew Workineh Mekonen /Ato /</t>
  </si>
  <si>
    <t>አያሌው ወርቅነህ መኮነን /አቶ/</t>
  </si>
  <si>
    <t>3159</t>
  </si>
  <si>
    <t>Ayalew Wudu Tesega /Ato/</t>
  </si>
  <si>
    <t>አያሌው ዉዱ ተሰጋ /አቶ/</t>
  </si>
  <si>
    <t>3160</t>
  </si>
  <si>
    <t>Ayaliw Hankebo /Ato/</t>
  </si>
  <si>
    <t>አያሊው ሀንኬቦ /አቶ/</t>
  </si>
  <si>
    <t>3161</t>
  </si>
  <si>
    <t>Ayalneh Abe Belay /Ato/</t>
  </si>
  <si>
    <t>አያልነህ አቤ በላይ /አቶ/</t>
  </si>
  <si>
    <t>0925-359820</t>
  </si>
  <si>
    <t>3162</t>
  </si>
  <si>
    <t>Ayalneh Amare /Ato/</t>
  </si>
  <si>
    <t>አያልነህ አማረ /አቶ/</t>
  </si>
  <si>
    <t>0938-132241</t>
  </si>
  <si>
    <t>3163</t>
  </si>
  <si>
    <t>Ayalneh Walelign Tirfie(Ato)</t>
  </si>
  <si>
    <t>አያልነህ ዋለለኝ ትርፌ  /አቶ/</t>
  </si>
  <si>
    <t>3164</t>
  </si>
  <si>
    <t>Ayalu Zerihun Asres /Ato/</t>
  </si>
  <si>
    <t>አያሉ ዘሪሁን አስረስ /አቶ/</t>
  </si>
  <si>
    <t>3165</t>
  </si>
  <si>
    <t>Ayana Abelu Tiruneh /Ato/</t>
  </si>
  <si>
    <t>አያና አበሉ ጥሩነህ /አቶ/</t>
  </si>
  <si>
    <t>3166</t>
  </si>
  <si>
    <t>Ayana Alwmu Tizazu /Ato/</t>
  </si>
  <si>
    <t>አያና አለሙ ትዛዙ /አቶ/</t>
  </si>
  <si>
    <t>0918-636687</t>
  </si>
  <si>
    <t>3167</t>
  </si>
  <si>
    <t>Ayana Bezabih Workineh /Ato/</t>
  </si>
  <si>
    <t>አያና በዛብህ ወርቅነህ /አቶ/</t>
  </si>
  <si>
    <t>0918-576163</t>
  </si>
  <si>
    <t>3168</t>
  </si>
  <si>
    <t>Ayana G/Michael Chala /Ato/</t>
  </si>
  <si>
    <t>አያና ገ/ሚካኤል ጫላ /አቶ/</t>
  </si>
  <si>
    <t>0911-409598</t>
  </si>
  <si>
    <t>solomons743@gmail.com</t>
  </si>
  <si>
    <t>3169</t>
  </si>
  <si>
    <t>Ayana Koyehu /Ato/</t>
  </si>
  <si>
    <t>አያና ቆየሁ /አቶ/</t>
  </si>
  <si>
    <t>0933-996890</t>
  </si>
  <si>
    <t>3170</t>
  </si>
  <si>
    <t>Ayana Melikamu /Ato/</t>
  </si>
  <si>
    <t>አያና መልካሙ /አቶ/</t>
  </si>
  <si>
    <t>0984-628536</t>
  </si>
  <si>
    <t>3171</t>
  </si>
  <si>
    <t xml:space="preserve">Ayana Sharew( Tsedal) (Ato) </t>
  </si>
  <si>
    <t>አያና ሸረው ፀዳል  /አቶ/</t>
  </si>
  <si>
    <t>3172</t>
  </si>
  <si>
    <t>Ayana Shferaw Taye /Ato/</t>
  </si>
  <si>
    <t>አያና ሸፍራው ታየ /አቶ/</t>
  </si>
  <si>
    <t>3173</t>
  </si>
  <si>
    <t>Ayana Sileshi Ashebir /Ato/</t>
  </si>
  <si>
    <t>አያና ስለሺ አሸብር /አቶ/</t>
  </si>
  <si>
    <t>0912-164663</t>
  </si>
  <si>
    <t>ayanasileshi@gmail.com</t>
  </si>
  <si>
    <t>3174</t>
  </si>
  <si>
    <t>Ayana Yitayh /Ato/</t>
  </si>
  <si>
    <t>አያና ይታይህ /አቶ/</t>
  </si>
  <si>
    <t>3175</t>
  </si>
  <si>
    <t>Ayanaw Addis /Kes/</t>
  </si>
  <si>
    <t>አየነው አዲስ /ቄስ/</t>
  </si>
  <si>
    <t>0918-138248</t>
  </si>
  <si>
    <t>3176</t>
  </si>
  <si>
    <t>Ayanaw Asifaw Alemayew /Ato/</t>
  </si>
  <si>
    <t>አያናው አስፋው አለማየሁ /አቶ/</t>
  </si>
  <si>
    <t>0940-557408</t>
  </si>
  <si>
    <t>3177</t>
  </si>
  <si>
    <t>Ayanaw Haile Gezu /Ato/</t>
  </si>
  <si>
    <t>አያናው ኃይሌ ገዙ /አቶ/</t>
  </si>
  <si>
    <t>0925-706812</t>
  </si>
  <si>
    <t>3178</t>
  </si>
  <si>
    <t>Ayanaw Muket Melese /Ato/</t>
  </si>
  <si>
    <t>አያናው ሙኬት መለሰ /አቶ/</t>
  </si>
  <si>
    <t>3179</t>
  </si>
  <si>
    <t>Ayanaw Sitotaw /Ato/</t>
  </si>
  <si>
    <t>አያናው ስጦታው /አቶ/</t>
  </si>
  <si>
    <t>3180</t>
  </si>
  <si>
    <t>Ayaneh Wubale Enyew /Ato/</t>
  </si>
  <si>
    <t>አየነህ ውባለ እንየው /አቶ/</t>
  </si>
  <si>
    <t>3181</t>
  </si>
  <si>
    <t>Ayanew Anily /Ato/</t>
  </si>
  <si>
    <t>አያነው አንለይ /አቶ/</t>
  </si>
  <si>
    <t>0932-112940</t>
  </si>
  <si>
    <t>3182</t>
  </si>
  <si>
    <t>Ayanew Ngusie Mesafentie /Ato/</t>
  </si>
  <si>
    <t>አያነው ንጉሴ መሳፍንቴ /አቶ/</t>
  </si>
  <si>
    <t>3183</t>
  </si>
  <si>
    <t>Ayanew Sisay /Ato/</t>
  </si>
  <si>
    <t>አያነው ሲሳይ /አቶ/</t>
  </si>
  <si>
    <t>3184</t>
  </si>
  <si>
    <t>Ayano Gonjafo /Ato/</t>
  </si>
  <si>
    <t>አያኖ ጎንጀፎ /አቶ/</t>
  </si>
  <si>
    <t>0922-064964</t>
  </si>
  <si>
    <t>3185</t>
  </si>
  <si>
    <t>Ayano Teshome /Ato/</t>
  </si>
  <si>
    <t>አያኖ ተሾመ /አቶ/</t>
  </si>
  <si>
    <t>3186</t>
  </si>
  <si>
    <t>Ayantu Firomsa Emana /W/o/</t>
  </si>
  <si>
    <t>አያንቱ  ፍሮምሣ ኢማና /ወ/ት/</t>
  </si>
  <si>
    <t>3187</t>
  </si>
  <si>
    <t>Ayantu Gemechu Tumsa /W/o/</t>
  </si>
  <si>
    <t>አያንቱ ገመቹ ቱምሳ /ወ/ሮ/</t>
  </si>
  <si>
    <t>3188</t>
  </si>
  <si>
    <t>Ayasew Melese Melese /Ato/</t>
  </si>
  <si>
    <t>አያሰው መለሰ /አቶ/</t>
  </si>
  <si>
    <t>3189</t>
  </si>
  <si>
    <t>Ayatudin Hajimusa Abasanbi /Ato/</t>
  </si>
  <si>
    <t>አያቱዲን ሀጂሙሳ አባሳንቢ /አቶ/</t>
  </si>
  <si>
    <t>0930-999091</t>
  </si>
  <si>
    <t>3190</t>
  </si>
  <si>
    <t>3191</t>
  </si>
  <si>
    <t>Aychesh Beyene Demse /W/o/</t>
  </si>
  <si>
    <t>አይቼሽ በየነ ደምሴ /ወ/ሮ/</t>
  </si>
  <si>
    <t>0924-313561</t>
  </si>
  <si>
    <t>3192</t>
  </si>
  <si>
    <t>Aychew Asefa Wendemu /Ato/</t>
  </si>
  <si>
    <t>አይቸው አሰፋ ወንድሙ /አቶ/</t>
  </si>
  <si>
    <t>0931-940829</t>
  </si>
  <si>
    <t>3193</t>
  </si>
  <si>
    <t>Aychilo Sola Senko /Ato/</t>
  </si>
  <si>
    <t>አይችሎ ሶላ ሰንቆ /አቶ/</t>
  </si>
  <si>
    <t>3194</t>
  </si>
  <si>
    <t>Aychilum Damtie Emiru /W/O/</t>
  </si>
  <si>
    <t>አይችሉ ዳምጤ አምሩ /ወ/ሮ/</t>
  </si>
  <si>
    <t>3195</t>
  </si>
  <si>
    <t>Ayda Adem Raju /W/o/</t>
  </si>
  <si>
    <t>አይዳ አደም ራጅኡ /ወ/ሮ/</t>
  </si>
  <si>
    <t>0925-118369</t>
  </si>
  <si>
    <t>3196</t>
  </si>
  <si>
    <t>Ayda Amare Gobena /W/o/</t>
  </si>
  <si>
    <t>አይዳ አማረ ገበና /ወ/ሮ/</t>
  </si>
  <si>
    <t>3197</t>
  </si>
  <si>
    <t>Ayechew Mihertu Ewenu /Ato/</t>
  </si>
  <si>
    <t>አየቸው ምህረቱ እውነቱ /አቶ/</t>
  </si>
  <si>
    <t>3198</t>
  </si>
  <si>
    <t>Ayehu Alebel /Ato/</t>
  </si>
  <si>
    <t>አየሁ አለበል /አቶ/</t>
  </si>
  <si>
    <t>3199</t>
  </si>
  <si>
    <t>Ayehu Asefa Yihune /Ato/</t>
  </si>
  <si>
    <t>አየሁ አሰፋ ይሁኔ /አቶ/</t>
  </si>
  <si>
    <t>3200</t>
  </si>
  <si>
    <t>Ayehu Ate Derese /Ato/</t>
  </si>
  <si>
    <t>አየሁ አቴ ደረሰ /አቶ/</t>
  </si>
  <si>
    <t>3201</t>
  </si>
  <si>
    <t>Ayehu Birhanie Endeshaw /W/O/</t>
  </si>
  <si>
    <t>አየሁ ብርሃኔ እንደሻው /አቶ/</t>
  </si>
  <si>
    <t>3202</t>
  </si>
  <si>
    <t>Ayehu Tarekegn Anbaw /Ato/</t>
  </si>
  <si>
    <t>አየሁ ታረቀኝ አንባው /አቶ/</t>
  </si>
  <si>
    <t>3203</t>
  </si>
  <si>
    <t>Ayehualem Bihonegn Tadege /Ato/</t>
  </si>
  <si>
    <t xml:space="preserve">አየሁዓለም ቢሆነኝ ታደገ /አቶ/ </t>
  </si>
  <si>
    <t>3204</t>
  </si>
  <si>
    <t>Ayeka Tonja Taletamo /Ato/</t>
  </si>
  <si>
    <t>አይካ ቶንጃ ጠልታሞ /አቶ/</t>
  </si>
  <si>
    <t>0927-056260</t>
  </si>
  <si>
    <t>3205</t>
  </si>
  <si>
    <t>Ayele  Tibebu Tegegne /Kis/</t>
  </si>
  <si>
    <t>አየለ ጥበቡ ተገኘ /ቄስ/</t>
  </si>
  <si>
    <t>0921-286152</t>
  </si>
  <si>
    <t>3206</t>
  </si>
  <si>
    <t>Ayele Abera Ayenalem /Ato/</t>
  </si>
  <si>
    <t>አየለ አበራ አይናለም /አቶ/</t>
  </si>
  <si>
    <t>0912-480438</t>
  </si>
  <si>
    <t>3207</t>
  </si>
  <si>
    <t>3208</t>
  </si>
  <si>
    <t>Ayele Alaro Asha /Ato/</t>
  </si>
  <si>
    <t>አየለ አላሮ አሻ /አቶ/</t>
  </si>
  <si>
    <t>3209</t>
  </si>
  <si>
    <t>Ayele Alato Kachele /Ato/</t>
  </si>
  <si>
    <t>አየለ አልቶ ከቸለ /አቶ/</t>
  </si>
  <si>
    <t>3210</t>
  </si>
  <si>
    <t>Ayele Alemu Abate /Ato/</t>
  </si>
  <si>
    <t>አየለ አለሙ አባተ /አቶ/</t>
  </si>
  <si>
    <t>0967-604695</t>
  </si>
  <si>
    <t>3211</t>
  </si>
  <si>
    <t>Ayele and Mekasha Woldekidan and Woldeyohannes /Ato/</t>
  </si>
  <si>
    <t>አየለ እና መካሻ ወልደኪዳን እና ወልደዮሐንስ</t>
  </si>
  <si>
    <t>0911-875314</t>
  </si>
  <si>
    <t>ayele.woldekidan@gmail.com</t>
  </si>
  <si>
    <t>3212</t>
  </si>
  <si>
    <t>Ayele Andebo /Ato/</t>
  </si>
  <si>
    <t>አየለ አንደቦ /አቶ/</t>
  </si>
  <si>
    <t>3213</t>
  </si>
  <si>
    <t>Ayele Anjelo Wagesho /Ato/</t>
  </si>
  <si>
    <t>አየለ አንጀሎ ዋገሾ /አቶ/</t>
  </si>
  <si>
    <t>0916-733599</t>
  </si>
  <si>
    <t>3214</t>
  </si>
  <si>
    <t>Ayele Antensil /Ato/</t>
  </si>
  <si>
    <t>አየለ አንተንስል  ዘሪሁን /አቶ/</t>
  </si>
  <si>
    <t>3215</t>
  </si>
  <si>
    <t>Ayele Argiso (Ato)</t>
  </si>
  <si>
    <t>አየለ አረጊሶ ታኪሳ /አቶ/</t>
  </si>
  <si>
    <t>3216</t>
  </si>
  <si>
    <t>Ayele Asabe Bekele /Ato/</t>
  </si>
  <si>
    <t>አየለ አሳበ በቀለ /አቶ/</t>
  </si>
  <si>
    <t>0911-715446</t>
  </si>
  <si>
    <t>3217</t>
  </si>
  <si>
    <t>Ayele Asfaw Chere /Ato/</t>
  </si>
  <si>
    <t>አየለ አስፋው ቸሬ /አቶ/</t>
  </si>
  <si>
    <t>0920-321747</t>
  </si>
  <si>
    <t>3218</t>
  </si>
  <si>
    <t>Ayele Asha Tigro /Ato/</t>
  </si>
  <si>
    <t>አየለ አሻ ትግሬ /አቶ/</t>
  </si>
  <si>
    <t>3219</t>
  </si>
  <si>
    <t>Ayele Autala /Ato/</t>
  </si>
  <si>
    <t>አየለ አውጣላ /አቶ/</t>
  </si>
  <si>
    <t>0937-274613</t>
  </si>
  <si>
    <t>3220</t>
  </si>
  <si>
    <t>Ayele Awkaro Garmamo (Ato)</t>
  </si>
  <si>
    <t>አየለ አወካሮ ጋርማሞ /አቶ/</t>
  </si>
  <si>
    <t>0934837051</t>
  </si>
  <si>
    <t>3221</t>
  </si>
  <si>
    <t>Ayele Ayika Asayu /Ato/</t>
  </si>
  <si>
    <t>አየለ አይካ አሳዶ /አቶ/</t>
  </si>
  <si>
    <t>3222</t>
  </si>
  <si>
    <t>Ayele Banata Checo /Ato/</t>
  </si>
  <si>
    <t>አየለ ባናታ ቼኮ /አቶ/</t>
  </si>
  <si>
    <t>0961-059931</t>
  </si>
  <si>
    <t>3223</t>
  </si>
  <si>
    <t>Ayele Bekele Dengo /Ato/</t>
  </si>
  <si>
    <t>አየለ በቀለ ደንጎ /አቶ/</t>
  </si>
  <si>
    <t>3224</t>
  </si>
  <si>
    <t>3225</t>
  </si>
  <si>
    <t>Ayele Bekele Shewaye /Ato/</t>
  </si>
  <si>
    <t>አየለ በቀለ ሸዋዬ /አቶ/</t>
  </si>
  <si>
    <t>0929-411310</t>
  </si>
  <si>
    <t>3226</t>
  </si>
  <si>
    <t>Ayele Belay Emere /Ato/</t>
  </si>
  <si>
    <t>አየለ በላይ እመሬ /አቶ/</t>
  </si>
  <si>
    <t>0928-559022</t>
  </si>
  <si>
    <t>3227</t>
  </si>
  <si>
    <t>Ayele Boa /Ato/</t>
  </si>
  <si>
    <t>አየለ ቦአ /አቶ/</t>
  </si>
  <si>
    <t>0961-819516</t>
  </si>
  <si>
    <t>3228</t>
  </si>
  <si>
    <t>Ayele Bocha /Ato/</t>
  </si>
  <si>
    <t>አየሌ  ቦጫ /አቶ/</t>
  </si>
  <si>
    <t>0925-112458</t>
  </si>
  <si>
    <t>3229</t>
  </si>
  <si>
    <t>Ayele Chanie Desie /Ato/</t>
  </si>
  <si>
    <t>አየለ ጫኔ ደሌ /አቶ/</t>
  </si>
  <si>
    <t>0947-056703</t>
  </si>
  <si>
    <t>3230</t>
  </si>
  <si>
    <t>Ayele Chencha Alolo/Ato/</t>
  </si>
  <si>
    <t>አየለ ጨንቻ ኦሎሎ /አቶ/</t>
  </si>
  <si>
    <t>3231</t>
  </si>
  <si>
    <t>Ayele Dana Tege /Ato/</t>
  </si>
  <si>
    <t>አየለ ዳና ጥጌ /አቶ/</t>
  </si>
  <si>
    <t>3232</t>
  </si>
  <si>
    <t>Ayele Debasa Aderaw (Ato)</t>
  </si>
  <si>
    <t>አየለ ደባሳ አደራው /አቶ/</t>
  </si>
  <si>
    <t>3233</t>
  </si>
  <si>
    <t>Ayele Debebe Tekola /Ato/</t>
  </si>
  <si>
    <t>አየለ ደበበ ተኮላ /አቶ/</t>
  </si>
  <si>
    <t>0941-883155</t>
  </si>
  <si>
    <t>3234</t>
  </si>
  <si>
    <t>Ayele Dejene Melatu /Ato/</t>
  </si>
  <si>
    <t>አየለ ደጀኔ ምላቱ /አቶ/</t>
  </si>
  <si>
    <t>3235</t>
  </si>
  <si>
    <t>Ayele Dele Diebsa /Ato/</t>
  </si>
  <si>
    <t>አየለ ዴለ ዴብሳ /አቶ/</t>
  </si>
  <si>
    <t>0916-790901</t>
  </si>
  <si>
    <t>3236</t>
  </si>
  <si>
    <t>Ayele Dese Seware /Ato/</t>
  </si>
  <si>
    <t>አየለ ደሴ ሰዋረ /አቶ/</t>
  </si>
  <si>
    <t>3237</t>
  </si>
  <si>
    <t>Ayele Dewako /Ato/</t>
  </si>
  <si>
    <t>አየለ ደዋቆ /አቶ/</t>
  </si>
  <si>
    <t>3238</t>
  </si>
  <si>
    <t>Ayele Eletamo /Ato/</t>
  </si>
  <si>
    <t>አየለ እልታም /አቶ/</t>
  </si>
  <si>
    <t>3239</t>
  </si>
  <si>
    <t>Ayele Eshete Jimma /Ato/</t>
  </si>
  <si>
    <t>አየለ እሸቴ ጅማ /አቶ/</t>
  </si>
  <si>
    <t>0911183671
0911426190</t>
  </si>
  <si>
    <t>3240</t>
  </si>
  <si>
    <t>Ayele Eshetu /Ato/</t>
  </si>
  <si>
    <t>አየለ ኡ ሻቱ /አቶ/</t>
  </si>
  <si>
    <t>0925-203860</t>
  </si>
  <si>
    <t>3241</t>
  </si>
  <si>
    <t>Ayele Ewnetu Abatekun /Ato/</t>
  </si>
  <si>
    <t>አየለ እውነቱ አባትኩን /አቶ/</t>
  </si>
  <si>
    <t>0911-150290</t>
  </si>
  <si>
    <t>3242</t>
  </si>
  <si>
    <t>Ayele Gafarso /Ato/</t>
  </si>
  <si>
    <t>አየለ ጋፍርሶ /አቶ/</t>
  </si>
  <si>
    <t>3243</t>
  </si>
  <si>
    <t>Ayele Gebeyehu Gebebo /Ato/</t>
  </si>
  <si>
    <t>አየለ ገበየሁ ገበቦ /አቶ/</t>
  </si>
  <si>
    <t>3244</t>
  </si>
  <si>
    <t>Ayele Getaneh Derseh /Ato/</t>
  </si>
  <si>
    <t>አየለ ጌታነህ ደርሰህ /አቶ/</t>
  </si>
  <si>
    <t>0915-715202</t>
  </si>
  <si>
    <t>3245</t>
  </si>
  <si>
    <t>Ayele Gobebo /Ato/</t>
  </si>
  <si>
    <t>አየለ ጎበቦ /አቶ/</t>
  </si>
  <si>
    <t>3246</t>
  </si>
  <si>
    <t>Ayele Gobena Ahro /Ato/</t>
  </si>
  <si>
    <t>አየለ ጎበና አህሮ /አቶ/</t>
  </si>
  <si>
    <t>3247</t>
  </si>
  <si>
    <t>Ayele Godana Asale /Ato/</t>
  </si>
  <si>
    <t>አየለ ጎዳና አሣሌ /አቶ/</t>
  </si>
  <si>
    <t>0931-238259</t>
  </si>
  <si>
    <t>3248</t>
  </si>
  <si>
    <t>Ayele Guja (Ato)</t>
  </si>
  <si>
    <t>እየለ  ጉጀ አቴ  (አቶ)</t>
  </si>
  <si>
    <t>3249</t>
  </si>
  <si>
    <t>Ayele Kachara Ataro /Ato/</t>
  </si>
  <si>
    <t>አየለ ካቻራ አታሮ /አቶ/</t>
  </si>
  <si>
    <t>3250</t>
  </si>
  <si>
    <t>Ayele Kamso Botale /Ato/</t>
  </si>
  <si>
    <t>አየለ ካምሶ ቦታለ /አቶ/</t>
  </si>
  <si>
    <t>3251</t>
  </si>
  <si>
    <t>Ayele Kedela Kala /Ato/</t>
  </si>
  <si>
    <t>አየለ ቀደላ  ቃላ /አቶ/</t>
  </si>
  <si>
    <t>3252</t>
  </si>
  <si>
    <t>Ayele Kefale /Ato/</t>
  </si>
  <si>
    <t>አየለ ከፋለ /አቶ/</t>
  </si>
  <si>
    <t>3253</t>
  </si>
  <si>
    <t>Ayele Kiro Yebo /Ato/</t>
  </si>
  <si>
    <t>አየለ ኪሮ የቦ /አቶ/</t>
  </si>
  <si>
    <t>3254</t>
  </si>
  <si>
    <t>Ayele Kulera /Ato/</t>
  </si>
  <si>
    <t>አየለ ኩሌራ /አቶ/</t>
  </si>
  <si>
    <t>3255</t>
  </si>
  <si>
    <t>Ayele Kuma Wakumo /Ato/</t>
  </si>
  <si>
    <t>አየለ ኩማ ዋኩሞ /አቶ/</t>
  </si>
  <si>
    <t>3256</t>
  </si>
  <si>
    <t>Ayele Lagide /Ato/</t>
  </si>
  <si>
    <t>አየለ ለግዴ /አቶ/</t>
  </si>
  <si>
    <t>3257</t>
  </si>
  <si>
    <t>Ayele Melese Feleke /Ato/</t>
  </si>
  <si>
    <t>አየለ መለሰ ፈለቀ /አቶ/</t>
  </si>
  <si>
    <t>0913-119552</t>
  </si>
  <si>
    <t>3258</t>
  </si>
  <si>
    <t>Ayele Mengiste Beyene /Ato/</t>
  </si>
  <si>
    <t>አየለ መንግስቴ በየነ /አቶ/</t>
  </si>
  <si>
    <t>0921-871627</t>
  </si>
  <si>
    <t>3259</t>
  </si>
  <si>
    <t>Ayele Ouzo Oudu /Ato/</t>
  </si>
  <si>
    <t>አየለ ኦዞ ኦዱ /አቶ/</t>
  </si>
  <si>
    <t>3260</t>
  </si>
  <si>
    <t>Ayele Sefu Wada /Ato/</t>
  </si>
  <si>
    <t>አየለ ሰፉ ዋዳ /አቶ/</t>
  </si>
  <si>
    <t>0906-491043</t>
  </si>
  <si>
    <t>3261</t>
  </si>
  <si>
    <t>Ayele Shura Shola /Ato/</t>
  </si>
  <si>
    <t>አየለ ሾራ ሾላ /አቶ/</t>
  </si>
  <si>
    <t>0926-331932</t>
  </si>
  <si>
    <t>3262</t>
  </si>
  <si>
    <t>Ayele Sileshi Haile /Ato/</t>
  </si>
  <si>
    <t>አየለ ስለሺ ሀይሌ /አቶ/</t>
  </si>
  <si>
    <t>0946-626263</t>
  </si>
  <si>
    <t>3263</t>
  </si>
  <si>
    <t>Ayele T/birhan Feleke /Ato/</t>
  </si>
  <si>
    <t>አየለ ተ/ብርሃን ፈለቀ /አቶ/</t>
  </si>
  <si>
    <t>3264</t>
  </si>
  <si>
    <t>Ayele Tenja /Ato/</t>
  </si>
  <si>
    <t>አየለ ተንጃ /አቶ/</t>
  </si>
  <si>
    <t>3265</t>
  </si>
  <si>
    <t>Ayele Tesema Tura /Ato/</t>
  </si>
  <si>
    <t>ኤየለ ተሰማ ቱራ /አቶ/</t>
  </si>
  <si>
    <t>3266</t>
  </si>
  <si>
    <t>Ayele Toga /Ato/</t>
  </si>
  <si>
    <t>አየለ ቶጋ /አቶ/</t>
  </si>
  <si>
    <t>0926-615059</t>
  </si>
  <si>
    <t>3267</t>
  </si>
  <si>
    <t>Ayele Tololie Tolecha /Ato/</t>
  </si>
  <si>
    <t>አየሌ ቶሎሌ ቶልቻ /አቶ/</t>
  </si>
  <si>
    <t>0910-852310</t>
  </si>
  <si>
    <t>3268</t>
  </si>
  <si>
    <t>Ayele Tumbulla Tula /Ato/</t>
  </si>
  <si>
    <t>አየለ ቱንበለ ቱላ /አቶ/</t>
  </si>
  <si>
    <t>3269</t>
  </si>
  <si>
    <t>3270</t>
  </si>
  <si>
    <t>Ayele Weyesa Ayane /Ato/</t>
  </si>
  <si>
    <t>አየለ ወየሳ አያኔ /አቶ/</t>
  </si>
  <si>
    <t>0911-023129</t>
  </si>
  <si>
    <t>3271</t>
  </si>
  <si>
    <t>Ayele Yilma /Ato/</t>
  </si>
  <si>
    <t>አየለ ይልማ /አቶ/</t>
  </si>
  <si>
    <t>3272</t>
  </si>
  <si>
    <t>Ayele Yohannes W/selassie /Ato/</t>
  </si>
  <si>
    <t>አየለ ዮሐንስ ወ/ሥላሴ /አቶ/</t>
  </si>
  <si>
    <t>3273</t>
  </si>
  <si>
    <t>Ayele Zasa Dada /Ato/</t>
  </si>
  <si>
    <t>አየለ ዛሳ ዳዳ /አቶ/</t>
  </si>
  <si>
    <t>0916-457745</t>
  </si>
  <si>
    <t>3274</t>
  </si>
  <si>
    <t>Ayele Zewdie /Ato/</t>
  </si>
  <si>
    <t>አየለ ዘውዴ /አቶ/</t>
  </si>
  <si>
    <t>0912-366935</t>
  </si>
  <si>
    <t>3275</t>
  </si>
  <si>
    <t>Ayelech Bassa /Ato/</t>
  </si>
  <si>
    <t>አየለች ባሣ /ወ/ሮ/</t>
  </si>
  <si>
    <t>3276</t>
  </si>
  <si>
    <t>3277</t>
  </si>
  <si>
    <t>Ayelech Dagne Dersolgn /W/o/</t>
  </si>
  <si>
    <t>አየለች ዳኜ ደርሶልኝ /ወ/ሮ/</t>
  </si>
  <si>
    <t>3278</t>
  </si>
  <si>
    <t>Ayelech Habtewold Asrat /W/O/</t>
  </si>
  <si>
    <t>አየለች ሀብተወልድ /ወ/ሮ/</t>
  </si>
  <si>
    <t>3279</t>
  </si>
  <si>
    <t>Ayelech Hameso Tule /W/O/</t>
  </si>
  <si>
    <t>አየለች ሀመሶ ቱለ /ወ/ሮ/</t>
  </si>
  <si>
    <t>3280</t>
  </si>
  <si>
    <t>Ayelech Teka Oda /W/o/</t>
  </si>
  <si>
    <t>አየለች ተካ ኦዳ /ወ/ሮ/</t>
  </si>
  <si>
    <t>3281</t>
  </si>
  <si>
    <t>Ayelech Yadesa Bekana /W/t/</t>
  </si>
  <si>
    <t>አየለች ያደስ በቃና /ወ/ት/</t>
  </si>
  <si>
    <t>3282</t>
  </si>
  <si>
    <t>Ayeleche Ade Alanbo /Ato/</t>
  </si>
  <si>
    <t>አየለች አደ አላንቦ /አቶ/</t>
  </si>
  <si>
    <t>3283</t>
  </si>
  <si>
    <t>Ayeleche Aletaye /Ato/</t>
  </si>
  <si>
    <t>አየለች አለታዬ /አቶ/</t>
  </si>
  <si>
    <t>3284</t>
  </si>
  <si>
    <t>Ayeleche Kate /w/o</t>
  </si>
  <si>
    <t>አየለቸ ቃጤ /ወ/ሮ</t>
  </si>
  <si>
    <t>3285</t>
  </si>
  <si>
    <t>Ayelegne Fantahun Guade /At/</t>
  </si>
  <si>
    <t>አየልኝ ፋንታሁን ጓዴ /አቶ/</t>
  </si>
  <si>
    <t>0917-380039</t>
  </si>
  <si>
    <t>3286</t>
  </si>
  <si>
    <t>Ayelualem Zewde Ayele /Ato/</t>
  </si>
  <si>
    <t>አየሉአለም ዘውዴ አየለ /አቶ/</t>
  </si>
  <si>
    <t>3287</t>
  </si>
  <si>
    <t>Ayen Metku Mekonnen /Ato/ For Mekdes Ayen Metku /Minor/</t>
  </si>
  <si>
    <t>አየነ ምትኩ መኮንን /አቶ/ ለመቅደስ አየነ ምትኩ /ህፃን/</t>
  </si>
  <si>
    <t>0911-675295</t>
  </si>
  <si>
    <t>3288</t>
  </si>
  <si>
    <t>Ayenachew Getachew Walitie /Ato/</t>
  </si>
  <si>
    <t>አየናቸው ጌታቸው ዋልቴ /አቶ/</t>
  </si>
  <si>
    <t>0941-616305</t>
  </si>
  <si>
    <t>3289</t>
  </si>
  <si>
    <t>Ayenadis Fekadu/Ato/</t>
  </si>
  <si>
    <t>አይናአዱሰ ፍካዱ /አቶ/</t>
  </si>
  <si>
    <t>3290</t>
  </si>
  <si>
    <t>Ayenalem Berhanu W/Amanuel /W/o/</t>
  </si>
  <si>
    <t>አይናለም ብርሃኑ ወ/አማኑኤል /ወ/ሮ/</t>
  </si>
  <si>
    <t>0911-467077</t>
  </si>
  <si>
    <t>tewodrosbekelewWako@gmail.com</t>
  </si>
  <si>
    <t>3291</t>
  </si>
  <si>
    <t>Ayenalem Beyen Tiruneh/Ato/</t>
  </si>
  <si>
    <t>አይናለም በየነ ጥሩነህ /አቶ/</t>
  </si>
  <si>
    <t>3292</t>
  </si>
  <si>
    <t>Ayenalem Girma Teruneh /W/o/</t>
  </si>
  <si>
    <t>አይናለም ግርማ ጥሩነህ /ወ/ሮ/</t>
  </si>
  <si>
    <t>3293</t>
  </si>
  <si>
    <t>Ayenalem Kussa Alaro /W/O/</t>
  </si>
  <si>
    <t>አይናለም ኩሳ አላሮ /ወ/ሮ/</t>
  </si>
  <si>
    <t>0910-851635</t>
  </si>
  <si>
    <t>3294</t>
  </si>
  <si>
    <t>Ayenalem Nibret Lake /Ato/</t>
  </si>
  <si>
    <t>አይናለም ንብረት ላቀ /አቶ/</t>
  </si>
  <si>
    <t>0924-236531</t>
  </si>
  <si>
    <t>3295</t>
  </si>
  <si>
    <t>Ayeneabeba Sintayehu Mamo /W/o/</t>
  </si>
  <si>
    <t>አይኔአበባ ስንታየሁ ማሞ /ወ/ሮ/</t>
  </si>
  <si>
    <t>3296</t>
  </si>
  <si>
    <t>Ayenew Abi Tegegn /Ato/</t>
  </si>
  <si>
    <t>አየነው አቢ ተገኘ /አቶ/</t>
  </si>
  <si>
    <t>0949-985255</t>
  </si>
  <si>
    <t>3297</t>
  </si>
  <si>
    <t>Ayenew Abinet Salele /Ato/</t>
  </si>
  <si>
    <t>አየነው አብነት ሳሌሌ /አቶ/</t>
  </si>
  <si>
    <t>3298</t>
  </si>
  <si>
    <t>Ayenew Asefa Kibret /Ato/</t>
  </si>
  <si>
    <t>አየነዉ አሰፋ ክብረት /አቶ/</t>
  </si>
  <si>
    <t>0916-877692</t>
  </si>
  <si>
    <t>3299</t>
  </si>
  <si>
    <t>Ayenew Asefa Teshale /Ato/</t>
  </si>
  <si>
    <t>አየነው አሰፋ ተሻለ /አቶ/</t>
  </si>
  <si>
    <t>3300</t>
  </si>
  <si>
    <t>Ayenew Bantie /Ato/</t>
  </si>
  <si>
    <t>አየነው ባንቴ /አቶ/</t>
  </si>
  <si>
    <t>3301</t>
  </si>
  <si>
    <t>Ayenew Bayiliey /Ato/</t>
  </si>
  <si>
    <t>አየነው ባይለይ /አቶ/</t>
  </si>
  <si>
    <t>3302</t>
  </si>
  <si>
    <t>Ayenew Belay Tsega /Ato/</t>
  </si>
  <si>
    <t>አየነው በላይ ጸጋ /አቶ/</t>
  </si>
  <si>
    <t>3303</t>
  </si>
  <si>
    <t>Ayenew Bitew Asires /Ato/</t>
  </si>
  <si>
    <t>አየነው ቢተው አሰርስ /አቶ/</t>
  </si>
  <si>
    <t>0921-936745</t>
  </si>
  <si>
    <t>3304</t>
  </si>
  <si>
    <t>Ayenew Chekele Getie /Ato/</t>
  </si>
  <si>
    <t>አየነው ጨከለ ጌቴ /አቶ/</t>
  </si>
  <si>
    <t>3305</t>
  </si>
  <si>
    <t>Ayenew Edemialem Eshetie /Ato/</t>
  </si>
  <si>
    <t>አየነው እድሜአለም እሸቴ /አቶ/</t>
  </si>
  <si>
    <t>0909-860554</t>
  </si>
  <si>
    <t>3306</t>
  </si>
  <si>
    <t>Ayenew Mariye Dessie /Ato/</t>
  </si>
  <si>
    <t>አየነዉ ማርዬ ደሴ /አቶ/</t>
  </si>
  <si>
    <t>3307</t>
  </si>
  <si>
    <t>Ayenew Mihiretie Belay /Ato/</t>
  </si>
  <si>
    <t>አየነው ምህረቴ በላይ /አቶ/</t>
  </si>
  <si>
    <t>0911-014631</t>
  </si>
  <si>
    <t>3308</t>
  </si>
  <si>
    <t>Ayenew Nigatu W/Tsadik /Ato/</t>
  </si>
  <si>
    <t>አየነዉ ንጋቱ ወ/ፃዲቅ /አቶ/</t>
  </si>
  <si>
    <t>0911-625881</t>
  </si>
  <si>
    <t>solmoges41 @gmail.com</t>
  </si>
  <si>
    <t>3309</t>
  </si>
  <si>
    <t>Ayenew Sewunet Muchew /Ato/</t>
  </si>
  <si>
    <t>አየነው ሰውነት ሙጨው /አቶ/</t>
  </si>
  <si>
    <t>3310</t>
  </si>
  <si>
    <t>Ayenew Teshale Kassa /Ato/</t>
  </si>
  <si>
    <t>አየነው ተሻለ ካሳ /አቶ/</t>
  </si>
  <si>
    <t>3311</t>
  </si>
  <si>
    <t>Ayenew Teshome Enyew /Ato/</t>
  </si>
  <si>
    <t>አየነው ተሾመ እንየው /አቶ/</t>
  </si>
  <si>
    <t>3312</t>
  </si>
  <si>
    <t>Ayenew Wale Zewudie /Ato/</t>
  </si>
  <si>
    <t>አየነው ዋለ ዘውዱ /አቶ/</t>
  </si>
  <si>
    <t>3313</t>
  </si>
  <si>
    <t>Ayenew Wudu Kassa /Ato/</t>
  </si>
  <si>
    <t>አየነው ዉዱ ካሳ /አቶ/</t>
  </si>
  <si>
    <t>0955-181588</t>
  </si>
  <si>
    <t>3314</t>
  </si>
  <si>
    <t>Ayenew Yewilsew /Ato/</t>
  </si>
  <si>
    <t xml:space="preserve">አየነው የውልሰው /አቶ/ </t>
  </si>
  <si>
    <t>3315</t>
  </si>
  <si>
    <t>Ayesha Kedir Oumer /w/o/</t>
  </si>
  <si>
    <t>አይሻ ከድር ኡመር /ወ/ሮ/</t>
  </si>
  <si>
    <t>3316</t>
  </si>
  <si>
    <t>Ayesheshem Semu Leyew /Ato/</t>
  </si>
  <si>
    <t>አየሸሸም ሰሙ ልየው /አቶ/</t>
  </si>
  <si>
    <t>0994-529513</t>
  </si>
  <si>
    <t>3317</t>
  </si>
  <si>
    <t>Ayeten Tsegaw Mekonen /Ato/</t>
  </si>
  <si>
    <t>አይተን ፀጋው መኮንን /አቶ/</t>
  </si>
  <si>
    <t>3318</t>
  </si>
  <si>
    <t>Ayicheh Abebe Tarekegne /Ato/</t>
  </si>
  <si>
    <t>አይቸ አበበ ታረቀኝ /አቶ/</t>
  </si>
  <si>
    <t>3319</t>
  </si>
  <si>
    <t>Ayichele Alemu  /Kisse/</t>
  </si>
  <si>
    <t>አይቻል አለሙ /ቄስ/</t>
  </si>
  <si>
    <t>3320</t>
  </si>
  <si>
    <t>Ayichew Tigabu Ayele /Ato/</t>
  </si>
  <si>
    <t>አይቸው ጥጋቡ አየለ /አቶ/</t>
  </si>
  <si>
    <t>3321</t>
  </si>
  <si>
    <t>Ayichilu Alamirie Temesgen /Ato/</t>
  </si>
  <si>
    <t>አይችሉ አላምሬ  ተመስጌን /አቶ/</t>
  </si>
  <si>
    <t>3322</t>
  </si>
  <si>
    <t>Ayichilum Demise Worku /Ato/</t>
  </si>
  <si>
    <t>አይአሉም ደምሴ ወርቁ /አቶ/</t>
  </si>
  <si>
    <t>3323</t>
  </si>
  <si>
    <t>Ayichilum Gedamu Mihretie /Ato/</t>
  </si>
  <si>
    <t>አይችሉም ገዳሙ ምህረቴ /አቶ/</t>
  </si>
  <si>
    <t>3324</t>
  </si>
  <si>
    <t>Ayieda Debebe Asgelete /W/o/</t>
  </si>
  <si>
    <t>አይዳ ደበበ አስገልጤ /ወ/ሮ/</t>
  </si>
  <si>
    <t>0902-407333</t>
  </si>
  <si>
    <t>amertilemma@gmail.com</t>
  </si>
  <si>
    <t>3325</t>
  </si>
  <si>
    <t>marthadebe25@gmail.com</t>
  </si>
  <si>
    <t>3326</t>
  </si>
  <si>
    <t>Ayigegn Hunegaw Wondimeneh /Ato/</t>
  </si>
  <si>
    <t>አይገኝ ሁነኛው ወንድሜነህ /አቶ/</t>
  </si>
  <si>
    <t>0938-235699</t>
  </si>
  <si>
    <t>3327</t>
  </si>
  <si>
    <t>Ayika Agena Ama /Ato/</t>
  </si>
  <si>
    <t>አይካ  አጌና  አማ /አቶ/</t>
  </si>
  <si>
    <t>3328</t>
  </si>
  <si>
    <t>Ayinadis Awoke Munyalet /Ato/</t>
  </si>
  <si>
    <t>አይናዲስ አወቀ ምንያለት /አቶ/</t>
  </si>
  <si>
    <t>3329</t>
  </si>
  <si>
    <t>Ayinadis Chekol Workineh /Ato/</t>
  </si>
  <si>
    <t>አይናዲስ ቸኮል ወርቅነህ /አቶ/</t>
  </si>
  <si>
    <t>3330</t>
  </si>
  <si>
    <t>Ayinadis Kindie Areg /Ato/</t>
  </si>
  <si>
    <t>አይናአዲሰ ከንዴ አረጋ /አቶ/</t>
  </si>
  <si>
    <t>3331</t>
  </si>
  <si>
    <t>Ayinalem Galfato Gamada /Ato/</t>
  </si>
  <si>
    <t>አይናለም ጋልፍቶ /አቶ/</t>
  </si>
  <si>
    <t>3332</t>
  </si>
  <si>
    <t>Ayinet Churfa /W/O/</t>
  </si>
  <si>
    <t xml:space="preserve"> አይነት ጩርፋ /ወ/ሮ/</t>
  </si>
  <si>
    <t>3333</t>
  </si>
  <si>
    <t>Ayinkaw Muche Workin /Ato/</t>
  </si>
  <si>
    <t>አይነንካው ሙጨ ወርቅነህ /አቶ/</t>
  </si>
  <si>
    <t>3334</t>
  </si>
  <si>
    <t>Ayisa Amanu Aleba/ Ato/</t>
  </si>
  <si>
    <t>አይሳ አማኑ አልባ /አቶ/</t>
  </si>
  <si>
    <t>3335</t>
  </si>
  <si>
    <t>Ayisa Kindu Kiro /Ato/</t>
  </si>
  <si>
    <t>አይስ ክንዶ ክሮ /አቶ/</t>
  </si>
  <si>
    <t>3336</t>
  </si>
  <si>
    <t>Ayisha Awol Ibrahim /W/o/</t>
  </si>
  <si>
    <t>አይሻ አወል ኢብራሂም /ወ/ሮ/</t>
  </si>
  <si>
    <t>358-468-431-119</t>
  </si>
  <si>
    <t>3337</t>
  </si>
  <si>
    <t>Ayisha Nuri /W/o/</t>
  </si>
  <si>
    <t>አይሻ ንጉሴ /ወ/ሮ/</t>
  </si>
  <si>
    <t>3338</t>
  </si>
  <si>
    <t>Ayisheshim Molla Alamneh /Ato/</t>
  </si>
  <si>
    <t>አይሸሽም ሞላ አላምነህ /አቶ/</t>
  </si>
  <si>
    <t>3339</t>
  </si>
  <si>
    <t>Ayiten Tegaye /Ato/</t>
  </si>
  <si>
    <t>አይተን ተጋዬ /አቶ/</t>
  </si>
  <si>
    <t>3340</t>
  </si>
  <si>
    <t>Ayitenew Adimas Terefe /Ato/</t>
  </si>
  <si>
    <t>አይተነው አድማስ ተረፍ /አቶ/</t>
  </si>
  <si>
    <t>0947-065308</t>
  </si>
  <si>
    <t>3341</t>
  </si>
  <si>
    <t>Ayka Shole Chonko /Ato/</t>
  </si>
  <si>
    <t>አይካ ሾሬ ጫንቆ /አቶ/</t>
  </si>
  <si>
    <t>0912-376721</t>
  </si>
  <si>
    <t>3342</t>
  </si>
  <si>
    <t>Aynadis Tafesse Zegeye /W/o/</t>
  </si>
  <si>
    <t>አይናዲስ ታፈሰ ዘገየ /ወ/ሮ/</t>
  </si>
  <si>
    <t>0911-150302</t>
  </si>
  <si>
    <t>samsonbekele74@gmail.com</t>
  </si>
  <si>
    <t>3343</t>
  </si>
  <si>
    <t>Aynadis Tesfahun Tadesse /W/o/</t>
  </si>
  <si>
    <t>አይናዲስ ተስፋሁን ታደሰ /ወ/ሮ/</t>
  </si>
  <si>
    <t>0918-708152</t>
  </si>
  <si>
    <t>3344</t>
  </si>
  <si>
    <t>Aynalem Abebe W/Meskel /W/o/</t>
  </si>
  <si>
    <t>አይናለም አበበ ወ/መስቀል /ወ/ሮ/</t>
  </si>
  <si>
    <t>3345</t>
  </si>
  <si>
    <t>Aynalem Abera Dadi /W/o/</t>
  </si>
  <si>
    <t>አይናለም አበራ ዳዲ /ወ/ሮ/</t>
  </si>
  <si>
    <t>0917-915733</t>
  </si>
  <si>
    <t>3346</t>
  </si>
  <si>
    <t>3347</t>
  </si>
  <si>
    <t>Aynalem Bayew Cheru /Ato/</t>
  </si>
  <si>
    <t>አይናለም ባየሁ ቸሩ /አቶ/</t>
  </si>
  <si>
    <t>0925-131687</t>
  </si>
  <si>
    <t>3348</t>
  </si>
  <si>
    <t>Aynalem Bizuwork Biru /Ato/</t>
  </si>
  <si>
    <t>አይናለም ብዙወርቅ ብሩ /አቶ/</t>
  </si>
  <si>
    <t>0903-952122</t>
  </si>
  <si>
    <t>3349</t>
  </si>
  <si>
    <t>Aynalem Dereje  /W/o/ For Beamelak Sintayehu  /Minor/</t>
  </si>
  <si>
    <t>አይናለም ደረጄ አድማሱ /ወ/ሮ/ ለበአምላክ ስንታየሁ  /ህፃን/</t>
  </si>
  <si>
    <t>0911-565744</t>
  </si>
  <si>
    <t>3350</t>
  </si>
  <si>
    <t>Aynalem Dereje /W/o/ For Meba Sintayehu  /Minor/</t>
  </si>
  <si>
    <t>አይናለም ደረጄ አድማሱ /ወ/ሮ/ ለመባ ስንታየሁ  /ህፃን/</t>
  </si>
  <si>
    <t>0911-809082</t>
  </si>
  <si>
    <t>3351</t>
  </si>
  <si>
    <t>Aynalem Desse  Mulat /W/o/</t>
  </si>
  <si>
    <t>አይናለም ደሴ ሙላት /ወ/ሮ/</t>
  </si>
  <si>
    <t>0911-167626</t>
  </si>
  <si>
    <t>3352</t>
  </si>
  <si>
    <t>Aynalem Fekadu /Ato/</t>
  </si>
  <si>
    <t>አይናለም ፈቃዱ /አቶ/</t>
  </si>
  <si>
    <t>0913-121010</t>
  </si>
  <si>
    <t>3353</t>
  </si>
  <si>
    <t>Aynalem Getachw Birru /W/o/</t>
  </si>
  <si>
    <t>አይናለም ጌታቸዉ ብሩ /ወ/ሮ/</t>
  </si>
  <si>
    <t>0923-1089400</t>
  </si>
  <si>
    <t>3354</t>
  </si>
  <si>
    <t>Aynalem Gizaw Tessema /W/o/</t>
  </si>
  <si>
    <t>አይናለም ግዛው ተሰማ /ወ/ሮ/</t>
  </si>
  <si>
    <t>0911-667810</t>
  </si>
  <si>
    <t>3355</t>
  </si>
  <si>
    <t>Aynalem H/michael /W/o/ For Adoniram Ephrem /Minor/</t>
  </si>
  <si>
    <t>አይናለም ሀ/ሚካኤል /ወ/ሮ/ ለአዶኒራም ኤፍሬም /ህፃን/</t>
  </si>
  <si>
    <t>0985-454591</t>
  </si>
  <si>
    <t>3356</t>
  </si>
  <si>
    <t>Aynalem H/michael /W/o/ For Akiya Matiwos /Minor/</t>
  </si>
  <si>
    <t>አይናለም ሀ/ሚካኤል /ወ/ሮ/ ለአኪያ ማቲዎስ  /ህፃን/</t>
  </si>
  <si>
    <t>0926-389796</t>
  </si>
  <si>
    <t>3357</t>
  </si>
  <si>
    <t>Aynalem H/michael /W/o/ For Bitinia Kasahun /Minor/</t>
  </si>
  <si>
    <t>አይናለም ሀ/ሚካኤል /ወ/ሮ/ ለቢታኒያ ካሳሁን /ህፃን/</t>
  </si>
  <si>
    <t>0909-000156</t>
  </si>
  <si>
    <t>3358</t>
  </si>
  <si>
    <t>Aynalem H/michael /W/o/ For Caleb Dereje /Minor/</t>
  </si>
  <si>
    <t>አይናለም ሀ/ሚካኤል /ወ/ሮ/ ለካሌብ ደረጄ /ህፃን/</t>
  </si>
  <si>
    <t>0921-621082</t>
  </si>
  <si>
    <t>3359</t>
  </si>
  <si>
    <t>Aynalem H/michael /W/o/ For Chanel Yohannes /Minor/</t>
  </si>
  <si>
    <t>አይናለም ሀ/ሚካኤል /ወ/ሮ/ ለሻኔል ዮሐንስ  /ህፃን/</t>
  </si>
  <si>
    <t>0929-338525</t>
  </si>
  <si>
    <t>3360</t>
  </si>
  <si>
    <t>Aynalem H/michael /W/o/ For Christian Yohannes /Minor/</t>
  </si>
  <si>
    <t>አይናለም ሀ/ሚካኤል /ወ/ሮ/ ለክርስቲያን ዮሐንስ /ህፃን/</t>
  </si>
  <si>
    <t>0915-946896</t>
  </si>
  <si>
    <t>3361</t>
  </si>
  <si>
    <t>Aynalem H/michael /W/o/ For Dagem Tewodros /Minor/</t>
  </si>
  <si>
    <t>አይናለም ሀ/ሚካኤል /ወ/ሮ/ ለዳግም ቴዎድሮስ /ህፃን/</t>
  </si>
  <si>
    <t>3362</t>
  </si>
  <si>
    <t>Aynalem H/michael /W/o/ For Eyasu Dereje /Minor/</t>
  </si>
  <si>
    <t>አይናለም ሀ/ሚካኤል /ወ/ሮ/ ለኢያሱ ደረጄ /ህፃን/</t>
  </si>
  <si>
    <t>0942-384456</t>
  </si>
  <si>
    <t>3363</t>
  </si>
  <si>
    <t>Aynalem H/michael /W/o/ For Hasset Epherem /Minor/</t>
  </si>
  <si>
    <t>አይናለም ሀ/ሚካኤል /ወ/ሮ/ ለሀሴት ኤፍሬም /ህፃን/</t>
  </si>
  <si>
    <t>0916-824304</t>
  </si>
  <si>
    <t>3364</t>
  </si>
  <si>
    <t>Aynalem H/michael /W/o/ For Jiador Yohannes /Minor/</t>
  </si>
  <si>
    <t>አይናለም ሀ/ሚካኤል /ወ/ሮ/ ለጃዶር ዮሐንስ  /ህፃን/</t>
  </si>
  <si>
    <t>0913-823896</t>
  </si>
  <si>
    <t>3365</t>
  </si>
  <si>
    <t>Aynalem H/michael /W/o/ For Kidus Kasshun /Minor/</t>
  </si>
  <si>
    <t>አይናለም ሀ/ሚካኤል /ወ/ሮ/ ለቅዱሰ ካሳሁን /ህፃን/</t>
  </si>
  <si>
    <t>0988-157514</t>
  </si>
  <si>
    <t>3366</t>
  </si>
  <si>
    <t>Aynalem H/michael /W/o/ For Mesgan Tewodros /Minor/</t>
  </si>
  <si>
    <t>አይናለም ሀ/ሚካኤል /ወ/ሮ/ ለምስጋና ቴዎድሮስ /ህፃን/</t>
  </si>
  <si>
    <t>0988-393459</t>
  </si>
  <si>
    <t>3367</t>
  </si>
  <si>
    <t>Aynalem H/michael /W/o/ For Sina Tewodros /Minor/</t>
  </si>
  <si>
    <t>አይናለም ሀ/ሚካኤል /ወ/ሮ/ ለሲና ቴዎድሮስ /ህፃን/</t>
  </si>
  <si>
    <t>3368</t>
  </si>
  <si>
    <t xml:space="preserve">Aynalem Lema Lachore /W/O/ </t>
  </si>
  <si>
    <t>አይናለም ለማ ላቾሬ /ወ/ሮ/</t>
  </si>
  <si>
    <t>0913-476412</t>
  </si>
  <si>
    <t>3369</t>
  </si>
  <si>
    <t>Aynalem Matiowos /W/t/</t>
  </si>
  <si>
    <t>አይናለም ማቴዎስ /ወ/ት/</t>
  </si>
  <si>
    <t>3370</t>
  </si>
  <si>
    <t>Aynalem Mesfin Abetew /Ato/</t>
  </si>
  <si>
    <t>አይናለም መስፍን አበተው /አቶ/</t>
  </si>
  <si>
    <t>3371</t>
  </si>
  <si>
    <t>Aynalem Mulunech /W/O/</t>
  </si>
  <si>
    <t>አየናለም ሙሉነህ /ወ/ሮ/</t>
  </si>
  <si>
    <t>0964-394108</t>
  </si>
  <si>
    <t>3372</t>
  </si>
  <si>
    <t>3373</t>
  </si>
  <si>
    <t>Aynalem Tadesse Gebru /Ato/</t>
  </si>
  <si>
    <t>አይናለም ታደሰ ገብሩ /አቶ/</t>
  </si>
  <si>
    <t>0911-693643/
0962-489004</t>
  </si>
  <si>
    <t>3375</t>
  </si>
  <si>
    <t>Aynalem Tamrie Kurka /W/O</t>
  </si>
  <si>
    <t>አይናለም ታምሬ ኩርካ /ወ/ሮ/</t>
  </si>
  <si>
    <t>3376</t>
  </si>
  <si>
    <t>Aynalem Teka Shanka /W/o</t>
  </si>
  <si>
    <t>አይናለም ተካ ሻንካ /ወ/ሮ/</t>
  </si>
  <si>
    <t>0911-755672/+571-275-92114</t>
  </si>
  <si>
    <t>3377</t>
  </si>
  <si>
    <t>Aynalem Woled  /W/o/</t>
  </si>
  <si>
    <t>አይናለም ወልዴ ማሳ /አቶ/</t>
  </si>
  <si>
    <t>3378</t>
  </si>
  <si>
    <t xml:space="preserve">Aynalem Yerga W/Mariam </t>
  </si>
  <si>
    <t xml:space="preserve">አይናለም ይርጋ ወ/ማርያም </t>
  </si>
  <si>
    <t>0912-502671</t>
  </si>
  <si>
    <t>aina251@yahoo.com</t>
  </si>
  <si>
    <t>3379</t>
  </si>
  <si>
    <t xml:space="preserve">Aynalem Ylema Tezra /W/O/ </t>
  </si>
  <si>
    <t>አይናልም ይልማ ተዘራ /ወ/ሮ</t>
  </si>
  <si>
    <t>0910-710100</t>
  </si>
  <si>
    <t>3380</t>
  </si>
  <si>
    <t>Aynalem Zeleke Desta /W/o/</t>
  </si>
  <si>
    <t>አይናለም ዘለቀ ደስታ /ወ/ሮ/</t>
  </si>
  <si>
    <t>3381</t>
  </si>
  <si>
    <t>Ayneaddis Teklemariam Ketema /W/o/</t>
  </si>
  <si>
    <t>አይነአዲስ ተ/ማርያም ከተማ /ወ/ሮ/</t>
  </si>
  <si>
    <t>0911-834952
0949-333029</t>
  </si>
  <si>
    <t>3382</t>
  </si>
  <si>
    <t>Aynet Tekile /W/O/</t>
  </si>
  <si>
    <t>አይነት ተክለ /ወ/ሮ/</t>
  </si>
  <si>
    <t>0964-529071</t>
  </si>
  <si>
    <t>3383</t>
  </si>
  <si>
    <t>Aynshet Getachew Lakew /Ato/</t>
  </si>
  <si>
    <t xml:space="preserve">አይናሸት ጌታቸው ላቀው </t>
  </si>
  <si>
    <t>0975-505975</t>
  </si>
  <si>
    <t>3384</t>
  </si>
  <si>
    <t>Aysha A/Jebal A/Boor /W/O/</t>
  </si>
  <si>
    <t>አይሻ አ/ጀባል አ/ቦር /ወ/ሮ/</t>
  </si>
  <si>
    <t>3385</t>
  </si>
  <si>
    <t>Aysha Jemal Leda /W/o/</t>
  </si>
  <si>
    <t>አይሻ ጀማል ለዳ /ወ/ሮ/</t>
  </si>
  <si>
    <t>3386</t>
  </si>
  <si>
    <t>0911-431144
0911-400363</t>
  </si>
  <si>
    <t>3387</t>
  </si>
  <si>
    <t>Aysheshim Desie Wolie /Ato/</t>
  </si>
  <si>
    <t>አየይሸሸም ደሴ ወሌ /አቶ/</t>
  </si>
  <si>
    <t>3388</t>
  </si>
  <si>
    <t>Aysheshim Sima Werekie /Ato/</t>
  </si>
  <si>
    <t>አይሸሽም ስሜ ወርቄ /አቶ/</t>
  </si>
  <si>
    <t>0962-987720</t>
  </si>
  <si>
    <t>3389</t>
  </si>
  <si>
    <t>Aytenew Amlaku Adamu/Ato/</t>
  </si>
  <si>
    <t>አይተነው አምለኩ አዳሙ /አቶ/</t>
  </si>
  <si>
    <t>3390</t>
  </si>
  <si>
    <t>Aytenew Andaregie Ngatu /Ato/</t>
  </si>
  <si>
    <t>አይተነው አንዳርጌ ንጋቱ /አቶ/</t>
  </si>
  <si>
    <t>3391</t>
  </si>
  <si>
    <t>Ayu Dawur Atara /W/O/</t>
  </si>
  <si>
    <t>አዩ ዳዉሮ አታራ /ወ/ሮ/</t>
  </si>
  <si>
    <t>0906-389558</t>
  </si>
  <si>
    <t>3392</t>
  </si>
  <si>
    <t>Ayub Nuru Abdulkadir /Ato/</t>
  </si>
  <si>
    <t>አዩብ ኑሩ አብዱልቃድር /አቶ/</t>
  </si>
  <si>
    <t>3393</t>
  </si>
  <si>
    <t>Ayza Unche Gude /Ato/</t>
  </si>
  <si>
    <t>አይዛ ኡንቼ ጉዴ /አቶ/</t>
  </si>
  <si>
    <t>3394</t>
  </si>
  <si>
    <t>Ayzak Kebede /Ato/</t>
  </si>
  <si>
    <t>አይዛክ ከበደ /አቶ/</t>
  </si>
  <si>
    <t>0911-652642</t>
  </si>
  <si>
    <t>3395</t>
  </si>
  <si>
    <t>Azach Lante Otoro /Ato/</t>
  </si>
  <si>
    <t>አዘች ላንቴ ኦቶሮ /አቶ/</t>
  </si>
  <si>
    <t>3396</t>
  </si>
  <si>
    <t>Azache Ayiza /Ato/</t>
  </si>
  <si>
    <t>አዛቼ አይዛ /አቶ/</t>
  </si>
  <si>
    <t>3397</t>
  </si>
  <si>
    <t>Azache Sntayehu /Ato/</t>
  </si>
  <si>
    <t>አዛቼ ስንታየሁ /አቶ/</t>
  </si>
  <si>
    <t>0949-593721</t>
  </si>
  <si>
    <t>3398</t>
  </si>
  <si>
    <t>Azalech Emuhaye Tamrat /W/O/</t>
  </si>
  <si>
    <t>አዛለች እሙሃይ ታምራት /ወ/ሮ/</t>
  </si>
  <si>
    <t>3399</t>
  </si>
  <si>
    <t>Azaleche Mandado Tubebo /W/o/</t>
  </si>
  <si>
    <t>አዛለች ማንዳዶ ቱበቦ /ወ/ሮ/</t>
  </si>
  <si>
    <t>0926-574544</t>
  </si>
  <si>
    <t>3400</t>
  </si>
  <si>
    <t>Azaleche Tadese Woras /W/O/</t>
  </si>
  <si>
    <t>አዛለች ታደስ ወራሣ /ወ/ሮ/</t>
  </si>
  <si>
    <t>0909-968617</t>
  </si>
  <si>
    <t>3401</t>
  </si>
  <si>
    <t>Azaria Kebede Alemayehu /Ato/</t>
  </si>
  <si>
    <t>አዛሪያ ከበደ አለማየሁ /አቶ/</t>
  </si>
  <si>
    <t>0911-382535/0911-228270</t>
  </si>
  <si>
    <t>Kidanu.maregn@yahoo.com</t>
  </si>
  <si>
    <t>3402</t>
  </si>
  <si>
    <t>Azaze Abera Chole /Ato/</t>
  </si>
  <si>
    <t>አዛዜ አበራ ጮሌ /አቶ/</t>
  </si>
  <si>
    <t>0962-843509</t>
  </si>
  <si>
    <t>3403</t>
  </si>
  <si>
    <t>Azeb Alena Angaro/W/O/</t>
  </si>
  <si>
    <t>አዜብ አለና አንጋኖ /ወ/ሮ/</t>
  </si>
  <si>
    <t>0938-944096</t>
  </si>
  <si>
    <t>3404</t>
  </si>
  <si>
    <t>Azeb Asmelash Kiflay /W/o/</t>
  </si>
  <si>
    <t>አዜብ አስመላሽ ክፍለይ /ወ/ሮ/</t>
  </si>
  <si>
    <t>0911-433127</t>
  </si>
  <si>
    <t>3405</t>
  </si>
  <si>
    <t>Azeb Asrat Delelegn /W/o/</t>
  </si>
  <si>
    <t>አዜብ አስራት ደለለኝ /ወ/ሮ/</t>
  </si>
  <si>
    <t>0911-304411</t>
  </si>
  <si>
    <t>3406</t>
  </si>
  <si>
    <t>Azeb Assefa /W/o/ For Salem Awad Salem /Minor/</t>
  </si>
  <si>
    <t>አዜብ አሰፋ /ወ/ሮ/ ለሣልም አዋድ ሣልም /ህጻን/</t>
  </si>
  <si>
    <t>0967-255068</t>
  </si>
  <si>
    <t>3407</t>
  </si>
  <si>
    <t>Azeb Berhe Hagos /W/</t>
  </si>
  <si>
    <t>አዜብ በርሄ ሀጎስ /ወ/</t>
  </si>
  <si>
    <t>0921-146246</t>
  </si>
  <si>
    <t>azinaa31@gmail.com</t>
  </si>
  <si>
    <t>3408</t>
  </si>
  <si>
    <t>Azeb Fekadu Abebe /W/o/</t>
  </si>
  <si>
    <t>አዜብ ፍቃዱ አበበ /ወ/ሮ/</t>
  </si>
  <si>
    <t>3409</t>
  </si>
  <si>
    <t>Azeb Fekede G/Mikael /W/o/</t>
  </si>
  <si>
    <t>አዜብ ፈቀደ ገ/ሚካኤል /ወ/ሮ/</t>
  </si>
  <si>
    <t>3410</t>
  </si>
  <si>
    <t>Azeb Feshaye Zegeye /W/o/</t>
  </si>
  <si>
    <t>አዜብ ፍስሀዬ ዘገየ /ወ/ሮ/</t>
  </si>
  <si>
    <t>0911120815
0116189868</t>
  </si>
  <si>
    <t>azebfisehaye-gegeye@gmail.com</t>
  </si>
  <si>
    <t>3411</t>
  </si>
  <si>
    <t>Azeb Kiros Berhe /W/o/ For Eliyab Biniam Agonafir /Minor/</t>
  </si>
  <si>
    <t>አዜብ ኪሮስ በርሄ /ወ/ሮ/ ለኤልያብ ቢኒያም  /ህፃን/</t>
  </si>
  <si>
    <t>0913-328782</t>
  </si>
  <si>
    <t>3412</t>
  </si>
  <si>
    <t>Azeb Kiros Berhe /W/o/ For Hemen Biniam Agonafir /Minor/</t>
  </si>
  <si>
    <t>አዜብ ኪሮስ በርሄ /ወ/ሮ/ ለሄመን ቢኒያም /ህፃን/</t>
  </si>
  <si>
    <t>0910-317975</t>
  </si>
  <si>
    <t>3413</t>
  </si>
  <si>
    <t>Azeb Lakew H/mariam /W/o/</t>
  </si>
  <si>
    <t>አዜብ ላቀዉ ሀ/ማርያም /ወ/ሮ/</t>
  </si>
  <si>
    <t>0910-780924</t>
  </si>
  <si>
    <t>3414</t>
  </si>
  <si>
    <t>Azeb Tadesse Yerga  /W/o/</t>
  </si>
  <si>
    <t>አዜብ ታደሰ ይርጋ /ወ/ሮ/</t>
  </si>
  <si>
    <t>0915-580845</t>
  </si>
  <si>
    <t>3415</t>
  </si>
  <si>
    <t>Azeb Teferi Mandefro /W/o/</t>
  </si>
  <si>
    <t>አዜብ ተፈሪ ማንደፍሮ /ወ/ሮ/</t>
  </si>
  <si>
    <t>0917-113332</t>
  </si>
  <si>
    <t>3416</t>
  </si>
  <si>
    <t>Azeb Teshome /w/o/</t>
  </si>
  <si>
    <t>አዜብ ተሾመ /ወ/ኦ/</t>
  </si>
  <si>
    <t>3417</t>
  </si>
  <si>
    <t>3418</t>
  </si>
  <si>
    <t>Azeb Tsegaye G/yohannes /W/o/</t>
  </si>
  <si>
    <t>አዜብ ፀጋዬ ገ/ዮሐንስ /ወ/ሮ/</t>
  </si>
  <si>
    <t>0934-760418</t>
  </si>
  <si>
    <t>3419</t>
  </si>
  <si>
    <t>Azeb Yejotiwork Legesse /W/o/</t>
  </si>
  <si>
    <t>አዜብ የጆቴወርቅ ለገሰ /ወ/ሮ/</t>
  </si>
  <si>
    <t>0970-781515/0911-640660</t>
  </si>
  <si>
    <t>merawitmedhin2@gmail.com</t>
  </si>
  <si>
    <t>3420</t>
  </si>
  <si>
    <t>Azebi T/medhin Sharew /W/o/</t>
  </si>
  <si>
    <t>አዜብ ተ/መድህን ሻረዉ /ወ/ሮ/</t>
  </si>
  <si>
    <t>0913-636058</t>
  </si>
  <si>
    <t>3421</t>
  </si>
  <si>
    <t>Azeche Asheko Agibo /Ato/</t>
  </si>
  <si>
    <t>አዘች አሸቆ አጌቦ /አቶ/</t>
  </si>
  <si>
    <t>3422</t>
  </si>
  <si>
    <t>Azemach Tamirat /Ato/</t>
  </si>
  <si>
    <t>አዝማች ታምራት /አቶ/</t>
  </si>
  <si>
    <t>3423</t>
  </si>
  <si>
    <t>Azemeraw Tenaw Azene /Ato/</t>
  </si>
  <si>
    <t>አዝመራው ጤናው አዘነ /አቶ/</t>
  </si>
  <si>
    <t>3424</t>
  </si>
  <si>
    <t>Azene Adamu /Ato/</t>
  </si>
  <si>
    <t>አዘነ አዳሙ ፍንቴ /አቶ/</t>
  </si>
  <si>
    <t>3425</t>
  </si>
  <si>
    <t>Azene Ayele Aregahagn /Ato/</t>
  </si>
  <si>
    <t>አዘነ አየለ አረጋሀኝ /አቶ/</t>
  </si>
  <si>
    <t>3426</t>
  </si>
  <si>
    <t>Azene Deda Zebo /Ato/</t>
  </si>
  <si>
    <t>አዘነ ዴዳ ዜቦ /አቶ/</t>
  </si>
  <si>
    <t>3427</t>
  </si>
  <si>
    <t>Azene Fente Moges /Ato/</t>
  </si>
  <si>
    <t>አዘነ ፈንቴ ሞገስ /አቶ/</t>
  </si>
  <si>
    <t>3428</t>
  </si>
  <si>
    <t>Azene Jenbere Mekonen /Ato/</t>
  </si>
  <si>
    <t>አዘነ ጀንበሬ መኮንን /አቶ/</t>
  </si>
  <si>
    <t>3429</t>
  </si>
  <si>
    <t>Azene Tarekegn  /Ato/</t>
  </si>
  <si>
    <t>አዘነ ታርቀኝ   /አቶ/</t>
  </si>
  <si>
    <t>3430</t>
  </si>
  <si>
    <t>Azene Tibebu Wudie /Ato/</t>
  </si>
  <si>
    <t>አዘነ ጥበበ ውዴ /አቶ/</t>
  </si>
  <si>
    <t>3431</t>
  </si>
  <si>
    <t>Azene Zerihun  /Ato/</t>
  </si>
  <si>
    <t>አዘነ ዘሪሁን /አቶ/</t>
  </si>
  <si>
    <t>3432</t>
  </si>
  <si>
    <t xml:space="preserve">Azenegasi W/Giorgis </t>
  </si>
  <si>
    <t>አዘነጋሲ ወ/ጊዮርጊስ</t>
  </si>
  <si>
    <t>3433</t>
  </si>
  <si>
    <t>Azez Anteneh Belay  /Ato/</t>
  </si>
  <si>
    <t>አዝዝ አንተነህ በላይ /አቶ/</t>
  </si>
  <si>
    <t>3434</t>
  </si>
  <si>
    <t>Azeze Aweke Zewede/Ato/</t>
  </si>
  <si>
    <t>አዘዜ አወቀ ዘውዴ/አቶ/</t>
  </si>
  <si>
    <t>3435</t>
  </si>
  <si>
    <t>Azeze Beze Ygzaw /Ato/</t>
  </si>
  <si>
    <t>አዘዘ በዜ ይግዛው /አቶ/</t>
  </si>
  <si>
    <t>3436</t>
  </si>
  <si>
    <t>Azeze Bezie Wasie /Ato/</t>
  </si>
  <si>
    <t>አዘዘ በዚ ዋሴ /አቶ/</t>
  </si>
  <si>
    <t>3437</t>
  </si>
  <si>
    <t>Azeze Getu /Ato/</t>
  </si>
  <si>
    <t>አዘዘ ጌጡ /አቶ/</t>
  </si>
  <si>
    <t>3438</t>
  </si>
  <si>
    <t>Azeze Haregewoyin /Ato/</t>
  </si>
  <si>
    <t>አዝዘ ሀረገወይነን /አቶ/</t>
  </si>
  <si>
    <t>3439</t>
  </si>
  <si>
    <t>Azeze Kassie Ferede /Ato/</t>
  </si>
  <si>
    <t>አዝዝ ካሴ ፈረደ /አቶ/</t>
  </si>
  <si>
    <t>0911-115501
0969-127595</t>
  </si>
  <si>
    <t>azezekassie2019@gmail.com</t>
  </si>
  <si>
    <t>3440</t>
  </si>
  <si>
    <t>Azeze Walle Fenta/Ato/</t>
  </si>
  <si>
    <t>አዘዘ ፈንታ /አቶ /</t>
  </si>
  <si>
    <t>3441</t>
  </si>
  <si>
    <t>Azezew Akililu Alemu /Ato/</t>
  </si>
  <si>
    <t>አዘዘው አክሊሉ አለሙ /አቶ/</t>
  </si>
  <si>
    <t>3442</t>
  </si>
  <si>
    <t>Azieb Fessehaie Zegheie /W/o/</t>
  </si>
  <si>
    <t>አዜብ ፍስሃዬ ዘገየ /ወ/ሮ/</t>
  </si>
  <si>
    <t>3443</t>
  </si>
  <si>
    <t>Azimeraw Abebe Mekonnen (Ato)</t>
  </si>
  <si>
    <t>አዝመራው አበበ መኮንን /አቶ/</t>
  </si>
  <si>
    <t>3444</t>
  </si>
  <si>
    <t>Azimeraw Ashenef/Ato/</t>
  </si>
  <si>
    <t>አዝመራው አሸናፊ/አቶ/</t>
  </si>
  <si>
    <t>3445</t>
  </si>
  <si>
    <t>Azimeraw Bekele Ygizaw /Ato/</t>
  </si>
  <si>
    <t>አዝመራው በቀለ ይግዛው /አቶ/</t>
  </si>
  <si>
    <t>3446</t>
  </si>
  <si>
    <t>Azimeraw Getie /Ato/</t>
  </si>
  <si>
    <t>አዝመራው ጌቴ /አቶ/</t>
  </si>
  <si>
    <t>0932-870923</t>
  </si>
  <si>
    <t>3447</t>
  </si>
  <si>
    <t>Azimeraw Mare/Ato/</t>
  </si>
  <si>
    <t>አዝመራው ማረ ደመቀ /አቶ/</t>
  </si>
  <si>
    <t>3448</t>
  </si>
  <si>
    <t>Azimeraw Minalu Shite /Ato/</t>
  </si>
  <si>
    <t>አዝመረው ሞናሉ /አቶ/</t>
  </si>
  <si>
    <t>3449</t>
  </si>
  <si>
    <t>Azimeraw Yihunie Endalew /Ato/</t>
  </si>
  <si>
    <t>አዝመራው ይሁኔ እንዳለው /አቶ/</t>
  </si>
  <si>
    <t>3450</t>
  </si>
  <si>
    <t>Aziz Adamu Delele /Ato/</t>
  </si>
  <si>
    <t>አዝዝ አዳሙ ደለለ /አቶ/</t>
  </si>
  <si>
    <t>0920-574176</t>
  </si>
  <si>
    <t>3451</t>
  </si>
  <si>
    <t>Aziz Ayalew Teruneh /Ato/</t>
  </si>
  <si>
    <t>አዝዝ አያሌው ጥሩነህ /አቶ/</t>
  </si>
  <si>
    <t>3452</t>
  </si>
  <si>
    <t>Aziz Temibaru Nigatu /Ato/</t>
  </si>
  <si>
    <t>አዝዝ ተግባሩ ንጋቱ /አቶ/</t>
  </si>
  <si>
    <t>3453</t>
  </si>
  <si>
    <t>Aziza A/jebal A/Jihad /W/o/</t>
  </si>
  <si>
    <t>አዚዛ አ/ጀባል አ/ጂሃድ /ወ/ኦ/</t>
  </si>
  <si>
    <t>3454</t>
  </si>
  <si>
    <t>Aziza Berhan Tegene /W/o/</t>
  </si>
  <si>
    <t>አዚዛ ብርሃን ተገኔ /ወ/ሮ/</t>
  </si>
  <si>
    <t>3455</t>
  </si>
  <si>
    <t>Azize Behailu Reta /Ato/</t>
  </si>
  <si>
    <t>አዝዜ ባይሉ ረታ /አቶ/</t>
  </si>
  <si>
    <t>0945-455217</t>
  </si>
  <si>
    <t>3456</t>
  </si>
  <si>
    <t>Azizie Guraje Aailu /Ato/</t>
  </si>
  <si>
    <t>አዝዜ ጉራጀ አይሉ /አቶ/</t>
  </si>
  <si>
    <t>3457</t>
  </si>
  <si>
    <t>Azmach Selshi Shewangezaw /W/o/</t>
  </si>
  <si>
    <t>አዝማች ስለሺ ሸዋንግዛዉ /ወ/ሮ/</t>
  </si>
  <si>
    <t>0915-009609</t>
  </si>
  <si>
    <t>3458</t>
  </si>
  <si>
    <t>Azmeraw Belay Gizachew /Ato/</t>
  </si>
  <si>
    <t>አዝመራው በላይ ግዛቸው /አቶ/</t>
  </si>
  <si>
    <t>0920-356956</t>
  </si>
  <si>
    <t>3459</t>
  </si>
  <si>
    <t>Azmeraw Chekole Guangule /Ato/</t>
  </si>
  <si>
    <t>አዝመራው ቸኮለ ጓንጉል /አቶ/</t>
  </si>
  <si>
    <t>3460</t>
  </si>
  <si>
    <t>Azo Maka (Ato)</t>
  </si>
  <si>
    <t>እዞ ማቀ ጎባና  (አቶ)</t>
  </si>
  <si>
    <t>0994-317083</t>
  </si>
  <si>
    <t>3461</t>
  </si>
  <si>
    <t>Babahu Alemu Desalew /Ato/</t>
  </si>
  <si>
    <t>ባባሁ አለሙ ደሣለው /አቶ/</t>
  </si>
  <si>
    <t>0927-833647</t>
  </si>
  <si>
    <t>3462</t>
  </si>
  <si>
    <t>Babahunegn Kebede Belachew /Ato/</t>
  </si>
  <si>
    <t>ባባሁነኝ ከበደ በላቸው /አቶ/</t>
  </si>
  <si>
    <t>0972-333116</t>
  </si>
  <si>
    <t>3463</t>
  </si>
  <si>
    <t>Babaw Wondemagegn Getachew /Ato/</t>
  </si>
  <si>
    <t>ባቤው ወንድማገኝ ጌታቸው /አቶ/</t>
  </si>
  <si>
    <t>0937-562844</t>
  </si>
  <si>
    <t>3464</t>
  </si>
  <si>
    <t>Babay Adigo Moges /Ato/</t>
  </si>
  <si>
    <t>ባባ አዲጎ ሞገስ /አቶ/</t>
  </si>
  <si>
    <t>3465</t>
  </si>
  <si>
    <t>Babay Tarekegn Abaye /Ato/</t>
  </si>
  <si>
    <t>ባባይ ታረቀኝ አባዬ /አቶ/</t>
  </si>
  <si>
    <t>0936-605808</t>
  </si>
  <si>
    <t>3466</t>
  </si>
  <si>
    <t>Babay Tefere Desalegn /Ato/</t>
  </si>
  <si>
    <t>ባበይ ተርፈ ደሳለኝ /አቶ/</t>
  </si>
  <si>
    <t>3467</t>
  </si>
  <si>
    <t>Babey Abie Mersha /Ato/</t>
  </si>
  <si>
    <t>ባበይ አቤ መርሻ /አቶ/</t>
  </si>
  <si>
    <t>3468</t>
  </si>
  <si>
    <t>Babey Ayanew /Ato/</t>
  </si>
  <si>
    <t>ባበይ አየነው /አቶ/</t>
  </si>
  <si>
    <t>0943-563452</t>
  </si>
  <si>
    <t>3469</t>
  </si>
  <si>
    <t>Babicha Shiferaw Belete /Ato/</t>
  </si>
  <si>
    <t>ባቢቻ ሽፈራው በለጠ /አቶ/</t>
  </si>
  <si>
    <t>3470</t>
  </si>
  <si>
    <t>Babiso Bancha Heliso /Ato/</t>
  </si>
  <si>
    <t>ባቢሶ ባንጫ ሄሊሶ /አቶ/</t>
  </si>
  <si>
    <t>3471</t>
  </si>
  <si>
    <t>Babiso Bedanie Chuno /Ato/</t>
  </si>
  <si>
    <t>ባቢሶ ባዳኔ ቹኖ /አቶ/</t>
  </si>
  <si>
    <t>0966-895333</t>
  </si>
  <si>
    <t>3472</t>
  </si>
  <si>
    <t>Babiyaw Orsango /Ato/</t>
  </si>
  <si>
    <t>ባቢያው ኦራሳንጎ /አቶ/</t>
  </si>
  <si>
    <t>3473</t>
  </si>
  <si>
    <t>Bableshagna Debula /Ato/</t>
  </si>
  <si>
    <t>ባብለሻጋ ደቡላ /አቶ/</t>
  </si>
  <si>
    <t>3474</t>
  </si>
  <si>
    <t>Bachiro Dula Enole /Ato/</t>
  </si>
  <si>
    <t>ባቺሮ ዱላ እኖሌ /አቶ/</t>
  </si>
  <si>
    <t>3475</t>
  </si>
  <si>
    <t>Badeg Assfe W/Tsdic /Ato/</t>
  </si>
  <si>
    <t>ባደግ አሰፋ ወ/ፃዲቅ /አቶ/</t>
  </si>
  <si>
    <t>3476</t>
  </si>
  <si>
    <t>Badir Kemal A/Boor /Ato/</t>
  </si>
  <si>
    <t>ባዲር ከማል አ/ቦር /አቶ/</t>
  </si>
  <si>
    <t>3477</t>
  </si>
  <si>
    <t>Badir Umer Mohamed /Ato/</t>
  </si>
  <si>
    <t>ባዲር ኡመር መሃመድ /አቶ/</t>
  </si>
  <si>
    <t>3478</t>
  </si>
  <si>
    <t>Bafa Mandida /Ato/</t>
  </si>
  <si>
    <t>ባፍ ማንድዳ</t>
  </si>
  <si>
    <t>0929-096064</t>
  </si>
  <si>
    <t>3479</t>
  </si>
  <si>
    <t>Bahailu Derese Dassie (Ato)</t>
  </si>
  <si>
    <t>በህይሉ ደርሠ ዳሴ   /አቶ/</t>
  </si>
  <si>
    <t>3480</t>
  </si>
  <si>
    <t>Bahaja Nuru Ahmed /W/t/</t>
  </si>
  <si>
    <t>ባሀጃ ኑር አህመድ /ወ/ት/</t>
  </si>
  <si>
    <t>3481</t>
  </si>
  <si>
    <t>Bahar Abdella Kelifa /Ato/</t>
  </si>
  <si>
    <t>በሀር አብደላ ከሊፋ /አቶ/</t>
  </si>
  <si>
    <t>0911-208841</t>
  </si>
  <si>
    <t>behar.ak@gmail.com</t>
  </si>
  <si>
    <t>3482</t>
  </si>
  <si>
    <t>Baharu Abafita /Ato/</t>
  </si>
  <si>
    <t>ባህሩ አባፊታ /አቶ/</t>
  </si>
  <si>
    <t>3483</t>
  </si>
  <si>
    <t>Bahilu Dereje Tsegaye /Ato/</t>
  </si>
  <si>
    <t>ባህሉ ደረጀ ፀጋዬ /አቶ/</t>
  </si>
  <si>
    <t>0912-091876</t>
  </si>
  <si>
    <t>3484</t>
  </si>
  <si>
    <t>Bahiru Gezahagn worku /Ato/</t>
  </si>
  <si>
    <t>ባህሩ ገዛኸኝ ወርቁ /አቶ/</t>
  </si>
  <si>
    <t>0911-8862471</t>
  </si>
  <si>
    <t>3485</t>
  </si>
  <si>
    <t>Bahiru H/mariam Anbese /Ato/</t>
  </si>
  <si>
    <t>ባህሩ ኃ/ማርያም አንበሴ /አቶ/</t>
  </si>
  <si>
    <t>3486</t>
  </si>
  <si>
    <t>Bahiru Tadele /Ato/</t>
  </si>
  <si>
    <t>ባህሩ ታደለ /አቶ/</t>
  </si>
  <si>
    <t>3487</t>
  </si>
  <si>
    <t>Bahredin Awol /Ato/</t>
  </si>
  <si>
    <t>ባህረዲን አወል /አቶ/</t>
  </si>
  <si>
    <t>0912-160206</t>
  </si>
  <si>
    <t>3488</t>
  </si>
  <si>
    <t>3489</t>
  </si>
  <si>
    <t>Bajsa Mneshi/Ato/</t>
  </si>
  <si>
    <t>ባጂሳ ምንሺ/አቶ/</t>
  </si>
  <si>
    <t>3490</t>
  </si>
  <si>
    <t>Bakane Boro Kerbo (Ato)</t>
  </si>
  <si>
    <t>ባካኔ ቦሮ ከርቦ /አቶ/</t>
  </si>
  <si>
    <t>0940616714</t>
  </si>
  <si>
    <t>3491</t>
  </si>
  <si>
    <t>Bakiru Biya /Ato/</t>
  </si>
  <si>
    <t>ባኪሩ ባያ /አቶ/</t>
  </si>
  <si>
    <t>0920-301590</t>
  </si>
  <si>
    <t>3492</t>
  </si>
  <si>
    <t>Balachew Desalegne Tesema /Ato/</t>
  </si>
  <si>
    <t>በላቸው ደሳለኝ ተሰማ /አቶ/</t>
  </si>
  <si>
    <t>0918-533444</t>
  </si>
  <si>
    <t>3493</t>
  </si>
  <si>
    <t>Balcha Baliyo Tonjo /Ato/</t>
  </si>
  <si>
    <t>ባልቻ በልዮ ቶንጀ /አቶ/</t>
  </si>
  <si>
    <t>3494</t>
  </si>
  <si>
    <t>Balcha Ditaw /Ato/</t>
  </si>
  <si>
    <t>ባልቻ ድታዉ /አቶ/</t>
  </si>
  <si>
    <t>0946-552107</t>
  </si>
  <si>
    <t>3495</t>
  </si>
  <si>
    <t>Balcha Tulu Ayano /Ato/</t>
  </si>
  <si>
    <t>ባልቻ ቱሉ አያኖ /አቶ/</t>
  </si>
  <si>
    <t>0913-158424
0911-020367</t>
  </si>
  <si>
    <t>3496</t>
  </si>
  <si>
    <t>Baldade Toyto Tome /W/O</t>
  </si>
  <si>
    <t>ባልዳዴ ቶይቶ ቶሜ /ወ/ሮ</t>
  </si>
  <si>
    <t>0916-552257</t>
  </si>
  <si>
    <t>3497</t>
  </si>
  <si>
    <t>Bale Ayele Temesgen /Ato/</t>
  </si>
  <si>
    <t>ባለ አየለ ተመስገን /አቶ/</t>
  </si>
  <si>
    <t>3498</t>
  </si>
  <si>
    <t>Bale Yada Salato /Ato/</t>
  </si>
  <si>
    <t>ባሌ ያዳ ሳላቶ ሳላቶ  /አቶ/</t>
  </si>
  <si>
    <t>3499</t>
  </si>
  <si>
    <t>Baleguday Derese(Ato)</t>
  </si>
  <si>
    <t>ባለጉዳይ ደረሳ /አቶ/</t>
  </si>
  <si>
    <t>0947132050</t>
  </si>
  <si>
    <t>3500</t>
  </si>
  <si>
    <t>Balem Feru/Ato</t>
  </si>
  <si>
    <t>ባለም ፈሩ እጀጉ /አቶ/</t>
  </si>
  <si>
    <t>3501</t>
  </si>
  <si>
    <t>Balemlay Asefa Ayalew /Ato/</t>
  </si>
  <si>
    <t>ባቀምላይ አሰፋ አያሌው /አቶ/</t>
  </si>
  <si>
    <t>0902-717414</t>
  </si>
  <si>
    <t>3502</t>
  </si>
  <si>
    <t>Balemlay Tilahun /Ato/</t>
  </si>
  <si>
    <t>ባለምላይ ጥላሁን /አቶ/</t>
  </si>
  <si>
    <t>0921-798916</t>
  </si>
  <si>
    <t>3503</t>
  </si>
  <si>
    <t>Balew Bawoke Mewhagn /Ato/</t>
  </si>
  <si>
    <t>ባለዉ ባወቀ መዉሃኝ /አቶ/</t>
  </si>
  <si>
    <t>3504</t>
  </si>
  <si>
    <t>Balew Gize Negatie /Ato/</t>
  </si>
  <si>
    <t>ባለው ግዜ ንጋቱ /አቶ/</t>
  </si>
  <si>
    <t>3505</t>
  </si>
  <si>
    <t>Balew Habtie/Ato/</t>
  </si>
  <si>
    <t>ባለው ሀብቴ ማዘንጊያ /አቶ/</t>
  </si>
  <si>
    <t>3506</t>
  </si>
  <si>
    <t>Balew Wendim  Tsega /Ato/</t>
  </si>
  <si>
    <t>ባለዉ ወንድም ጸጋ /አቶ/</t>
  </si>
  <si>
    <t>3507</t>
  </si>
  <si>
    <t>Balewgize Amare Zeru  /Ato/</t>
  </si>
  <si>
    <t>ባለውጊዜ አማረ ዘሩ /አቶ/</t>
  </si>
  <si>
    <t>0931-985926</t>
  </si>
  <si>
    <t>shiferawsolomon946@gmail.com</t>
  </si>
  <si>
    <t>3508</t>
  </si>
  <si>
    <t>Balgo Belunu Arie /Ato/</t>
  </si>
  <si>
    <t>ባልጎ በሉኑ አሬ /አቶ/</t>
  </si>
  <si>
    <t>3509</t>
  </si>
  <si>
    <t>Balgo Fanta Abate /Ato/</t>
  </si>
  <si>
    <t xml:space="preserve"> ባልጎ ፋንታ አባቴ /አቶ/</t>
  </si>
  <si>
    <t>3510</t>
  </si>
  <si>
    <t>Balikie Getahun Wube /Ato/</t>
  </si>
  <si>
    <t>ባልኬ ጌታሁን ዉቤ /አቶ/</t>
  </si>
  <si>
    <t>3511</t>
  </si>
  <si>
    <t>Balila Balta Nona /Ato/</t>
  </si>
  <si>
    <t>ቢላል በለጠ ኖና /አቶ/</t>
  </si>
  <si>
    <t>3512</t>
  </si>
  <si>
    <t>Balo Yola /Ato/</t>
  </si>
  <si>
    <t>ባሎ ዩላ /አቶ/</t>
  </si>
  <si>
    <t>3513</t>
  </si>
  <si>
    <t>Balta Bekele Molla /Ato/</t>
  </si>
  <si>
    <t>ብላታ በቀለ ሞላ /አቶ/</t>
  </si>
  <si>
    <t>0935-488692</t>
  </si>
  <si>
    <t>3514</t>
  </si>
  <si>
    <t>Balta Yaya /Ato/</t>
  </si>
  <si>
    <t>ባልጣ ያያ /አቶ/</t>
  </si>
  <si>
    <t>0968-019301</t>
  </si>
  <si>
    <t>3515</t>
  </si>
  <si>
    <t>Bamelaku Minalu Gelaw /Ato/</t>
  </si>
  <si>
    <t>ባመላኩ ሚናሉ ገላው /አቶ/</t>
  </si>
  <si>
    <t>3516</t>
  </si>
  <si>
    <t>Bamelaku Tesfaye Mitku /Ato/</t>
  </si>
  <si>
    <t>ባመላኩ ተስፋዬ ምትኩ /አቶ/</t>
  </si>
  <si>
    <t>3517</t>
  </si>
  <si>
    <t>Bamelaku Yersaw /Kebede /Ato/</t>
  </si>
  <si>
    <t>ባመላኩ የርስዋ /ከበደ /አቶ/</t>
  </si>
  <si>
    <t>3518</t>
  </si>
  <si>
    <t>Bamele Biyazen Nega /Ato/</t>
  </si>
  <si>
    <t>ባመለ ቢያዘን ነጋ /አቶ/</t>
  </si>
  <si>
    <t>3519</t>
  </si>
  <si>
    <t>Bamilaku Chekol Terefe /Ato/</t>
  </si>
  <si>
    <t>ባምላኩ ቸኮል ተረፍ /አቶ/</t>
  </si>
  <si>
    <t>3520</t>
  </si>
  <si>
    <t>Bamile Abite Alemu /Ato/</t>
  </si>
  <si>
    <t>ባምሌ አብጤ አለሙ /አቶ/</t>
  </si>
  <si>
    <t>3521</t>
  </si>
  <si>
    <t>Bamile Gete Belay /Ato/</t>
  </si>
  <si>
    <t xml:space="preserve">ባምሌ ጌቴ በላይ /አቶ/ </t>
  </si>
  <si>
    <t>3522</t>
  </si>
  <si>
    <t>Bamlak Alemayehu Alemu /W/t/</t>
  </si>
  <si>
    <t>ባምላክ አለማየሁ አለሙ /ወ/ት/</t>
  </si>
  <si>
    <t>3523</t>
  </si>
  <si>
    <t>Bamlak Tsegaye W/Gebriel /Ato/</t>
  </si>
  <si>
    <t>በአምላክ ፀጋዬ ወ/ገብርኤል /አቶ/</t>
  </si>
  <si>
    <t>0916-074873</t>
  </si>
  <si>
    <t>3524</t>
  </si>
  <si>
    <t>Bamlaku Ayele Nigusse /Ato/</t>
  </si>
  <si>
    <t>ባምላከ አየለ ንጉሴ /አቶ/</t>
  </si>
  <si>
    <t>3525</t>
  </si>
  <si>
    <t>Bamlaku Getahun Meselu /Ato/</t>
  </si>
  <si>
    <t>ባምላኩ ጌታሁን መሰሉ /አቶ/</t>
  </si>
  <si>
    <t>3526</t>
  </si>
  <si>
    <t>Bamlaku Lakew /Ato/</t>
  </si>
  <si>
    <t xml:space="preserve">ባምላኩ ላቀው /አቶ/ </t>
  </si>
  <si>
    <t>3527</t>
  </si>
  <si>
    <t>Bamlaku Mulu Wondyifraw /Ato/</t>
  </si>
  <si>
    <t>ባምላኩ ሙሉ ወንድይፍራዉ /አቶ/</t>
  </si>
  <si>
    <t>3528</t>
  </si>
  <si>
    <t>Bamle Dese Ayecheh /Ato/</t>
  </si>
  <si>
    <t>ባምሌ ድሴ አይቸህ /አቶ/</t>
  </si>
  <si>
    <t>3529</t>
  </si>
  <si>
    <t>Bancha Bassa /Ato/</t>
  </si>
  <si>
    <t>ባንጫ ባሣ /አቶ/</t>
  </si>
  <si>
    <t>3530</t>
  </si>
  <si>
    <t xml:space="preserve">Bancha Bateso Bala /Ato/ </t>
  </si>
  <si>
    <t>ባንጫ ባትሶ ባላ /አቶ/</t>
  </si>
  <si>
    <t>3531</t>
  </si>
  <si>
    <t>Banchayehu Amisalu Nega /Ato/</t>
  </si>
  <si>
    <t>ባንችአየሁ አምሳሉ ነጋ /አቶ/</t>
  </si>
  <si>
    <t>3532</t>
  </si>
  <si>
    <t>Banchayehu Debalke Yetayew /W/o/</t>
  </si>
  <si>
    <t>ባናቻየሁ ደባልቄ ይታየዉ /ወ/ሮ/</t>
  </si>
  <si>
    <t>0912-854225</t>
  </si>
  <si>
    <t>yalarchint@gmail.com</t>
  </si>
  <si>
    <t>3533</t>
  </si>
  <si>
    <t>3534</t>
  </si>
  <si>
    <t>3535</t>
  </si>
  <si>
    <t>Bancheywal Tefera Gebie /W/O/</t>
  </si>
  <si>
    <t>ባንችይዋል ተፈራ ገቤ /ወ/ሮ/</t>
  </si>
  <si>
    <t>3536</t>
  </si>
  <si>
    <t>Banchialem Jenberu Kitaw /Ato/</t>
  </si>
  <si>
    <t>በባንቺአለም ጀንበሩ ቅጣዉ /አቶ/</t>
  </si>
  <si>
    <t>3537</t>
  </si>
  <si>
    <t>Banchiamilak Gashaw Mola /W/o/</t>
  </si>
  <si>
    <t>ባንቺአምላክ ጋሻው ሞላ /ወ/ሮ/</t>
  </si>
  <si>
    <t>0926-786679</t>
  </si>
  <si>
    <t>3538</t>
  </si>
  <si>
    <t>Banchiamlak Abebe Leyu /W/o/</t>
  </si>
  <si>
    <t>ባንቺአምላክ  አበበ  ልዩ  /ወ/ሮ/</t>
  </si>
  <si>
    <t>3539</t>
  </si>
  <si>
    <t>Banchilay Ayenew Limenih /Ato/</t>
  </si>
  <si>
    <t>ባንችላይ አየነው ልመንህ /አቶ/</t>
  </si>
  <si>
    <t>3540</t>
  </si>
  <si>
    <t>Banchirega Mekuria Gibe /W/o/</t>
  </si>
  <si>
    <t>ባንቺረጋ መኩሪያ ጊቤ /ወ/ሮ/</t>
  </si>
  <si>
    <t>0913-001980</t>
  </si>
  <si>
    <t>bellaemu@yahoo.com</t>
  </si>
  <si>
    <t>3541</t>
  </si>
  <si>
    <t>Banchiye Birhan Ewnetu /W/O/</t>
  </si>
  <si>
    <t>ባንችየ ብርሃን እውነቱ /ወ/ሮ/</t>
  </si>
  <si>
    <t>3542</t>
  </si>
  <si>
    <t>Banchu Fenta Tamne /Ato/</t>
  </si>
  <si>
    <t>ባንቹ ፈንታ ታመነ /አቶ/</t>
  </si>
  <si>
    <t>3543</t>
  </si>
  <si>
    <t>Banchu Tariku Tebkew /w/o</t>
  </si>
  <si>
    <t>ባንቹ ታሪኩ ተብቀው /ወሮ/</t>
  </si>
  <si>
    <t>3544</t>
  </si>
  <si>
    <t>Banda Buta /Ato/</t>
  </si>
  <si>
    <t>ባንዳ ቡታ /አቶ/</t>
  </si>
  <si>
    <t>3545</t>
  </si>
  <si>
    <t>Banga Balcha Alaho /Ato/</t>
  </si>
  <si>
    <t xml:space="preserve"> ባንጋ ባልቻ አላሆ /አቶ/</t>
  </si>
  <si>
    <t>3546</t>
  </si>
  <si>
    <t>Banichiayimolu Sentie Gelie /W/O/</t>
  </si>
  <si>
    <t>ባንቺአየሞሉ  ሥንቴ ግሌ /ወ/ሮ</t>
  </si>
  <si>
    <t>3547</t>
  </si>
  <si>
    <t>Banite Mengie Eshetie /Ato/</t>
  </si>
  <si>
    <t>ባንተ መንጌ እሸቴ /አቶ/</t>
  </si>
  <si>
    <t>3548</t>
  </si>
  <si>
    <t>Bantayehu Abebe Sinshaw /Ato/</t>
  </si>
  <si>
    <t xml:space="preserve">ባንታየሁ አበበ ሰንሻው /አቶ/ </t>
  </si>
  <si>
    <t>3549</t>
  </si>
  <si>
    <t>Bantayehu Admasu W/mariyam /Ato/</t>
  </si>
  <si>
    <t>ባንታየሁ አድማሱ ወ/ማርያም /አቶ/</t>
  </si>
  <si>
    <t>0921-288748</t>
  </si>
  <si>
    <t>3550</t>
  </si>
  <si>
    <t>Bantayehu Mihiret Ewunetie /Ato/</t>
  </si>
  <si>
    <t>ባንታየሁ ምህረት እውነቴ /አቶ/</t>
  </si>
  <si>
    <t>3551</t>
  </si>
  <si>
    <t>Bante Andualem Beyene /Ato/</t>
  </si>
  <si>
    <t>ባንቴ አንዱአለም በየነ /አቶ/</t>
  </si>
  <si>
    <t>3552</t>
  </si>
  <si>
    <t xml:space="preserve">Bante Damte Tamr /Ato/ </t>
  </si>
  <si>
    <t>ባንቴ ዳምጤ ታምር /አቶ/</t>
  </si>
  <si>
    <t>3553</t>
  </si>
  <si>
    <t>Bante Gelaw Mekonen /Ato/</t>
  </si>
  <si>
    <t>ባንተ ገላው መኮንን /አቶ/</t>
  </si>
  <si>
    <t>3554</t>
  </si>
  <si>
    <t>Bante Tamer Mune /Ato/</t>
  </si>
  <si>
    <t>ባንቴ ታመር ሙኔ /አቶ/</t>
  </si>
  <si>
    <t>3555</t>
  </si>
  <si>
    <t>Bante Tilahun Amare /Ato/</t>
  </si>
  <si>
    <t>ባንቴ ጥላሁን አማረ /አቶ/</t>
  </si>
  <si>
    <t>3556</t>
  </si>
  <si>
    <t>Bante Wendemu Lebeleh /Ato/</t>
  </si>
  <si>
    <t>ባንቴ ወንድሙ ልመንህ /አቶ/</t>
  </si>
  <si>
    <t>3557</t>
  </si>
  <si>
    <t>Bantealem Tadele Beyene /Ato/</t>
  </si>
  <si>
    <t>ባንተአለም ታደለ በየነ /አቶ/</t>
  </si>
  <si>
    <t>0911-479350</t>
  </si>
  <si>
    <t>3558</t>
  </si>
  <si>
    <t>Banteamilak Demisse Belet /Kes/</t>
  </si>
  <si>
    <t>ባንታምላክ ደምሴ በለጠ /ቄሰ/</t>
  </si>
  <si>
    <t>3559</t>
  </si>
  <si>
    <t>Banteder Gelaw /Ato/</t>
  </si>
  <si>
    <t>ባንተደር ገላው /አቶ/</t>
  </si>
  <si>
    <t>3560</t>
  </si>
  <si>
    <t>Bantegize Bamilaku /Ato/</t>
  </si>
  <si>
    <t>ባንተግዜ ባምላኩ /አቶ/</t>
  </si>
  <si>
    <t>3561</t>
  </si>
  <si>
    <t>Bantegize Yirsaw Demisse /Ato/</t>
  </si>
  <si>
    <t>ባንተግዜ ይርሳው ደምሴ /አቶ/</t>
  </si>
  <si>
    <t>3562</t>
  </si>
  <si>
    <t>Bantider Ashenef Goshu /Ato/</t>
  </si>
  <si>
    <t>ባንቲደር አሸነፍ ጎሹ /አቶ/</t>
  </si>
  <si>
    <t>0910-634552</t>
  </si>
  <si>
    <t>3563</t>
  </si>
  <si>
    <t>Bantider Siefu Bekele / Ato/</t>
  </si>
  <si>
    <t>ባንቲደር ሲፉ በቀለ /አቶ/</t>
  </si>
  <si>
    <t>3564</t>
  </si>
  <si>
    <t>Bantie Abelie/Ato/</t>
  </si>
  <si>
    <t>ባንቴ አበሌ ፍላቴ /አቶ/</t>
  </si>
  <si>
    <t>3565</t>
  </si>
  <si>
    <t>Bantie Adisie Eshetie /Ato/</t>
  </si>
  <si>
    <t>ባንቴ አዲሴ እሸቴ /አቶ/</t>
  </si>
  <si>
    <t>3566</t>
  </si>
  <si>
    <t>Bantie Ayele Gete /Ato/</t>
  </si>
  <si>
    <t>ባንቴ አየለ ጌቴ /አቶ/</t>
  </si>
  <si>
    <t>3567</t>
  </si>
  <si>
    <t>Bantie Ayitenew Adane /W/O/</t>
  </si>
  <si>
    <t>ባንቴ አይተነዉ አዳነ /አቶ/</t>
  </si>
  <si>
    <t>3568</t>
  </si>
  <si>
    <t>Bantie Shiferie Arega /Ato/</t>
  </si>
  <si>
    <t>ባንቴ ሸፈሬ አረጋ /አቶ/</t>
  </si>
  <si>
    <t>3569</t>
  </si>
  <si>
    <t>Bantie Wale Nigussi /Ato/</t>
  </si>
  <si>
    <t>ባንቴ ዋለ ንጉሴ /አቶ/</t>
  </si>
  <si>
    <t>3570</t>
  </si>
  <si>
    <t>Barana Badake /Ato/</t>
  </si>
  <si>
    <t>ባራና ባዳቄ /አቶ/</t>
  </si>
  <si>
    <t>3571</t>
  </si>
  <si>
    <t>Barana Bergene /Ato/</t>
  </si>
  <si>
    <t>ባራና በርገን /አቶ/</t>
  </si>
  <si>
    <t>3572</t>
  </si>
  <si>
    <t>Barana Borko /Ato/</t>
  </si>
  <si>
    <t>ቦራና ቦርኮ /አቶ/</t>
  </si>
  <si>
    <t>3573</t>
  </si>
  <si>
    <t>Barana Waza Wadarie /Ato/</t>
  </si>
  <si>
    <t>ባራና ዋዛ ዋዳሬ /አቶ/</t>
  </si>
  <si>
    <t>0924-627998</t>
  </si>
  <si>
    <t>3574</t>
  </si>
  <si>
    <t>Barasa Naramo Boroja /Ato/</t>
  </si>
  <si>
    <t>ባራሳ ናራሞ ቦሮጃ /አቶ/</t>
  </si>
  <si>
    <t>0902-887073</t>
  </si>
  <si>
    <t>3575</t>
  </si>
  <si>
    <t>Barnawi Abagaro /Ato/</t>
  </si>
  <si>
    <t>ባረናዊ አባጋሮ /አቶ/</t>
  </si>
  <si>
    <t>0917-104553</t>
  </si>
  <si>
    <t>3576</t>
  </si>
  <si>
    <t>Barok Kassaye Addeme /Ato/</t>
  </si>
  <si>
    <t>ባሮክ ካሳዬ አደሙ /አቶ/</t>
  </si>
  <si>
    <t>3577</t>
  </si>
  <si>
    <t>Barok Lijwendeme Lakemariam /Ato/</t>
  </si>
  <si>
    <t>ባሮክ ልጅወንድሜ ላዕከማርያም /አቶ/</t>
  </si>
  <si>
    <t>0983-008707</t>
  </si>
  <si>
    <t>3578</t>
  </si>
  <si>
    <t>Baruda Bafa Bakalo /Ato/</t>
  </si>
  <si>
    <t xml:space="preserve"> ባሩዳ ባፍ ባካሎ /አቶ/</t>
  </si>
  <si>
    <t>3579</t>
  </si>
  <si>
    <t>Baruda Basa Gebeyehu /Ato/</t>
  </si>
  <si>
    <t>ባሩዳ ባሣ ገበየሁ/አቶ/</t>
  </si>
  <si>
    <t>3580</t>
  </si>
  <si>
    <t>Barudin Kedir /Ato/</t>
  </si>
  <si>
    <t>ባሩዲን ከድር /አቶ/</t>
  </si>
  <si>
    <t>0994-099160</t>
  </si>
  <si>
    <t>3581</t>
  </si>
  <si>
    <t>Basa Barata Chanda /Ato/</t>
  </si>
  <si>
    <t>ባሳ ባራታ ጫንዳ /አቶ/</t>
  </si>
  <si>
    <t>3582</t>
  </si>
  <si>
    <t>Basazen Aseradew /Ato/</t>
  </si>
  <si>
    <t>ባሳዘን አሰራደው /አቶ/</t>
  </si>
  <si>
    <t>3583</t>
  </si>
  <si>
    <t>Basazenew Liwoyehu Sheferaw /Ato/</t>
  </si>
  <si>
    <t>ባሳዝነው ልወየሁ ሸፈራው /ኢቶ/</t>
  </si>
  <si>
    <t>3584</t>
  </si>
  <si>
    <t>Basazin Asimare Emebieal /Ato/</t>
  </si>
  <si>
    <t xml:space="preserve">ባሳዝን አስማረ እምቢያለ /አቶ/ </t>
  </si>
  <si>
    <t>3585</t>
  </si>
  <si>
    <t>Basazin Atinaf /Ato/</t>
  </si>
  <si>
    <t>በሳዝን አጥናፍ /አቶ/</t>
  </si>
  <si>
    <t>3586</t>
  </si>
  <si>
    <t>Basazin Ayalew Yibeletal /Ato/</t>
  </si>
  <si>
    <t>ባሳዝን አያሌው ይበልጣል /አቶ/</t>
  </si>
  <si>
    <t>3587</t>
  </si>
  <si>
    <t>Basazin Limenih Fenta /Ato/</t>
  </si>
  <si>
    <t>ባሳዝን ልመነህ ፈንታ /አቶ/</t>
  </si>
  <si>
    <t>0963-802917</t>
  </si>
  <si>
    <t>3588</t>
  </si>
  <si>
    <t>Basazinew Gezae Shiferaw /Ato/</t>
  </si>
  <si>
    <t xml:space="preserve">ባሳዝነው ገዜ ሽፈራው /አቶ/ </t>
  </si>
  <si>
    <t>3589</t>
  </si>
  <si>
    <t>Basazn Asefa Dereseh /Ato/</t>
  </si>
  <si>
    <t>ባሳዝን አሰፋ ደርሰህ</t>
  </si>
  <si>
    <t>3590</t>
  </si>
  <si>
    <t>Basazn Legesse Debele /Ato/</t>
  </si>
  <si>
    <t>ባሳዝን ለገሰ ደበሌ /አቶ/</t>
  </si>
  <si>
    <t>nigusue@crdaethiopia.org</t>
  </si>
  <si>
    <t>3591</t>
  </si>
  <si>
    <t>Basaznew Dagnaw Yihun /Ato/</t>
  </si>
  <si>
    <t>ባዝነው ዳኛው ይሁን /አቶ/</t>
  </si>
  <si>
    <t>3592</t>
  </si>
  <si>
    <t>Basaznew Kiros Ayalew /Ato/</t>
  </si>
  <si>
    <t>ባሳዘነው ኪሮሰ አያሌው /አቶ/</t>
  </si>
  <si>
    <t>3593</t>
  </si>
  <si>
    <t>Base Aweke Temsgen /Ato/</t>
  </si>
  <si>
    <t>ባሴ አወቀ ተመስገን /አቶ/</t>
  </si>
  <si>
    <t>3594</t>
  </si>
  <si>
    <t>Base Bezalem Tewab /Ato/</t>
  </si>
  <si>
    <t>ቤዝ ቤዝአለም ተዋብ /አቶ/</t>
  </si>
  <si>
    <t>3595</t>
  </si>
  <si>
    <t>Base Fanta Tsega /Ato/</t>
  </si>
  <si>
    <t>ባሴ ፈንታ ጸጋ /አቶ/</t>
  </si>
  <si>
    <t>3596</t>
  </si>
  <si>
    <t>Basha Agansa /Ato/</t>
  </si>
  <si>
    <t>ባሻ አጋንሳ /አቶ/</t>
  </si>
  <si>
    <t>3597</t>
  </si>
  <si>
    <t>Basha Barassa  /Ato/</t>
  </si>
  <si>
    <t>ባሻ ባራሳ ናራሞ /አቶ/</t>
  </si>
  <si>
    <t>3598</t>
  </si>
  <si>
    <t>Bashaw Sime Kebede /Ato/</t>
  </si>
  <si>
    <t>ባሻው ስሜ ከበደ /አቶ/</t>
  </si>
  <si>
    <t>3599</t>
  </si>
  <si>
    <t>Bashaw Sorsa Barata /Ato/</t>
  </si>
  <si>
    <t>ባሸው ሰሪሳ ባራታ /አቶ/</t>
  </si>
  <si>
    <t>0922-452459</t>
  </si>
  <si>
    <t>3600</t>
  </si>
  <si>
    <t>Bashe Kia Natie /Ato/</t>
  </si>
  <si>
    <t>በሸ ክአ ናቴ /አቶ/</t>
  </si>
  <si>
    <t>3601</t>
  </si>
  <si>
    <t>Bashura Alenbo /Ato/</t>
  </si>
  <si>
    <t>ባሹራ አለንቦ /አቶ/</t>
  </si>
  <si>
    <t>3602</t>
  </si>
  <si>
    <t>Basilios Sertswold /Ato/ and/or Aberash Bekele /W/o/</t>
  </si>
  <si>
    <t>ባስሊዮስ Wረìወልድ /አቶ/ እና/ወይም አበራሽ በቀለ /ወ/ሮ/</t>
  </si>
  <si>
    <t>0972-306877</t>
  </si>
  <si>
    <t>3603</t>
  </si>
  <si>
    <t>bas8642@yahoo.com</t>
  </si>
  <si>
    <t>3604</t>
  </si>
  <si>
    <t>Basleil Birhanu Abebe /Ato/</t>
  </si>
  <si>
    <t>ባስልኤል ብርሃኑ አበበ /አቶ/</t>
  </si>
  <si>
    <t>0984-924003</t>
  </si>
  <si>
    <t>3605</t>
  </si>
  <si>
    <t>Basliel Atnaw Dumessa /Ato/</t>
  </si>
  <si>
    <t>ባሰልኤል አጥናው ዱሜሳ /አቶ/</t>
  </si>
  <si>
    <t>3606</t>
  </si>
  <si>
    <t>Bassie Gobie Demeke /Ato/</t>
  </si>
  <si>
    <t>ባሴ ጎቤ ደመቀ /አቶ/</t>
  </si>
  <si>
    <t>3607</t>
  </si>
  <si>
    <t>Bataro Balanko /Ato/</t>
  </si>
  <si>
    <t>ባታሮ ባላንኮ /አቶ/</t>
  </si>
  <si>
    <t>3608</t>
  </si>
  <si>
    <t>Batelhem Tebebu Atlaw /W/t/</t>
  </si>
  <si>
    <t>ቤተልሄም ጥበቡ አጥላው /ወ/ት/</t>
  </si>
  <si>
    <t>0910-381670</t>
  </si>
  <si>
    <t>3609</t>
  </si>
  <si>
    <t>Batere Basa Bala /Ato/</t>
  </si>
  <si>
    <t>ባትሬ ባሣ ባለ /አቶ/</t>
  </si>
  <si>
    <t>0943-900003</t>
  </si>
  <si>
    <t>3610</t>
  </si>
  <si>
    <t>Batie Dagnaw Ejigu /Ato/</t>
  </si>
  <si>
    <t>ባቴ  ዳኛዉ አድጉ /አቶ/</t>
  </si>
  <si>
    <t>3611</t>
  </si>
  <si>
    <t>Batire Jinga /W/O/</t>
  </si>
  <si>
    <t>ባትሬ ጅንጋ /ወ/ሮ/</t>
  </si>
  <si>
    <t>0904-819798</t>
  </si>
  <si>
    <t>3612</t>
  </si>
  <si>
    <t>Batirie Jebiro /Ato/</t>
  </si>
  <si>
    <t>ባትሬ ጀበሮ /አቶ/</t>
  </si>
  <si>
    <t>0935-940141</t>
  </si>
  <si>
    <t>3613</t>
  </si>
  <si>
    <t>Batiru Wada  (Ato)</t>
  </si>
  <si>
    <t>ባትሩ ዋዳ /አቶ/</t>
  </si>
  <si>
    <t>3614</t>
  </si>
  <si>
    <t>Bawoke Abate /Ato/</t>
  </si>
  <si>
    <t>በወቀ አባተ /አቶ/</t>
  </si>
  <si>
    <t>0985-160420</t>
  </si>
  <si>
    <t>3615</t>
  </si>
  <si>
    <t>Bawoke Fenta Amene /Ato/</t>
  </si>
  <si>
    <t>ባወቀ ፋንታ አማን /አቶ/</t>
  </si>
  <si>
    <t>3616</t>
  </si>
  <si>
    <t>Bawoke Melak Yehuala /ato</t>
  </si>
  <si>
    <t>ባወቀ መላክ የሃላ /አቶ/</t>
  </si>
  <si>
    <t>0934-455929</t>
  </si>
  <si>
    <t>3617</t>
  </si>
  <si>
    <t>Bawoku Tibebe Fenta /Ato/</t>
  </si>
  <si>
    <t>ባወቄ ጥበብ ፈንታ /አቶ/</t>
  </si>
  <si>
    <t>0979-430825</t>
  </si>
  <si>
    <t>3618</t>
  </si>
  <si>
    <t>Bawuke Debe Wereku /Ato/</t>
  </si>
  <si>
    <t>ባውቄ ደቤ ወረቁ /አቶ/</t>
  </si>
  <si>
    <t>3619</t>
  </si>
  <si>
    <t>Bawukie Zemene Haile /Ato/</t>
  </si>
  <si>
    <t>ባውቄ ዘመነ ሀይሌ /አቶ/</t>
  </si>
  <si>
    <t>0920-152413</t>
  </si>
  <si>
    <t>3620</t>
  </si>
  <si>
    <t>Baya Moga Kasie / Ato/</t>
  </si>
  <si>
    <t>ባየ ሞኜ ካሴ /አቶ/</t>
  </si>
  <si>
    <t>3621</t>
  </si>
  <si>
    <t>Bayargie Derejew Bizuayen/Ato/</t>
  </si>
  <si>
    <t>ባያርጌ ደርጀው ብዙአየን /አቶ/</t>
  </si>
  <si>
    <t>3622</t>
  </si>
  <si>
    <t>Baye Aderaw Mengistie (Ato)</t>
  </si>
  <si>
    <t>ባዬ አደራው መንግስቴ /አቶ/</t>
  </si>
  <si>
    <t>3623</t>
  </si>
  <si>
    <t>Baye Amera Desta /Ato/</t>
  </si>
  <si>
    <t>ባየ አመራ ደሰታ /አቶ/</t>
  </si>
  <si>
    <t>0943-500063</t>
  </si>
  <si>
    <t>3624</t>
  </si>
  <si>
    <t>Baye Amera Tbeje /Ato/</t>
  </si>
  <si>
    <t>ባየ አመራ ተበጀ /አቶ/</t>
  </si>
  <si>
    <t>3625</t>
  </si>
  <si>
    <t>Baye Asimare akele /Ato/</t>
  </si>
  <si>
    <t>ባዬ አስማሬ አከለ /አቶ/</t>
  </si>
  <si>
    <t>0994-486429</t>
  </si>
  <si>
    <t>3626</t>
  </si>
  <si>
    <t>Baye Atinafu Debas /Ato/</t>
  </si>
  <si>
    <t>ባየ አጥናፍ ደባስ /አቶ/</t>
  </si>
  <si>
    <t>3627</t>
  </si>
  <si>
    <t>Baye Belay Ejigu /Ato/</t>
  </si>
  <si>
    <t>ባየ በላይ አጀጉ /አቶ/</t>
  </si>
  <si>
    <t>3628</t>
  </si>
  <si>
    <t>Baye Birhan Linger /Ato/</t>
  </si>
  <si>
    <t>ባየ ብርሃን ልንገር /አቶ/</t>
  </si>
  <si>
    <t>0912-109066</t>
  </si>
  <si>
    <t>3629</t>
  </si>
  <si>
    <t>Baye Chanie Ayetenew /Ato/</t>
  </si>
  <si>
    <t>ባየ ጫኔ አየተነው /አቶ/</t>
  </si>
  <si>
    <t>3630</t>
  </si>
  <si>
    <t>Baye Demoze /Ato/</t>
  </si>
  <si>
    <t>ባዬ ዴሞዜ /አቶ/</t>
  </si>
  <si>
    <t>3631</t>
  </si>
  <si>
    <t>Baye Demsse Ewentu /Ato/</t>
  </si>
  <si>
    <t>ባየ ደምሰ እውነቱ /አቶ/</t>
  </si>
  <si>
    <t>3632</t>
  </si>
  <si>
    <t>Baye Derejew Merte / Ato/</t>
  </si>
  <si>
    <t>ባየ ደረጀው ምርት /አቶ/</t>
  </si>
  <si>
    <t>3633</t>
  </si>
  <si>
    <t>Baye Derese Bezie /Ato/</t>
  </si>
  <si>
    <t xml:space="preserve">ባየ ደርስ ባዜ /አቶ/ </t>
  </si>
  <si>
    <t>3634</t>
  </si>
  <si>
    <t>Baye Getaneh Tsega  /Ato/</t>
  </si>
  <si>
    <t>ባየ ጌታነህ ፀጋ /አቶ/</t>
  </si>
  <si>
    <t>3635</t>
  </si>
  <si>
    <t>Baye Gizachew Belete /Ato/</t>
  </si>
  <si>
    <t>ባየ ግዛቸው በለጠ /አቶ/</t>
  </si>
  <si>
    <t>3636</t>
  </si>
  <si>
    <t>Baye Habtie Miherte (Ato)</t>
  </si>
  <si>
    <t>በየ ሀብቴ ምርቱ  /አቶ/</t>
  </si>
  <si>
    <t>3637</t>
  </si>
  <si>
    <t>Baye Mitiku/Ato</t>
  </si>
  <si>
    <t>ባየ ምትኩ ፈንታሁን /አቶ/</t>
  </si>
  <si>
    <t>3638</t>
  </si>
  <si>
    <t>Baye Mola Asefa /Ato/</t>
  </si>
  <si>
    <t>ባዬ ሞላ አሰፋ /አቶ/</t>
  </si>
  <si>
    <t>3639</t>
  </si>
  <si>
    <t>Baye Shawol Menigist/Ato/</t>
  </si>
  <si>
    <t>ባየ ሻውል መንግሰት /አቶ/</t>
  </si>
  <si>
    <t>3640</t>
  </si>
  <si>
    <t>Baye Sheta Belaye /Ato/</t>
  </si>
  <si>
    <t>ባዬ ሼታ በላይ /አቶ/</t>
  </si>
  <si>
    <t>3641</t>
  </si>
  <si>
    <t>Baye Temesgen Kejela /Dr/</t>
  </si>
  <si>
    <t>ባዬ ተመስገን ቀጀላ /ዶ/ር/</t>
  </si>
  <si>
    <t>0932-178677</t>
  </si>
  <si>
    <t>ayalew03@yahoo.com</t>
  </si>
  <si>
    <t>3642</t>
  </si>
  <si>
    <t>Baye Tesema Ayalew /Ato/</t>
  </si>
  <si>
    <t>ባየ ተሰማ አያሌው /አቶ/</t>
  </si>
  <si>
    <t>0952-829723</t>
  </si>
  <si>
    <t>3643</t>
  </si>
  <si>
    <t>Baye Workaw Ejigu /Ato/</t>
  </si>
  <si>
    <t>ባየ ወረክው እጅጉ /አቶ/</t>
  </si>
  <si>
    <t>3644</t>
  </si>
  <si>
    <t>Baye Worku Belay /Ato/</t>
  </si>
  <si>
    <t>ባየህ ወርቁ በላይ /አቶ/</t>
  </si>
  <si>
    <t>3645</t>
  </si>
  <si>
    <t>Baye Yibelite Dessie /Ato/</t>
  </si>
  <si>
    <t>ባየ ይበልጤ ደሴ /አቶ/</t>
  </si>
  <si>
    <t>3646</t>
  </si>
  <si>
    <t>Baye Yifru Asheshew /Ato/</t>
  </si>
  <si>
    <t>ባየ ይፍሩ አሸሸው /አቶ/</t>
  </si>
  <si>
    <t>3647</t>
  </si>
  <si>
    <t>Bayeh Negate Gebre /Ato/</t>
  </si>
  <si>
    <t>ባይህ ንጋቴ ገብሬ /አቶ/</t>
  </si>
  <si>
    <t>3648</t>
  </si>
  <si>
    <t>Bayeleygn Tarekgn Abebe /Ato/</t>
  </si>
  <si>
    <t>ባየለየኝ ታረቀኝ አበበ /አቶ/</t>
  </si>
  <si>
    <t>3649</t>
  </si>
  <si>
    <t>Bayeliygn Geze /Ato/</t>
  </si>
  <si>
    <t>ባይለየኝ ገዜ /አቶ/</t>
  </si>
  <si>
    <t>3650</t>
  </si>
  <si>
    <t>Bayew Anteneh Fenta /Ato/</t>
  </si>
  <si>
    <t>ባየው አንተነህ ፈንታ /አቶ/</t>
  </si>
  <si>
    <t>3651</t>
  </si>
  <si>
    <t>Bayew Aregaw Dubale /Ato/</t>
  </si>
  <si>
    <t>ባየው አርጋው ዱባለ /አቶ/</t>
  </si>
  <si>
    <t>0977-326769</t>
  </si>
  <si>
    <t>3652</t>
  </si>
  <si>
    <t>Bayh Ayaleneh Bitew /Ato/</t>
  </si>
  <si>
    <t>ባይህ አያልነህ ቢተው /አቶ/</t>
  </si>
  <si>
    <t>0918-418903</t>
  </si>
  <si>
    <t>3653</t>
  </si>
  <si>
    <t>Bayi Kada Shito /Ato/</t>
  </si>
  <si>
    <t>ባይ ካዳ ሸቶ /አቶ/</t>
  </si>
  <si>
    <t>3654</t>
  </si>
  <si>
    <t>Bayido Belayinehe (Ato)</t>
  </si>
  <si>
    <t>ባይዳ በለኔ (አቶ)</t>
  </si>
  <si>
    <t>3655</t>
  </si>
  <si>
    <t>Bayih Asires Engida /Ato/</t>
  </si>
  <si>
    <t>ባይህ አስርስ እንደግ /አቶ/</t>
  </si>
  <si>
    <t>3656</t>
  </si>
  <si>
    <t>Bayikedagn Getie Yibelte /Ato/</t>
  </si>
  <si>
    <t>ባይከዳኝ ጉቴ ይበልጤ /አቶ/</t>
  </si>
  <si>
    <t>3657</t>
  </si>
  <si>
    <t>Baylegn Kedame Tsega /Ato/</t>
  </si>
  <si>
    <t>ባይለኝ ቀዳም ፀጋ  /አቶ/</t>
  </si>
  <si>
    <t>3658</t>
  </si>
  <si>
    <t>Baylegn Liku /Ato/</t>
  </si>
  <si>
    <t>ባይለኝ ሉቁ /አቶ/</t>
  </si>
  <si>
    <t>3659</t>
  </si>
  <si>
    <t>Bayleyegn Melak Demeke /Ato/</t>
  </si>
  <si>
    <t>ባይለየኝ መለክ ደመቀ /አቶ/</t>
  </si>
  <si>
    <t>3660</t>
  </si>
  <si>
    <t xml:space="preserve">Baytekus Mezgebu Abshe /Ato/ </t>
  </si>
  <si>
    <t>ባይተኩሰ መዝገቡ አቡሸ /አቶ/</t>
  </si>
  <si>
    <t>3661</t>
  </si>
  <si>
    <t>Bayu Gebere Barango /Ato/</t>
  </si>
  <si>
    <t>ባዩ ገበረ ባራንጎ /አቶ/</t>
  </si>
  <si>
    <t>3662</t>
  </si>
  <si>
    <t>Bayu Kefyalew Ambaw /Ato/</t>
  </si>
  <si>
    <t>ባዩ ከፍያለዉ አምባዉ /አቶ/</t>
  </si>
  <si>
    <t>3663</t>
  </si>
  <si>
    <t>Bayu Manazihal Abebe /Ato/</t>
  </si>
  <si>
    <t>ባዩ ማናያዚሃል አበበ /አቶ/</t>
  </si>
  <si>
    <t>0913-010725</t>
  </si>
  <si>
    <t>3664</t>
  </si>
  <si>
    <t>Bayush Admasu W/agegn /W/o/</t>
  </si>
  <si>
    <t>ባዩሽ አድማሱ ወ/አገኝ /ወ/ሮ/</t>
  </si>
  <si>
    <t>0911-212277</t>
  </si>
  <si>
    <t>3665</t>
  </si>
  <si>
    <t>Bayush Dagne Dersolegn /W/o/</t>
  </si>
  <si>
    <t>ባዩሽ ዳኜ ደርሶልኝ /ወ/ሮ/</t>
  </si>
  <si>
    <t>0993-929109</t>
  </si>
  <si>
    <t>3666</t>
  </si>
  <si>
    <t>Bayush Mekonnen H/Silasies /W/o/</t>
  </si>
  <si>
    <t>ባዩሽ መኮንን ኃ/ስላሴ /ወ/ሮ/</t>
  </si>
  <si>
    <t>0934-423702</t>
  </si>
  <si>
    <t>3667</t>
  </si>
  <si>
    <t>Baza Debush /Ato/</t>
  </si>
  <si>
    <t>ባዛ ደቡሽ /አቶ/</t>
  </si>
  <si>
    <t>0916-297160</t>
  </si>
  <si>
    <t>3668</t>
  </si>
  <si>
    <t>Bazehea Kafite /Ato/</t>
  </si>
  <si>
    <t>ባዥኤ ካፋቴ /አቶ/</t>
  </si>
  <si>
    <t>3669</t>
  </si>
  <si>
    <t>Bazena Balcha Badacho /Ato/</t>
  </si>
  <si>
    <t>ባዘና ባልቻ ባዳቶ /አቶ/</t>
  </si>
  <si>
    <t>3670</t>
  </si>
  <si>
    <t>Bazezech Debebe Meshsha /W/o/</t>
  </si>
  <si>
    <t>ባዘዘች ደበበ መሸሻ /ወ/ሮ/</t>
  </si>
  <si>
    <t>0954-339344</t>
  </si>
  <si>
    <t>3671</t>
  </si>
  <si>
    <t>Bazezew Abate Kassie /Ato/</t>
  </si>
  <si>
    <t>ባዘዘው አባተ ካሴ /አቶ/</t>
  </si>
  <si>
    <t>0913-429906</t>
  </si>
  <si>
    <t>bazdent44@gmail.com</t>
  </si>
  <si>
    <t>3672</t>
  </si>
  <si>
    <t>Bazezew Agumas Bitew /Ato/</t>
  </si>
  <si>
    <t>ባዘዘው አጉማስ ቢተው /አቶ/</t>
  </si>
  <si>
    <t>3673</t>
  </si>
  <si>
    <t>Bazezew Ameshe Tegegne /Ato/</t>
  </si>
  <si>
    <t>ባዘዘዉ አመሸ ተገኝ /አቶ/</t>
  </si>
  <si>
    <t>3674</t>
  </si>
  <si>
    <t>Bazezew Gebeyehu /Ato/</t>
  </si>
  <si>
    <t>ባዘዘው  ገበየሁ ባካል /አቶ/</t>
  </si>
  <si>
    <t>3675</t>
  </si>
  <si>
    <t>Bazezew Mengistu /Ato/</t>
  </si>
  <si>
    <t>ባዝዘው መንግስቱ /አቶ/</t>
  </si>
  <si>
    <t>3676</t>
  </si>
  <si>
    <t>Bazezu Baundie Girocha /Ato/</t>
  </si>
  <si>
    <t xml:space="preserve">ባዘዙ ባኡንዴ ግሮጫ /አቶ/ </t>
  </si>
  <si>
    <t>0931-571143</t>
  </si>
  <si>
    <t>3677</t>
  </si>
  <si>
    <t>Bazezw Temsgen Negatu /Ato/</t>
  </si>
  <si>
    <t>ባዘዘው ተመስገን ንጋቱ /አቶ/</t>
  </si>
  <si>
    <t>3678</t>
  </si>
  <si>
    <t>Bazie Ademe Mengesetu /Ato/</t>
  </si>
  <si>
    <t>ባዜ አደመ መንግስቱ /አቶ/</t>
  </si>
  <si>
    <t>3679</t>
  </si>
  <si>
    <t>Bazie Adera Desta /Ato/</t>
  </si>
  <si>
    <t>ባዜ አደራ ደስታ /አቶ/</t>
  </si>
  <si>
    <t>3680</t>
  </si>
  <si>
    <t>Bazie Beza Birhanu /Ato/</t>
  </si>
  <si>
    <t>ባዜ ቤዛ ብርሃኑ /አቶ/</t>
  </si>
  <si>
    <t>3681</t>
  </si>
  <si>
    <t>Beakal Taye Fekade /Ato/</t>
  </si>
  <si>
    <t>በአካል ታዬ ፈቃደ /አቶ/</t>
  </si>
  <si>
    <t>3682</t>
  </si>
  <si>
    <t>Beakale Masresha W/silasse /Ato/</t>
  </si>
  <si>
    <t>በአካል ማስረሻ ወ/ስላሴ  /አቶ/</t>
  </si>
  <si>
    <t>0962-081538</t>
  </si>
  <si>
    <t>3683</t>
  </si>
  <si>
    <t>Bealem Sintayehu Fetene /Ato/</t>
  </si>
  <si>
    <t>በአለም ስንታየሁ ፈጠነ /አቶ/</t>
  </si>
  <si>
    <t>0904-473578</t>
  </si>
  <si>
    <t>3684</t>
  </si>
  <si>
    <t>Beantamlak Feleke Abera /Ato/ and/or Ruth Bekele Kebede /W/o/</t>
  </si>
  <si>
    <t>በአንተአምላክ ፈለቀ  /አቶ/ እና/ወይም ሩት በቀለ  /ወ/ሮ/</t>
  </si>
  <si>
    <t>3685</t>
  </si>
  <si>
    <t>Bedago Baredo Balecha /Ato/</t>
  </si>
  <si>
    <t>ባዳጎ ባረይ ባልቻ /አቶ/</t>
  </si>
  <si>
    <t>3686</t>
  </si>
  <si>
    <t>Bedelue Chanie Kebede /Ato/</t>
  </si>
  <si>
    <t>በድሉ ጫኔ ከበደ /አቶ/</t>
  </si>
  <si>
    <t>0932-819496</t>
  </si>
  <si>
    <t>anesthesig.tedros@gmail.com</t>
  </si>
  <si>
    <t>3687</t>
  </si>
  <si>
    <t>Bedilu Ayalew /Ato/</t>
  </si>
  <si>
    <t>በድሉ አያሌው /አቶ/</t>
  </si>
  <si>
    <t>3688</t>
  </si>
  <si>
    <t>Bedlu Abate Kassa /Ato/</t>
  </si>
  <si>
    <t>በድሉ አባተ ካሳ /አቶ/</t>
  </si>
  <si>
    <t>0910-743397</t>
  </si>
  <si>
    <t>3689</t>
  </si>
  <si>
    <t>Beemnet Birhane G/Silassie /W/t/</t>
  </si>
  <si>
    <t>በእምነት ብርሃኔ ገ/ስላሴ /ወ/ት/</t>
  </si>
  <si>
    <t>0972-325838</t>
  </si>
  <si>
    <t>BeemnetBirhane@gmail.com</t>
  </si>
  <si>
    <t>3690</t>
  </si>
  <si>
    <t>Beemnet Zeweda /W/o/ For Noah Anteneh Asnake /Minor/</t>
  </si>
  <si>
    <t>በእምነት ዘዉዴ /ወ/ሮ/ ለኖህ አንተነህ አስናቀ /ህጻን/</t>
  </si>
  <si>
    <t>0985-819033</t>
  </si>
  <si>
    <t>3691</t>
  </si>
  <si>
    <t>Beemnet Zeweda T/wolede /W/o/</t>
  </si>
  <si>
    <t>በእምነት ዘዉዴ ተ/ወልድ /ወ/ሮ/</t>
  </si>
  <si>
    <t>0913-572739</t>
  </si>
  <si>
    <t>3692</t>
  </si>
  <si>
    <t>Beeza Alemenh Enegeda  /Ato/</t>
  </si>
  <si>
    <t>ቤዛ አለምነህ እንግዳ /አቶ/</t>
  </si>
  <si>
    <t>0946-162919</t>
  </si>
  <si>
    <t>3693</t>
  </si>
  <si>
    <t>Befekadu Barassa Fetisa /Ato/</t>
  </si>
  <si>
    <t>በፍቃዱ ባራሳ ፈታሳ /አቶ/</t>
  </si>
  <si>
    <t>3694</t>
  </si>
  <si>
    <t>Befekadu Bele Mune /Ato/</t>
  </si>
  <si>
    <t>በፍቃዱ በሌ ሙኔ /አቶ/</t>
  </si>
  <si>
    <t>0938247140</t>
  </si>
  <si>
    <t>3695</t>
  </si>
  <si>
    <t>Befekadu Girma Fekede /Ato/</t>
  </si>
  <si>
    <t>በፍቃዱ ግርማ ፈቀደ /አቶ/</t>
  </si>
  <si>
    <t>0920-713135</t>
  </si>
  <si>
    <t>3696</t>
  </si>
  <si>
    <t>Befekadu Goraw Habteyes  /Ato/</t>
  </si>
  <si>
    <t>በፍቃዱ ጎራው ሀብተየስ /አቶ/</t>
  </si>
  <si>
    <t>0911-387519</t>
  </si>
  <si>
    <t>3697</t>
  </si>
  <si>
    <t>Befekadu Terefe Retta /Ato/ and/or Lily Zewdu Alemu  /W/o/</t>
  </si>
  <si>
    <t>በፍቃዱ ተረፈ ረታ /አቶ/ እና/ወይም ሊሊ ዘውዱ ዓለሙ /ወ/ሮ/</t>
  </si>
  <si>
    <t>773-6814925</t>
  </si>
  <si>
    <t>addisukm@gmail.com</t>
  </si>
  <si>
    <t>3698</t>
  </si>
  <si>
    <t>Befekadu Tesfaye Mabirej /Ato/</t>
  </si>
  <si>
    <t>በፍቃዱ ተስፋዬ ማብርጅ /አቶ/</t>
  </si>
  <si>
    <t>0925-660726</t>
  </si>
  <si>
    <t>3699</t>
  </si>
  <si>
    <t>Befekadu Woldemariam Sishah /Ato/</t>
  </si>
  <si>
    <t>በፍቃዱ ወልደማሪያም ሲሻህ /አቶ/</t>
  </si>
  <si>
    <t>0911-776083</t>
  </si>
  <si>
    <t>3700</t>
  </si>
  <si>
    <t>Befekadu Yerdaw Berka /Shambel/</t>
  </si>
  <si>
    <t>በፍቃዱ ይርዳዉ በረካ /ሻምበል/</t>
  </si>
  <si>
    <t>3701</t>
  </si>
  <si>
    <t>Befikad Yeshitila Fekyibelu /Ato/</t>
  </si>
  <si>
    <t>በፍቃድ የሺጥላ ፈቅይበሉ /አቶ/</t>
  </si>
  <si>
    <t>0910-699529</t>
  </si>
  <si>
    <t>3702</t>
  </si>
  <si>
    <t>Befkad Bantegize Wendemneh /Ato/</t>
  </si>
  <si>
    <t>በፍቃድ ባንተግዝ ወንደምነህ /አቶ/</t>
  </si>
  <si>
    <t>3703</t>
  </si>
  <si>
    <t>Befkad Tegafaw /Ato/</t>
  </si>
  <si>
    <t>በፍቃድ ተጋፋው /አቶ/</t>
  </si>
  <si>
    <t>0901-045191</t>
  </si>
  <si>
    <t>3704</t>
  </si>
  <si>
    <t>Beflagot Yehualawork Bekele /Ato/</t>
  </si>
  <si>
    <t xml:space="preserve"> በፍላጎት የኋላወርቅ በቀለ /አቶ</t>
  </si>
  <si>
    <t>0914-119311</t>
  </si>
  <si>
    <t>sarasanye02@gmail.com</t>
  </si>
  <si>
    <t>3705</t>
  </si>
  <si>
    <t>Begashaw Derbe Hailu /Ato/</t>
  </si>
  <si>
    <t>በጋሻው ደርቤ ሃይሌ /አቶ/</t>
  </si>
  <si>
    <t>0921-967172</t>
  </si>
  <si>
    <t>3706</t>
  </si>
  <si>
    <t>Begashaw Lemma Gurumu /Ato/</t>
  </si>
  <si>
    <t>በጋሻው ለማ ጉሩሙ /አቶ/</t>
  </si>
  <si>
    <t>3707</t>
  </si>
  <si>
    <t>Begizew Bialfew Ayele /Ato/</t>
  </si>
  <si>
    <t>በግዜው ቢያልፍው አየለ /አቶ/</t>
  </si>
  <si>
    <t>0985-907202</t>
  </si>
  <si>
    <t>3708</t>
  </si>
  <si>
    <t>Begosew Fentahun Gete /Ato/</t>
  </si>
  <si>
    <t>በጎስው ፈነረታሁን ጌቴ /አቶ/</t>
  </si>
  <si>
    <t>0915-869109</t>
  </si>
  <si>
    <t>3709</t>
  </si>
  <si>
    <t>Begoye Girma Getahun /Ato/</t>
  </si>
  <si>
    <t>በጎየ ግርማ ጌታሁን /አቶ/</t>
  </si>
  <si>
    <t>3710</t>
  </si>
  <si>
    <t>Behabtu Merid G/Michael /Ato/</t>
  </si>
  <si>
    <t>በሀብቱ መርድ ገ/ሚካኤል /አቶ/</t>
  </si>
  <si>
    <t>0941-777136</t>
  </si>
  <si>
    <t>3711</t>
  </si>
  <si>
    <t>Behailu Abebe Baruda /Ato/</t>
  </si>
  <si>
    <t>በሀይሉ አበበ ባሩዳ /አቶ/</t>
  </si>
  <si>
    <t>3712</t>
  </si>
  <si>
    <t>Behailu Abera Obsie /Ato/</t>
  </si>
  <si>
    <t>በኃይሉ አበራ ኦብሴ /አቶ/</t>
  </si>
  <si>
    <t>3713</t>
  </si>
  <si>
    <t>Behailu Alemu Bushen /Ato/</t>
  </si>
  <si>
    <t>በሀይሉ አለሙ ቡሻን /አቶ/</t>
  </si>
  <si>
    <t>0944-188814</t>
  </si>
  <si>
    <t>3714</t>
  </si>
  <si>
    <t>Behailu Aseged /Ato/ For Kidus Behailu /Minor/</t>
  </si>
  <si>
    <t>በኃይሉ አሰግድ /አቶ/ ለቅዱስ በኃይሉ /ህፃን/</t>
  </si>
  <si>
    <t>0910-122644</t>
  </si>
  <si>
    <t>3715</t>
  </si>
  <si>
    <t>Behailu Aseged /Ato/ For Yohanes Behailu /Minor/</t>
  </si>
  <si>
    <t>በኃይሉ አሰግድ /አቶ/ ለዮሀንስ በኃይሉ /ህፃን/</t>
  </si>
  <si>
    <t>0911-378447</t>
  </si>
  <si>
    <t>3716</t>
  </si>
  <si>
    <t>Behailu Bekele Robi /Ato/</t>
  </si>
  <si>
    <t>በኃይሉ በቀለ ሮቢ /አቶ/</t>
  </si>
  <si>
    <t>3717</t>
  </si>
  <si>
    <t>Behailu Berhanu Sira /Ato/</t>
  </si>
  <si>
    <t>በሀይሉ ብርሃኑ ስራ /አቶ/</t>
  </si>
  <si>
    <t>0944-700700</t>
  </si>
  <si>
    <t>3718</t>
  </si>
  <si>
    <t>Behailu Demelash Abebe /Ato/</t>
  </si>
  <si>
    <t>በሀይሉ ደመላሽ አበበ /አቶ/</t>
  </si>
  <si>
    <t>3719</t>
  </si>
  <si>
    <t>Behailu Gebeyehu Agonafer /Ato/</t>
  </si>
  <si>
    <t>በሀይሉ ገበየሁ አጎናፍር /አቶ/</t>
  </si>
  <si>
    <t>0972-370436</t>
  </si>
  <si>
    <t>3720</t>
  </si>
  <si>
    <t>Behailu Girma Argaw /Ato/</t>
  </si>
  <si>
    <t>በሃይሉ ግርማ አርጋዉ /አቶ/</t>
  </si>
  <si>
    <t>0940-156408/0934-222318</t>
  </si>
  <si>
    <t>mamuyematiwos@gmail.com</t>
  </si>
  <si>
    <t>3721</t>
  </si>
  <si>
    <t>Behailu Kassahun Chenasho /Ato/</t>
  </si>
  <si>
    <t>በሀይሉ ካሳሁን ጪናሾ /አቶ/</t>
  </si>
  <si>
    <t>3722</t>
  </si>
  <si>
    <t>Behailu Kebede Werkezbo /Ato/</t>
  </si>
  <si>
    <t>በሀይሉ ከበደ ወርቅዘቦ /አቶ/</t>
  </si>
  <si>
    <t>3723</t>
  </si>
  <si>
    <t>Behailu Kebede Zenebe /Ato/</t>
  </si>
  <si>
    <t>በሀይሉ ከበደ ዘነበ /አቶ/</t>
  </si>
  <si>
    <t>0911-401168</t>
  </si>
  <si>
    <t>josluth20@gmail.com</t>
  </si>
  <si>
    <t>3724</t>
  </si>
  <si>
    <t>Behailu Marye /Ato/</t>
  </si>
  <si>
    <t>በሀይሉ ማርዬ /አቶ/</t>
  </si>
  <si>
    <t>0912-219662</t>
  </si>
  <si>
    <t>bdmarye@yahoo.com</t>
  </si>
  <si>
    <t>3725</t>
  </si>
  <si>
    <t>Behailu Mengistu /Ato/</t>
  </si>
  <si>
    <t>በሃይሉ መንግስቱ ጭጭአይበሉ /አቶ/</t>
  </si>
  <si>
    <t>0911-924159</t>
  </si>
  <si>
    <t>betelhemermias09@gmail.com</t>
  </si>
  <si>
    <t>3726</t>
  </si>
  <si>
    <t>Behailu Mengistu /Ato/ For Amen Behailu Mengistu /Minor/</t>
  </si>
  <si>
    <t>በሃይሉ መንግስቱ /አቶ/ ለአሜን በሃይሉ መንግስቱ /ህፃን/</t>
  </si>
  <si>
    <t>3727</t>
  </si>
  <si>
    <t>Behailu Mengistu /Ato/ For Nahom Behailu Mengistu /Minor/</t>
  </si>
  <si>
    <t>በሃይሉ መንግስቱ /አቶ/ ለናሆም በሃይሉ መንግስቱ /ህፃን/</t>
  </si>
  <si>
    <t>3728</t>
  </si>
  <si>
    <t>Behailu Mengistu Nigatu /Ato/</t>
  </si>
  <si>
    <t>በሃይሉ መንግሥቱ ንጋቱ /አቶ/</t>
  </si>
  <si>
    <t>0911-391057/240-505-7432</t>
  </si>
  <si>
    <t>ayenmic16@gmail.com</t>
  </si>
  <si>
    <t>3729</t>
  </si>
  <si>
    <t>Behailu Mulat Sebsebe /Ato/</t>
  </si>
  <si>
    <t>በኃይሉ ሙላት ሰብስቤ /አቶ/</t>
  </si>
  <si>
    <t>0934-504458</t>
  </si>
  <si>
    <t>3730</t>
  </si>
  <si>
    <t>Behailu Sahle /Ato/ For Bethelhem Behailu /Minor/</t>
  </si>
  <si>
    <t>በሃይሉ ሳህሌ /አቶ/ ለቤተልሄም በሃይሉ /ህፃን/</t>
  </si>
  <si>
    <t>0921-415366</t>
  </si>
  <si>
    <t>3731</t>
  </si>
  <si>
    <t>3732</t>
  </si>
  <si>
    <t>3733</t>
  </si>
  <si>
    <t>Beimnet Abebe Gultimt /W/o/</t>
  </si>
  <si>
    <t>በእምነት አበበ ጉልትሚት</t>
  </si>
  <si>
    <t>0911-173853</t>
  </si>
  <si>
    <t>3734</t>
  </si>
  <si>
    <t>Beimnet Aklilu /W/t/</t>
  </si>
  <si>
    <t>በእምነት አክሊሉ /ወ/ት/</t>
  </si>
  <si>
    <t>3735</t>
  </si>
  <si>
    <t>Bejirond Zelleke Desta /Ato/</t>
  </si>
  <si>
    <t>በጂሮንድ ዘለቀ ደስታ</t>
  </si>
  <si>
    <t>0912-161379</t>
  </si>
  <si>
    <t>bejirond4519@gmail.com</t>
  </si>
  <si>
    <t>3736</t>
  </si>
  <si>
    <t>Beka Birhanie Tegegne /Ato/</t>
  </si>
  <si>
    <t>በቃ ብርሀኔ ተገኘ /አቶ/</t>
  </si>
  <si>
    <t>3737</t>
  </si>
  <si>
    <t>Bekalachew Mola Gelie /Ato/</t>
  </si>
  <si>
    <t>ቃላቸው ሞላ ግሌ /አቶ/</t>
  </si>
  <si>
    <t>3738</t>
  </si>
  <si>
    <t>Bekalu Alebachew Dinku /Ato/</t>
  </si>
  <si>
    <t>በቃሉ አለባቸው ድንቁ /አቶ/</t>
  </si>
  <si>
    <t>0996-745454</t>
  </si>
  <si>
    <t>3739</t>
  </si>
  <si>
    <t>Bekalu Ambelu Mazengiya /Ato/</t>
  </si>
  <si>
    <t>በቃሉ አምበሉ ማዘንጊያ /አቶ/</t>
  </si>
  <si>
    <t>3740</t>
  </si>
  <si>
    <t>Bekalu Asmare Arega /Ato/</t>
  </si>
  <si>
    <t>በቃሉ አስማረ አረጋ /አቶ/</t>
  </si>
  <si>
    <t>0975-529565</t>
  </si>
  <si>
    <t>3741</t>
  </si>
  <si>
    <t xml:space="preserve">Bekalu Ayenew Birhan /Ato/ </t>
  </si>
  <si>
    <t>በቃሉ አየነዉ ብርሃን /አቶ/</t>
  </si>
  <si>
    <t>3742</t>
  </si>
  <si>
    <t>Bekalu Berhanu Bekele /Ato/</t>
  </si>
  <si>
    <t>በቃሉ ብርሃኑ በቀለ /አቶ/</t>
  </si>
  <si>
    <t>0925-418812</t>
  </si>
  <si>
    <t>ephraimalamerew@yahoo.com</t>
  </si>
  <si>
    <t>3743</t>
  </si>
  <si>
    <t>Bekalu Birhan Chanie /Ato/</t>
  </si>
  <si>
    <t>በቃሉ ብርሃን ጫኔ /አቶ/</t>
  </si>
  <si>
    <t>3744</t>
  </si>
  <si>
    <t>Bekalu Gashu Worki /MRg/</t>
  </si>
  <si>
    <t>በቃሉ ጋሹ ወርቅነህ /አቶ/</t>
  </si>
  <si>
    <t>0922-793640</t>
  </si>
  <si>
    <t>3745</t>
  </si>
  <si>
    <t>Bekalu Hunachew  /Ato/</t>
  </si>
  <si>
    <t>በቃሉ ሁናችው  /አቶ/</t>
  </si>
  <si>
    <t>3746</t>
  </si>
  <si>
    <t>Bekalu Kebede /Ato/</t>
  </si>
  <si>
    <t>በቃሉ ከበደ /አቶ/</t>
  </si>
  <si>
    <t>0918-485572</t>
  </si>
  <si>
    <t>3747</t>
  </si>
  <si>
    <t>Bekalu Lake Dessie /Ato/</t>
  </si>
  <si>
    <t>በቃሉ  ሳቀ ደሴ /አቶ/</t>
  </si>
  <si>
    <t>0931-823247</t>
  </si>
  <si>
    <t>3748</t>
  </si>
  <si>
    <t>Bekalu Mehari Berhanu /Ato/</t>
  </si>
  <si>
    <t>በቃሉ መሐሪ ብርሃኑ /አቶ/</t>
  </si>
  <si>
    <t>3749</t>
  </si>
  <si>
    <t>Bekalu Melese Dejen /Ato/</t>
  </si>
  <si>
    <t>በቃሉ መለሰ ደጀን /አቶ/</t>
  </si>
  <si>
    <t>0993-705583</t>
  </si>
  <si>
    <t>3750</t>
  </si>
  <si>
    <t>Bekalu Mewahgn Kassa /Ato/</t>
  </si>
  <si>
    <t>በቃሉ መዋህኝ ካሳ /አቶ/</t>
  </si>
  <si>
    <t>3751</t>
  </si>
  <si>
    <t>Bekalu Mulusew /Ato/</t>
  </si>
  <si>
    <t>በቃሉ ሙሉሰው /አቶ/</t>
  </si>
  <si>
    <t>0910-066097</t>
  </si>
  <si>
    <t>3752</t>
  </si>
  <si>
    <t>Bekalu Sintayehu Kebede /Ato/</t>
  </si>
  <si>
    <t>በቃሉ ስንታየሁ ከበደ /አቶ/</t>
  </si>
  <si>
    <t>3753</t>
  </si>
  <si>
    <t>Bekalu Tazeb Ayele /Ato/</t>
  </si>
  <si>
    <t>በቃሉ ታዘብ አየለ /አቶ/</t>
  </si>
  <si>
    <t>3754</t>
  </si>
  <si>
    <t>Bekalu Tefera Haile /Ato/</t>
  </si>
  <si>
    <t>በቃሉ ተፈራ ሀይሌ /አቶ/</t>
  </si>
  <si>
    <t>3755</t>
  </si>
  <si>
    <t>Bekalu Tegegn Leykun /Ato/</t>
  </si>
  <si>
    <t>በቃሉ ተገኘ ለይኩ /አቶ/</t>
  </si>
  <si>
    <t>3756</t>
  </si>
  <si>
    <t>Bekalu Tesfa Belaye /Ato/</t>
  </si>
  <si>
    <t>በቃሉ ተስፋ በላይ /አቶ/</t>
  </si>
  <si>
    <t>3757</t>
  </si>
  <si>
    <t>Bekalu Woreket /Ato/</t>
  </si>
  <si>
    <t>በቀሉ ወርቀት /አቶ/</t>
  </si>
  <si>
    <t>3758</t>
  </si>
  <si>
    <t>Bekalu Worku  /Ato/</t>
  </si>
  <si>
    <t>በቃሉ ወርቁ ይሁኔ /አቶ/</t>
  </si>
  <si>
    <t>3759</t>
  </si>
  <si>
    <t>Bekalu Yehualawork Bekele /Ato/</t>
  </si>
  <si>
    <t>በቃሉ የኋላወርቅ በቀለ /አቶ/</t>
  </si>
  <si>
    <t>3760</t>
  </si>
  <si>
    <t>Bekalu Yenealem Engeda /Ato/</t>
  </si>
  <si>
    <t>በቃሉ የኔአለም እንግዳ /አቶ/</t>
  </si>
  <si>
    <t>0925-989098</t>
  </si>
  <si>
    <t>3761</t>
  </si>
  <si>
    <t>Bekalu Yihune Belay /Ato/</t>
  </si>
  <si>
    <t>በቃሉ ይሁኔ በላይ /አቶ/</t>
  </si>
  <si>
    <t>3762</t>
  </si>
  <si>
    <t>Bekel Bolka /Ato/</t>
  </si>
  <si>
    <t>በቀለ ቦለካ /አቶ/</t>
  </si>
  <si>
    <t>0980-390807</t>
  </si>
  <si>
    <t>3763</t>
  </si>
  <si>
    <t>Bekelch Mulat Desta /W/o/</t>
  </si>
  <si>
    <t>በቀለች ሙላት ደስታ /ወ/ሮ/</t>
  </si>
  <si>
    <t>0926-737696</t>
  </si>
  <si>
    <t>3764</t>
  </si>
  <si>
    <t>Bekele Abate /Ato/</t>
  </si>
  <si>
    <t>በቀለ አባቴ /አቶ/</t>
  </si>
  <si>
    <t>0949-239773</t>
  </si>
  <si>
    <t>3765</t>
  </si>
  <si>
    <t>Bekele Abate Zewide /Ato/</t>
  </si>
  <si>
    <t>በቀለ አባተ ዘውዴ /አቶ/</t>
  </si>
  <si>
    <t>3766</t>
  </si>
  <si>
    <t>Bekele Adere Muleta /Ato/</t>
  </si>
  <si>
    <t>በቀለ አደሬ ሙለታ /አቶ/</t>
  </si>
  <si>
    <t>0935-231731</t>
  </si>
  <si>
    <t>3767</t>
  </si>
  <si>
    <t>Bekele Agonafer Sgawe /Ato/</t>
  </si>
  <si>
    <t>በቀለ አጎናፈር ሰጋው /አቶ/</t>
  </si>
  <si>
    <t>3768</t>
  </si>
  <si>
    <t>Bekele Alehubel Taya /Ato/</t>
  </si>
  <si>
    <t>በቀለ አለሁቢል ታያቸው /አቶ/</t>
  </si>
  <si>
    <t>3769</t>
  </si>
  <si>
    <t>Bekele Alehubel Tayachew /Ato/</t>
  </si>
  <si>
    <t>በቀለ አለሁበል ታያቸው /አቶ/</t>
  </si>
  <si>
    <t>3770</t>
  </si>
  <si>
    <t>Bekele Alemayehu Awoke /Ato/</t>
  </si>
  <si>
    <t>በቀለ አለማየሁ አወቀ /አቶ/</t>
  </si>
  <si>
    <t>0930-439404</t>
  </si>
  <si>
    <t>3771</t>
  </si>
  <si>
    <t>Bekele Assefa /Ato/</t>
  </si>
  <si>
    <t>በቀለ አሰፋ /አቶ/</t>
  </si>
  <si>
    <t>3772</t>
  </si>
  <si>
    <t>Bekele Ayenew Adela /Ato/</t>
  </si>
  <si>
    <t>በቀለ አየነው አደላ /አቶ/</t>
  </si>
  <si>
    <t>0928-475733</t>
  </si>
  <si>
    <t>3773</t>
  </si>
  <si>
    <t>Bekele Badebo Bachorie /Ato/</t>
  </si>
  <si>
    <t>በቀለ ባደቦ ባቾሬ /አቶ/</t>
  </si>
  <si>
    <t>3774</t>
  </si>
  <si>
    <t>Bekele Bala Kangito /Ato/</t>
  </si>
  <si>
    <t>በቀለ ባላ ካንጌቶ /አቶ/</t>
  </si>
  <si>
    <t>0964-864849</t>
  </si>
  <si>
    <t>3775</t>
  </si>
  <si>
    <t>Bekele Balachw /Ato/</t>
  </si>
  <si>
    <t>በቀለ ባላቸው /አቶ/</t>
  </si>
  <si>
    <t>3776</t>
  </si>
  <si>
    <t>Bekele Balcha Beyene /Ato/</t>
  </si>
  <si>
    <t>በቀለ ባልቻ በየነ /አቶ/</t>
  </si>
  <si>
    <t>0910-306534</t>
  </si>
  <si>
    <t>3777</t>
  </si>
  <si>
    <t>Bekele Balecha Ose /Ato/</t>
  </si>
  <si>
    <t>በቀለ ባልቻ ኦሰ /አቶ/</t>
  </si>
  <si>
    <t>3778</t>
  </si>
  <si>
    <t>Bekele Bandawe Urke /Ato/</t>
  </si>
  <si>
    <t>በቀለ ባንዳው ኡርከ /አቶ/</t>
  </si>
  <si>
    <t>0916-475494</t>
  </si>
  <si>
    <t>3779</t>
  </si>
  <si>
    <t>Bekele Baneta /Ato/</t>
  </si>
  <si>
    <t>በቀለ ባንታ /አቶ/</t>
  </si>
  <si>
    <t>3780</t>
  </si>
  <si>
    <t>Bekele Bantiro Balamo /Ato/</t>
  </si>
  <si>
    <t>በቀለ ባንቲሮ ባላሞ /አቶ/</t>
  </si>
  <si>
    <t>3781</t>
  </si>
  <si>
    <t>Bekele Bararo /Ato/</t>
  </si>
  <si>
    <t>በቀለ ባራሮ /አቶ/</t>
  </si>
  <si>
    <t>0916-045494</t>
  </si>
  <si>
    <t>3782</t>
  </si>
  <si>
    <t>Bekele Barasa Gdero /Ato/</t>
  </si>
  <si>
    <t>በቀለ ባራሳ ገደሮ /አቶ/</t>
  </si>
  <si>
    <t>3783</t>
  </si>
  <si>
    <t>Bekele Basa /Ato/</t>
  </si>
  <si>
    <t>በቀለ ባሳ /አቶ/</t>
  </si>
  <si>
    <t>3784</t>
  </si>
  <si>
    <t>Bekele Basaye Barite /Ato/</t>
  </si>
  <si>
    <t>በቀለ በሣዬ ባርተ /አቶ/</t>
  </si>
  <si>
    <t>3785</t>
  </si>
  <si>
    <t>Bekele Bazezew Ayine /Ato/</t>
  </si>
  <si>
    <t>በቀለ ባዘዘው አይኔ /አቶ/</t>
  </si>
  <si>
    <t>3786</t>
  </si>
  <si>
    <t>Bekele bBereded kidanie</t>
  </si>
  <si>
    <t>በቀለ ብበረደድ ኪዳኒ</t>
  </si>
  <si>
    <t>3787</t>
  </si>
  <si>
    <t>Bekele Belayneh Mengesha /Ato/</t>
  </si>
  <si>
    <t>በቀለ በላይነህ መንገሸ /አቶ/</t>
  </si>
  <si>
    <t>0900-637754</t>
  </si>
  <si>
    <t>3788</t>
  </si>
  <si>
    <t>Bekele Bere Duta /Ato/</t>
  </si>
  <si>
    <t>በቀለ በሬ ድታ /አቶ/</t>
  </si>
  <si>
    <t>0963-999720</t>
  </si>
  <si>
    <t>3789</t>
  </si>
  <si>
    <t>Bekele Bergene /Ato/</t>
  </si>
  <si>
    <t>በቀለ በርገነ /አቶ/</t>
  </si>
  <si>
    <t>3790</t>
  </si>
  <si>
    <t>በቀለ በርጌን /አቶ/</t>
  </si>
  <si>
    <t>0986-135394</t>
  </si>
  <si>
    <t>3791</t>
  </si>
  <si>
    <t>Bekele Beru Gemeda /Ato/</t>
  </si>
  <si>
    <t>በቀለ ብሩ ገመዳ /አቶ/</t>
  </si>
  <si>
    <t>0979811199</t>
  </si>
  <si>
    <t>3792</t>
  </si>
  <si>
    <t>Bekele Bezabh Legna /Ato/</t>
  </si>
  <si>
    <t>በቀለ በዛብህ ለኛ /አቶ/</t>
  </si>
  <si>
    <t>3793</t>
  </si>
  <si>
    <t>Bekele Bucha /Ato/</t>
  </si>
  <si>
    <t>በቀለ ቡቼ /አቶ/</t>
  </si>
  <si>
    <t>3794</t>
  </si>
  <si>
    <t>Bekele Bunde /Ato/</t>
  </si>
  <si>
    <t>በቀለ ብንዴ አለምቦ /አቶ/</t>
  </si>
  <si>
    <t>3795</t>
  </si>
  <si>
    <t>Bekele Cherko (Ato)</t>
  </si>
  <si>
    <t>በቀለ ጨርቆ /አቶ/</t>
  </si>
  <si>
    <t>3796</t>
  </si>
  <si>
    <t>Bekele Chinasho /Ato/</t>
  </si>
  <si>
    <t>በቀለ ጨናሾ /አቶ/</t>
  </si>
  <si>
    <t>0916-555819</t>
  </si>
  <si>
    <t>3797</t>
  </si>
  <si>
    <t>Bekele Dafa /Ato/</t>
  </si>
  <si>
    <t>በቀለ ዳፋ /አቶ/</t>
  </si>
  <si>
    <t>3798</t>
  </si>
  <si>
    <t>Bekele Desalegn H/mi /Ato/</t>
  </si>
  <si>
    <t>በቀለ ደሣለኝ ሀ/ሚካኤል /አቶ/</t>
  </si>
  <si>
    <t>3799</t>
  </si>
  <si>
    <t>Bekele Dukamo Bora /Ato/</t>
  </si>
  <si>
    <t>በቀለ ዱካሞ ቦራ /አቶ/</t>
  </si>
  <si>
    <t>3800</t>
  </si>
  <si>
    <t>Bekele Dukamo Mukura /Ato/</t>
  </si>
  <si>
    <t>በቀለ ዱካሞ ሙኩራ /አቶ/</t>
  </si>
  <si>
    <t>0916-642472</t>
  </si>
  <si>
    <t>3801</t>
  </si>
  <si>
    <t>Bekele Entana /Ato/</t>
  </si>
  <si>
    <t>በቀሌ እንታና  /አቶ/</t>
  </si>
  <si>
    <t>0949-034554</t>
  </si>
  <si>
    <t>3802</t>
  </si>
  <si>
    <t>Bekele Ferede Tessema /Ato/</t>
  </si>
  <si>
    <t>በቀለ ፈረደ ተሰማ /አቶ/</t>
  </si>
  <si>
    <t>3803</t>
  </si>
  <si>
    <t>Bekele G/Silassie G/Medhin /Ato/</t>
  </si>
  <si>
    <t>በቀለ ገ/ስላሴ ገ/መድህን /አቶ/</t>
  </si>
  <si>
    <t>0945-544255</t>
  </si>
  <si>
    <t>3804</t>
  </si>
  <si>
    <t>Bekele G/yes Mengesha /Ato/</t>
  </si>
  <si>
    <t>በቀለ ገ/አዎ መንገሻ /አቶ/</t>
  </si>
  <si>
    <t>0903-252859</t>
  </si>
  <si>
    <t>3805</t>
  </si>
  <si>
    <t>Bekele Gizie Mekonne /Ato/</t>
  </si>
  <si>
    <t>በቀለ ግዜ መኮንን /አቶ/</t>
  </si>
  <si>
    <t>3806</t>
  </si>
  <si>
    <t>Bekele Godana /Ato/</t>
  </si>
  <si>
    <t>በቀለ ጎዳና /አቶ/</t>
  </si>
  <si>
    <t>3807</t>
  </si>
  <si>
    <t>Bekele Gorba /Ato/</t>
  </si>
  <si>
    <t>በቀለ ጎርባ /አቶ/</t>
  </si>
  <si>
    <t>3808</t>
  </si>
  <si>
    <t>Bekele Habtamu Abebe /Ato/</t>
  </si>
  <si>
    <t>በቀለ ሃብታሙ አበበ /አቶ/</t>
  </si>
  <si>
    <t>3809</t>
  </si>
  <si>
    <t>Bekele Kinchole Gich /Ato/</t>
  </si>
  <si>
    <t>በቀለ ክንቾሌ ጊቸ /አቶ/</t>
  </si>
  <si>
    <t>3810</t>
  </si>
  <si>
    <t>Bekele Laa Lalota /Ato/</t>
  </si>
  <si>
    <t>በቀለ ላኣ ላሎታ /አቶ/</t>
  </si>
  <si>
    <t>3811</t>
  </si>
  <si>
    <t>Bekele Laliemo /Ato/</t>
  </si>
  <si>
    <t>በቀለ ላሌሞ /አቶ/</t>
  </si>
  <si>
    <t>3812</t>
  </si>
  <si>
    <t>Bekele Minota Sayato /Ato/</t>
  </si>
  <si>
    <t>በቀለ ሚኖታ ሳያቶ /አቶ/</t>
  </si>
  <si>
    <t>0991-067455</t>
  </si>
  <si>
    <t>3813</t>
  </si>
  <si>
    <t>Bekele Mogra Debela /Ato/</t>
  </si>
  <si>
    <t>በቀለ ሞግራ ደበላ /አቶ/</t>
  </si>
  <si>
    <t>0926-639001</t>
  </si>
  <si>
    <t>3814</t>
  </si>
  <si>
    <t>Bekele Mollalign Amar /Ato/</t>
  </si>
  <si>
    <t>በቀለ ሞላልኝ አማረ /አቶ/</t>
  </si>
  <si>
    <t>3815</t>
  </si>
  <si>
    <t>Bekele Mulugeta W/Senbet /Ato/</t>
  </si>
  <si>
    <t>በቀለ ሙሉጌታ ወ/ሰንበት /አቶ/</t>
  </si>
  <si>
    <t>0912-123282</t>
  </si>
  <si>
    <t>3816</t>
  </si>
  <si>
    <t>Bekele Negash Negese /Ato/</t>
  </si>
  <si>
    <t>በቀለ ነጋሽ ነገሰ /አቶ/</t>
  </si>
  <si>
    <t>0913-737137</t>
  </si>
  <si>
    <t>3817</t>
  </si>
  <si>
    <t>Bekele Nigatu Getahun /Ato/</t>
  </si>
  <si>
    <t>በቀለ ንጋቱ ጌታሁን /አቶ/</t>
  </si>
  <si>
    <t>3818</t>
  </si>
  <si>
    <t>Bekele Pawlose (Ato)</t>
  </si>
  <si>
    <t>በቀለ ጳውሎስ /አቶ/</t>
  </si>
  <si>
    <t>3819</t>
  </si>
  <si>
    <t>Bekele Sakato /Ato/</t>
  </si>
  <si>
    <t>በቀለ ስቀቶ /አቶ/</t>
  </si>
  <si>
    <t>3820</t>
  </si>
  <si>
    <t>Bekele Sisay Azene /Ato/</t>
  </si>
  <si>
    <t>በቀለ ሲሳይ አዘነ /አቶ/</t>
  </si>
  <si>
    <t>3821</t>
  </si>
  <si>
    <t>Bekele Taddese Bera /Ato/</t>
  </si>
  <si>
    <t>በቀለ ታደሰ ብሩ /አቶ/</t>
  </si>
  <si>
    <t>0911-339710</t>
  </si>
  <si>
    <t>3822</t>
  </si>
  <si>
    <t>Bekele Tadese Kefa/Ato/</t>
  </si>
  <si>
    <t>በቀለ ታደሰ ከፋ /አቶ/</t>
  </si>
  <si>
    <t>3823</t>
  </si>
  <si>
    <t>Bekele Tafesse Legse /Ato/</t>
  </si>
  <si>
    <t>በቀለ ታፈሰ ለገሰ /አቶ/</t>
  </si>
  <si>
    <t>3824</t>
  </si>
  <si>
    <t>Bekele Tayu Worku (Ato)</t>
  </si>
  <si>
    <t>በቀለ ታየ ወርቁ   /አቶ/</t>
  </si>
  <si>
    <t>3825</t>
  </si>
  <si>
    <t>Bekele Tilahun Abebe /Ato/</t>
  </si>
  <si>
    <t>በቀለ ጥላሁን  አበበ /አቶ/</t>
  </si>
  <si>
    <t>0920-675301</t>
  </si>
  <si>
    <t>3826</t>
  </si>
  <si>
    <t>Bekele Titmo Gtea /Ato/</t>
  </si>
  <si>
    <t>በቀለ ጢሞ ጌታ /አቶ/</t>
  </si>
  <si>
    <t>3827</t>
  </si>
  <si>
    <t>Bekele Tomora Aletie  /Ato/</t>
  </si>
  <si>
    <t>በቀለ ቶሞራ አለቴ /አቶ/</t>
  </si>
  <si>
    <t>0916-369192</t>
  </si>
  <si>
    <t>3828</t>
  </si>
  <si>
    <t>Bekele Yemane Kidam /Ato/</t>
  </si>
  <si>
    <t>በቀለ የማነ ኪዳም /አቶ/</t>
  </si>
  <si>
    <t>0973-824413</t>
  </si>
  <si>
    <t>3829</t>
  </si>
  <si>
    <t>Bekele Yohannes Waketo /Ato/</t>
  </si>
  <si>
    <t>በቀለ ዮሐንሰ ዋክቶ /አቶ/</t>
  </si>
  <si>
    <t>3830</t>
  </si>
  <si>
    <t>Bekele Yotona /Ato/</t>
  </si>
  <si>
    <t>በቀለ ዮቶና /አቶ/</t>
  </si>
  <si>
    <t>3831</t>
  </si>
  <si>
    <t>Bekele Yututa Argade /Ato/</t>
  </si>
  <si>
    <t>በቀለ የተታ አርጋደ /አቶ/</t>
  </si>
  <si>
    <t>3832</t>
  </si>
  <si>
    <t>Bekele Zara Barata /Ato/</t>
  </si>
  <si>
    <t>በቀለ ዛራ ባርታ /አቶ/</t>
  </si>
  <si>
    <t>0916-457870</t>
  </si>
  <si>
    <t>3833</t>
  </si>
  <si>
    <t>Bekele Zewde Belachew /Ato/</t>
  </si>
  <si>
    <t>በቀለ ዘውዴ በላቸው /አቶ/</t>
  </si>
  <si>
    <t>0911-145686</t>
  </si>
  <si>
    <t>lebor23@gmail.com</t>
  </si>
  <si>
    <t>3834</t>
  </si>
  <si>
    <t>Bekele Zewdie Belachew /Ato/</t>
  </si>
  <si>
    <t>3835</t>
  </si>
  <si>
    <t>3836</t>
  </si>
  <si>
    <t>Bekelech Adugna Gemechu /W/o/</t>
  </si>
  <si>
    <t>በቀለች አዱኛ ገመቹ /ወሮ/</t>
  </si>
  <si>
    <t>3837</t>
  </si>
  <si>
    <t>Bekelech Bafa /W/O/</t>
  </si>
  <si>
    <t>በቀለች ባፍ ባላንጎ /ወ/ሮ/</t>
  </si>
  <si>
    <t>3838</t>
  </si>
  <si>
    <t>Bekelech Belay Beyene /W/o/</t>
  </si>
  <si>
    <t>በቀለች በላይ በየነ /ወ/ሮ/</t>
  </si>
  <si>
    <t>3839</t>
  </si>
  <si>
    <t>Bekelech Demissie Tufa /W/t/</t>
  </si>
  <si>
    <t>በቀለች ደምሴ ቱፋ /ወ/ት/</t>
  </si>
  <si>
    <t>0993-950580</t>
  </si>
  <si>
    <t>3840</t>
  </si>
  <si>
    <t>Bekelech Deres Moged /W/o/</t>
  </si>
  <si>
    <t>በቀለች ድረስ ሞገድ /ወ/ሮ/</t>
  </si>
  <si>
    <t>0929-016831</t>
  </si>
  <si>
    <t>abeyu.21@gmail.com</t>
  </si>
  <si>
    <t>3841</t>
  </si>
  <si>
    <t>Bekelech Gohlo /Ato/</t>
  </si>
  <si>
    <t>በቀለች ጎህሎ /አቶ/</t>
  </si>
  <si>
    <t>3842</t>
  </si>
  <si>
    <t>3843</t>
  </si>
  <si>
    <t>Bekelech Tola Boku /W/o/</t>
  </si>
  <si>
    <t>በቀለች ቶላ ቦኩ /ወ/ሮ/</t>
  </si>
  <si>
    <t>3844</t>
  </si>
  <si>
    <t xml:space="preserve">Bekelech Wada Duba /W/O/ </t>
  </si>
  <si>
    <t>በቀለች ዋዳ ዱባ /ወ/ሮ/</t>
  </si>
  <si>
    <t>3845</t>
  </si>
  <si>
    <t>Bekeleche Masresha Bahru /W/O And Shewaye Hailu W/Giwergis /W/O</t>
  </si>
  <si>
    <t>በቀለች ማስረሻ ወ/ሮ እና ሸዋየ ሀይሉ /ወ/ሮ/</t>
  </si>
  <si>
    <t>0938-923887</t>
  </si>
  <si>
    <t>3846</t>
  </si>
  <si>
    <t>Bekelie Hatiso /Ato/</t>
  </si>
  <si>
    <t>በቀሌ ሃጥሶ ከማ /አቶ/</t>
  </si>
  <si>
    <t>0913-269252</t>
  </si>
  <si>
    <t>3847</t>
  </si>
  <si>
    <t>Bekelu Mulie Munie /Ato/</t>
  </si>
  <si>
    <t>በቃሉ መሌ ሙኔ /አቶ/</t>
  </si>
  <si>
    <t>3848</t>
  </si>
  <si>
    <t>Bekure Bayew Cheru /Ato/</t>
  </si>
  <si>
    <t>በኩር ባየው ቸሩ /አቶ/</t>
  </si>
  <si>
    <t>0912-955334</t>
  </si>
  <si>
    <t>3849</t>
  </si>
  <si>
    <t>Belachew Alemu Dessie /Ato/</t>
  </si>
  <si>
    <t>በላቸው አለሙ ደሴ /አቶ/</t>
  </si>
  <si>
    <t>3850</t>
  </si>
  <si>
    <t>Belachew Ashagere Yemer /Ato/</t>
  </si>
  <si>
    <t>በላቸው አሻግሬ ይመር /አቶ/</t>
  </si>
  <si>
    <t>3851</t>
  </si>
  <si>
    <t>Belachew Berhn Bogale/Ato/</t>
  </si>
  <si>
    <t>በላቸው ብርሀን ቦጋለ /አቶ/</t>
  </si>
  <si>
    <t>0991800131
17808026876</t>
  </si>
  <si>
    <t>bogalebelachew51@gmail.com</t>
  </si>
  <si>
    <t>3852</t>
  </si>
  <si>
    <t>Belachew Birhanu Mekonnen /Ato/</t>
  </si>
  <si>
    <t>በላቸው ብርሃኑ መኮንን /አቶ/</t>
  </si>
  <si>
    <t>3853</t>
  </si>
  <si>
    <t>Belachew Dagne /Ato/</t>
  </si>
  <si>
    <t>በላቸው ዳኘ /አቶ/</t>
  </si>
  <si>
    <t>3854</t>
  </si>
  <si>
    <t>Belachew Desse Fanta /Ato/</t>
  </si>
  <si>
    <t>በላቸው ደሴ ፋንታ /አቶ/</t>
  </si>
  <si>
    <t>3855</t>
  </si>
  <si>
    <t>Belachew Eliyas /Ato/</t>
  </si>
  <si>
    <t>በላቸው ኤሊያስ /አቶ/</t>
  </si>
  <si>
    <t>0967-680852</t>
  </si>
  <si>
    <t>3856</t>
  </si>
  <si>
    <t>Belachew Hakamo /Ato/</t>
  </si>
  <si>
    <t>በላይቸው ሐቃሞ /አቶ/</t>
  </si>
  <si>
    <t>0941-834709</t>
  </si>
  <si>
    <t>3857</t>
  </si>
  <si>
    <t>Belachew Mengistu Wedemu /Ato/</t>
  </si>
  <si>
    <t>ባላቸው መንግስቱ ወንድሙ /አቶ/</t>
  </si>
  <si>
    <t>3858</t>
  </si>
  <si>
    <t>Belachew Sahilu Wondemagene /Ato/</t>
  </si>
  <si>
    <t>በላቸው ሳህሉ ወንድምአገኝ /አቶ/</t>
  </si>
  <si>
    <t>0911-231129</t>
  </si>
  <si>
    <t>belachew1985@gmail.com</t>
  </si>
  <si>
    <t>3859</t>
  </si>
  <si>
    <t>Belachew Solomon Gezahegn /Ato/</t>
  </si>
  <si>
    <t>በላቸዉ ሰለሞን ገዛኸኝ /አቶ/</t>
  </si>
  <si>
    <t>3860</t>
  </si>
  <si>
    <t>Belachew Tamirat Amenshewa /Ato/</t>
  </si>
  <si>
    <t>በላቸዉ ታምራት አመንሸዋ /አቶ/</t>
  </si>
  <si>
    <t>0942-244380</t>
  </si>
  <si>
    <t>mimiteshome65@gmail.com</t>
  </si>
  <si>
    <t>3861</t>
  </si>
  <si>
    <t>Belachew Tisase Moges /Ato/</t>
  </si>
  <si>
    <t>በላቸው ትሣሴ ሞገስ /አቶ/</t>
  </si>
  <si>
    <t>0928-335305</t>
  </si>
  <si>
    <t>3862</t>
  </si>
  <si>
    <t>3863</t>
  </si>
  <si>
    <t>Belachew Tolera Yadeta /Dr./</t>
  </si>
  <si>
    <t>በላቸው ቶሌራ ያደታ /ዶር/</t>
  </si>
  <si>
    <t>0911-227022</t>
  </si>
  <si>
    <t>3864</t>
  </si>
  <si>
    <t>Belachew Tolira /D/r/</t>
  </si>
  <si>
    <t>በላቸው ቶሌራ /ዶር/</t>
  </si>
  <si>
    <t>3865</t>
  </si>
  <si>
    <t>Belay  Badhite Alado /Ato/</t>
  </si>
  <si>
    <t>በላይ ባድሂት አላዶ /አቶ/</t>
  </si>
  <si>
    <t>0932-712599</t>
  </si>
  <si>
    <t>3866</t>
  </si>
  <si>
    <t>Belay Addis Yideg /Ato/</t>
  </si>
  <si>
    <t>በላይ አዲስ ይደል /አቶ/</t>
  </si>
  <si>
    <t>3867</t>
  </si>
  <si>
    <t>Belay Addisu Desalegn /Ato/</t>
  </si>
  <si>
    <t>በላይ አዲሱ ደሳለኝ /አቶ/</t>
  </si>
  <si>
    <t>0932-680178</t>
  </si>
  <si>
    <t>3868</t>
  </si>
  <si>
    <t>Belay Alemayehu Tagel /Ato/</t>
  </si>
  <si>
    <t>በላይ አለማየሁ ታገል /አቶ/</t>
  </si>
  <si>
    <t>3869</t>
  </si>
  <si>
    <t>Belay Alemneh Liyew /Ato/</t>
  </si>
  <si>
    <t>በላይ አለምነህ ልየው /አቶ/</t>
  </si>
  <si>
    <t>3870</t>
  </si>
  <si>
    <t>Belay Alemu Monaga /Ato/</t>
  </si>
  <si>
    <t>በላይ አለሙ ሞናጋ /አቶ/</t>
  </si>
  <si>
    <t>0913-657553</t>
  </si>
  <si>
    <t>3871</t>
  </si>
  <si>
    <t>Belay Amensisa Bediye /Ato/</t>
  </si>
  <si>
    <t xml:space="preserve"> በላይ አመንሲሳ በዲዬ /አቶ/</t>
  </si>
  <si>
    <t>0911-348583</t>
  </si>
  <si>
    <t>filmonhabte1988@gmail.com
lillysworld2002@gmail.com</t>
  </si>
  <si>
    <t>3872</t>
  </si>
  <si>
    <t>Belay Andarga /Ato/</t>
  </si>
  <si>
    <t>በላይ አንዳርጌ ምህርቱ /አቶ/</t>
  </si>
  <si>
    <t>3873</t>
  </si>
  <si>
    <t>Belay Asfaw Endeshaw /Ato/</t>
  </si>
  <si>
    <t>በላይ አስፋዉ እንደሻዉ /አቶ/</t>
  </si>
  <si>
    <t>0911-444993</t>
  </si>
  <si>
    <t>smeeita80@gmail.com</t>
  </si>
  <si>
    <t>3874</t>
  </si>
  <si>
    <t>3875</t>
  </si>
  <si>
    <t>Belay Barasa /Ato/</t>
  </si>
  <si>
    <t>በላይ ባራሳ /አቶ/</t>
  </si>
  <si>
    <t>3876</t>
  </si>
  <si>
    <t>Belay Basa Geta /Ato/</t>
  </si>
  <si>
    <t>በላይ ባሳ ጌታ /አቶ/</t>
  </si>
  <si>
    <t>0953-330680</t>
  </si>
  <si>
    <t>3877</t>
  </si>
  <si>
    <t>Belay Bekele Kasa /Ato/</t>
  </si>
  <si>
    <t>በላይ በቀለ ካሳ /አቶ/</t>
  </si>
  <si>
    <t>3878</t>
  </si>
  <si>
    <t>belay Belachew Bayo /Ato/</t>
  </si>
  <si>
    <t>በላይ በላቸው ባዩ /አቶ/</t>
  </si>
  <si>
    <t>0928-167923</t>
  </si>
  <si>
    <t>3879</t>
  </si>
  <si>
    <t>Belay Beyenie /Ato/</t>
  </si>
  <si>
    <t>በላይ በየኔ /አቶ/</t>
  </si>
  <si>
    <t>0934-610463</t>
  </si>
  <si>
    <t>3880</t>
  </si>
  <si>
    <t>Belay Chane Mekonnen /Ato/</t>
  </si>
  <si>
    <t>በላይ ጫኔ መኮንን /አቶ/</t>
  </si>
  <si>
    <t>0913-609766</t>
  </si>
  <si>
    <t>3881</t>
  </si>
  <si>
    <t>Belay Dagne Ayenew /Ato/</t>
  </si>
  <si>
    <t>በላይ ዳኝ አየነው /አቶ/</t>
  </si>
  <si>
    <t>3882</t>
  </si>
  <si>
    <t xml:space="preserve">Belay Demise Chekol /Ato/ </t>
  </si>
  <si>
    <t>በላይ ደምሴ ቸኮል /አቶ/</t>
  </si>
  <si>
    <t>3883</t>
  </si>
  <si>
    <t>Belay Eshete Tesma /Ato/</t>
  </si>
  <si>
    <t>በላይ እሸቴ ተሰማ /አቶ/</t>
  </si>
  <si>
    <t>0913-944201</t>
  </si>
  <si>
    <t>3884</t>
  </si>
  <si>
    <t>Belay Fenta Fekadie /Ato/</t>
  </si>
  <si>
    <t>በላይ ፈንታ ፍቃዴ /አቶ/</t>
  </si>
  <si>
    <t>3885</t>
  </si>
  <si>
    <t>Belay Fetene Temare /Ato /</t>
  </si>
  <si>
    <t>በላይ ፈጠነ ተማር /አቶ/</t>
  </si>
  <si>
    <t>0927-629023</t>
  </si>
  <si>
    <t>3886</t>
  </si>
  <si>
    <t>Belay Gadisa Gosoma  /Ato/</t>
  </si>
  <si>
    <t>በላይ ጋዲሳ ጎሶማ /አቶ/</t>
  </si>
  <si>
    <t>3887</t>
  </si>
  <si>
    <t>Belay Getaneh Gude /Ato/</t>
  </si>
  <si>
    <t>በላይ ጌታነህ ጉዴ /አቶ/</t>
  </si>
  <si>
    <t>3888</t>
  </si>
  <si>
    <t>Belay Girma Wondafrash /Ato/</t>
  </si>
  <si>
    <t>በላይ ግርማ ወንዳፍራሽ /አቶ/</t>
  </si>
  <si>
    <t>0935-491396</t>
  </si>
  <si>
    <t>3889</t>
  </si>
  <si>
    <t>Belay Gizaw Mogess /Ato/</t>
  </si>
  <si>
    <t>በላይ ግዛዉ   /አቶ/</t>
  </si>
  <si>
    <t>3890</t>
  </si>
  <si>
    <t>Belay Habtemariam Haile /Ato/</t>
  </si>
  <si>
    <t>በላይ ሀብተማርያም ሀይሌ /አቶ/</t>
  </si>
  <si>
    <t>0919-647701</t>
  </si>
  <si>
    <t>3891</t>
  </si>
  <si>
    <t>Belay Lemma Woldeyes /Ato/</t>
  </si>
  <si>
    <t>በላይ ለማ ወልደየስ /አቶ/</t>
  </si>
  <si>
    <t>hana_tesgera@yahoo.com</t>
  </si>
  <si>
    <t>3892</t>
  </si>
  <si>
    <t>Belay Mekonene Wube /Ato/</t>
  </si>
  <si>
    <t>በላይ መኮንን ውቤ /አቶ/</t>
  </si>
  <si>
    <t>3893</t>
  </si>
  <si>
    <t>Belay Mekonnen Tamirat /Ato/</t>
  </si>
  <si>
    <t>በላይ መኮንን ታምራት /አቶ/</t>
  </si>
  <si>
    <t>3894</t>
  </si>
  <si>
    <t>Belay Mekuria Yesho /Ato/</t>
  </si>
  <si>
    <t>በላይ ምኩረያ የሾ /አቶ/</t>
  </si>
  <si>
    <t>3895</t>
  </si>
  <si>
    <t>Belay Minuye Wondem /Ato/</t>
  </si>
  <si>
    <t>በላይ ምኑየ ወንድም አቶ/</t>
  </si>
  <si>
    <t>3896</t>
  </si>
  <si>
    <t>Belay Mulatu /Ato/</t>
  </si>
  <si>
    <t>በላይ ሙላቱ /አቶ/</t>
  </si>
  <si>
    <t>0920-953271</t>
  </si>
  <si>
    <t>3897</t>
  </si>
  <si>
    <t xml:space="preserve">Belay Negash Teklu </t>
  </si>
  <si>
    <t>በላይ ነጋሽ ተክሉ  /አቶ/</t>
  </si>
  <si>
    <t>blackdude2@yahoo.com</t>
  </si>
  <si>
    <t>3898</t>
  </si>
  <si>
    <t>Belay Salela /Ato/</t>
  </si>
  <si>
    <t>በላይ ሳልላ /አቶ/</t>
  </si>
  <si>
    <t>3899</t>
  </si>
  <si>
    <t>Belay Sharew Adelu /Ato/</t>
  </si>
  <si>
    <t>በላይ ሽረው አደሱ /አቶ/</t>
  </si>
  <si>
    <t>3900</t>
  </si>
  <si>
    <t>Belay Shiferaw Ayele /Ato/</t>
  </si>
  <si>
    <t>በላይ ሽፈራው አየለ /አቶ/</t>
  </si>
  <si>
    <t>3901</t>
  </si>
  <si>
    <t>Belay Tadesse Gedamu /Ato/</t>
  </si>
  <si>
    <t>በላይ ታደሰ ገዳሙ /አቶ/</t>
  </si>
  <si>
    <t>0912-682330</t>
  </si>
  <si>
    <t>nzewdie2000@yahoo.com</t>
  </si>
  <si>
    <t>3902</t>
  </si>
  <si>
    <t>Belay Telila Gemeda /Ato/</t>
  </si>
  <si>
    <t>በላይ ተሊላ ገመዳ /አቶ/</t>
  </si>
  <si>
    <t>3903</t>
  </si>
  <si>
    <t>Belay Wondimu W/Yohannes /Ato/</t>
  </si>
  <si>
    <t>በላይ ወንድሙ ወ/Äሐንስ /አቶ/</t>
  </si>
  <si>
    <t>0939-664493</t>
  </si>
  <si>
    <t>3904</t>
  </si>
  <si>
    <t>Belay Wondyifraw Kebed/Ato/</t>
  </si>
  <si>
    <t>በላይ ወንደይፍራው ከበደ /አቶ/</t>
  </si>
  <si>
    <t>3905</t>
  </si>
  <si>
    <t>Belay Wosine G/Mariam /Ato/</t>
  </si>
  <si>
    <t>በላይ ወሰኔ ገ/ማርያም /አቶ/</t>
  </si>
  <si>
    <t>0945-903278</t>
  </si>
  <si>
    <t>3906</t>
  </si>
  <si>
    <t>Belay Zelalem Mengistu /Ato/</t>
  </si>
  <si>
    <t>በላይ ዘላለም መንግስቱ /አቶ/</t>
  </si>
  <si>
    <t>0915-865805</t>
  </si>
  <si>
    <t>3907</t>
  </si>
  <si>
    <t>Belay Zeleke Engeda /Ato/</t>
  </si>
  <si>
    <t>በላይ ዘለቀ እንግዳ /አቶ/</t>
  </si>
  <si>
    <t>0904-650375</t>
  </si>
  <si>
    <t>3908</t>
  </si>
  <si>
    <t>3909</t>
  </si>
  <si>
    <t>Belaycho Bara /Ato/</t>
  </si>
  <si>
    <t>በላይቾ ባራ /አቶ/</t>
  </si>
  <si>
    <t>3910</t>
  </si>
  <si>
    <t>Belaye Balcha Munuro /Ato/</t>
  </si>
  <si>
    <t>በላይ ባልቻ ሙኑሮ /አቶ/</t>
  </si>
  <si>
    <t>0964-065160</t>
  </si>
  <si>
    <t>3911</t>
  </si>
  <si>
    <t>Belaye Simachew /Ato/</t>
  </si>
  <si>
    <t>በላይ ስማቸው /አቶ/</t>
  </si>
  <si>
    <t>3912</t>
  </si>
  <si>
    <t>Belaye Sisaye W/yohannes /Ato/</t>
  </si>
  <si>
    <t>በላይ ሲሳይ ወ/ዮሐንስ /አቶ/</t>
  </si>
  <si>
    <t>3913</t>
  </si>
  <si>
    <t>Belayeneh Dorsiso Dogeso /Ato/</t>
  </si>
  <si>
    <t>በላይነህ ደርሲሶ ዶግሶ /አቶ/</t>
  </si>
  <si>
    <t>3914</t>
  </si>
  <si>
    <t>Belayenesh Seife Mekonen /W/o/</t>
  </si>
  <si>
    <t>በላይነሽ ሰይፈ መኮንን /ወ/ሮ/</t>
  </si>
  <si>
    <t>3915</t>
  </si>
  <si>
    <t xml:space="preserve">Belayenesh Shewangizaw </t>
  </si>
  <si>
    <t>በላይነሽ ሸዋንግዛው</t>
  </si>
  <si>
    <t>3916</t>
  </si>
  <si>
    <t>Belayensh Abebe /W/o/</t>
  </si>
  <si>
    <t>በላይነሽ አበበ /ወ/ሮ/</t>
  </si>
  <si>
    <t>0913-195309</t>
  </si>
  <si>
    <t>3917</t>
  </si>
  <si>
    <t>Belayensh Kasa Belete /W/o/</t>
  </si>
  <si>
    <t>በላይንሽ ካሳ በለጠ /ወ/ኦ/</t>
  </si>
  <si>
    <t>0931-057998</t>
  </si>
  <si>
    <t>3918</t>
  </si>
  <si>
    <t>Belayhun Aba /Ato/</t>
  </si>
  <si>
    <t>በላይሁን አባ /አቶ/</t>
  </si>
  <si>
    <t>3919</t>
  </si>
  <si>
    <t>Belayhun G/Yohannes Tadesse /Ato/</t>
  </si>
  <si>
    <t>በላይሁን ገብረዮሐንስ ታደስ /አቶ/</t>
  </si>
  <si>
    <t>0903-806460</t>
  </si>
  <si>
    <t>3920</t>
  </si>
  <si>
    <t>Belayine Shala Sea /Ato/</t>
  </si>
  <si>
    <t xml:space="preserve">በላይኔ ሻላ ሰአ /አቶ/ </t>
  </si>
  <si>
    <t>3921</t>
  </si>
  <si>
    <t>Belayineh Ayalew Gebre /Ato/</t>
  </si>
  <si>
    <t>በላይነህ አያሌው ገበሬ /አቶ/</t>
  </si>
  <si>
    <t>3922</t>
  </si>
  <si>
    <t>Belayineh Ebabew Andualem /Ato/</t>
  </si>
  <si>
    <t xml:space="preserve">በላይነህ እባበው አንዱአለም /አቶ/     </t>
  </si>
  <si>
    <t>3923</t>
  </si>
  <si>
    <t>Belayineh Getachew Tefera /Ato/</t>
  </si>
  <si>
    <t>በላይነህ ጌታቸው /አቶ/</t>
  </si>
  <si>
    <t>3924</t>
  </si>
  <si>
    <t>Belayineh Lule Shgaw /Ato/</t>
  </si>
  <si>
    <t>በላይነህ ሉሌ ሸጋው /አቶ/</t>
  </si>
  <si>
    <t>3925</t>
  </si>
  <si>
    <t>Belayineh Tumicha /Ato/</t>
  </si>
  <si>
    <t>በላይነህ ቱምቻ /አቶ/</t>
  </si>
  <si>
    <t>3926</t>
  </si>
  <si>
    <t>Belayne  Banata /Ato/</t>
  </si>
  <si>
    <t>በላይ ባናታ /አቶ/</t>
  </si>
  <si>
    <t>3927</t>
  </si>
  <si>
    <t>Belayne Balga Dele /Ato/</t>
  </si>
  <si>
    <t>በላይነህ ባልጊ ዳል /አቶ/</t>
  </si>
  <si>
    <t>3928</t>
  </si>
  <si>
    <t>Belayne Yirgate Kasa /Ato/</t>
  </si>
  <si>
    <t>በላይነህ ይርገቴ ካሳ /አቶ/</t>
  </si>
  <si>
    <t>3929</t>
  </si>
  <si>
    <t>Belayneh Abera Melaku /Ato/</t>
  </si>
  <si>
    <t>በላይነህ አበራ መላኩ /አቶ/</t>
  </si>
  <si>
    <t>0911-507239
0912-033510</t>
  </si>
  <si>
    <t>belayneyabera1@gmail.com</t>
  </si>
  <si>
    <t>3930</t>
  </si>
  <si>
    <t>Belayneh Adamu Alemneh /Ato/</t>
  </si>
  <si>
    <t>በላይነህ አዳሙ አለምነህ /አቶ/</t>
  </si>
  <si>
    <t>3931</t>
  </si>
  <si>
    <t>Belayneh Aneberber Tekele /Ato/</t>
  </si>
  <si>
    <t>በላይነህ አንበርብር ተክለ /አቶ/</t>
  </si>
  <si>
    <t>0909-609031</t>
  </si>
  <si>
    <t>3932</t>
  </si>
  <si>
    <t>Belayneh Aregawi Getahun /Ato/</t>
  </si>
  <si>
    <t>በላይነህ አረጋዊ ጌታሁን /አቶ/</t>
  </si>
  <si>
    <t>3933</t>
  </si>
  <si>
    <t>Belayneh Behailu Habete /Ato/</t>
  </si>
  <si>
    <t>በላይነህ በሀይሉ ሀብቴ /አቶ/</t>
  </si>
  <si>
    <t>3934</t>
  </si>
  <si>
    <t>Belayneh Biresaw Derese /Ato/</t>
  </si>
  <si>
    <t>በላይነህ ቢርሳው ደርሰ /አቶ/</t>
  </si>
  <si>
    <t>3935</t>
  </si>
  <si>
    <t>Belayneh Enyew Gete /Ato/</t>
  </si>
  <si>
    <t>በላይነህ እንየው ጌጤ /አቶ/</t>
  </si>
  <si>
    <t>0985-045021</t>
  </si>
  <si>
    <t>3936</t>
  </si>
  <si>
    <t>Belayneh Fisseha Beshahe /Ato/</t>
  </si>
  <si>
    <t>በላይነህ ፍስሀ በሻህ /አቶ/</t>
  </si>
  <si>
    <t>3937</t>
  </si>
  <si>
    <t>Belayneh Gebeyhu  (Ato)</t>
  </si>
  <si>
    <t>በላይነህ  ገበዬ /አቶ/</t>
  </si>
  <si>
    <t>3938</t>
  </si>
  <si>
    <t>Belayneh Getahun Mulatu (Ato)</t>
  </si>
  <si>
    <t>በላይነህ ጌታሁን ሙላቱ  /አቶ/</t>
  </si>
  <si>
    <t>3939</t>
  </si>
  <si>
    <t>Belayneh Habtamu Mergia /Ato/</t>
  </si>
  <si>
    <t>በላይነህ ሀብታሙ መርጊያ /አቶ/</t>
  </si>
  <si>
    <t>3940</t>
  </si>
  <si>
    <t>Belayneh Hirga /Ato/</t>
  </si>
  <si>
    <t>በላይነህ ሂርጋ /አቶ/</t>
  </si>
  <si>
    <t>3941</t>
  </si>
  <si>
    <t>Belayneh Jembere /Ato/</t>
  </si>
  <si>
    <t>በላይነህ ጀምበሬ  /አቶ/</t>
  </si>
  <si>
    <t>3942</t>
  </si>
  <si>
    <t>Belayneh Kasahun Ageze /Ato/</t>
  </si>
  <si>
    <t>በላይነህ ካሳሁን አግዘ /አቶ/</t>
  </si>
  <si>
    <t>3943</t>
  </si>
  <si>
    <t>Belayneh Kasse Chekol /Ato/</t>
  </si>
  <si>
    <t>በላይነህ ካሴ ቸኮል /አቶ/</t>
  </si>
  <si>
    <t>3944</t>
  </si>
  <si>
    <t>Belayneh Kawato /Ato/</t>
  </si>
  <si>
    <t>በላይነህ ቃዋቶ /አቶ/</t>
  </si>
  <si>
    <t>3945</t>
  </si>
  <si>
    <t>Belayneh Legamo Lancho /Ato/</t>
  </si>
  <si>
    <t>በላይነህ ለጋሞ ላንጮ /አቶ/</t>
  </si>
  <si>
    <t>0926-065205</t>
  </si>
  <si>
    <t>3946</t>
  </si>
  <si>
    <t>Belayneh Mekie Jenber /Ato/</t>
  </si>
  <si>
    <t>በላይነህ መኬ ጀንበር /አቶ/</t>
  </si>
  <si>
    <t>3947</t>
  </si>
  <si>
    <t>3948</t>
  </si>
  <si>
    <t>Belayneh Shibash Abe /Ato/</t>
  </si>
  <si>
    <t>በላይነህ ሺበሺ አቤ /አቶ/</t>
  </si>
  <si>
    <t>0943-055616</t>
  </si>
  <si>
    <t>3949</t>
  </si>
  <si>
    <t>Belayneh Tadese Gate /Ato/</t>
  </si>
  <si>
    <t>በልላይነህ ታደሰ ጌቴ /አቶ/</t>
  </si>
  <si>
    <t>0973-021081</t>
  </si>
  <si>
    <t>3950</t>
  </si>
  <si>
    <t>Belayneh Taye Gemta /Ato/</t>
  </si>
  <si>
    <t>በላይነህ ታዬ ገምታ /አቶ/</t>
  </si>
  <si>
    <t>0911-357816</t>
  </si>
  <si>
    <t>3951</t>
  </si>
  <si>
    <t>Belayneh Tayelgn /Ato/</t>
  </si>
  <si>
    <t>በላይነህ ታየልኝ /አቶ/</t>
  </si>
  <si>
    <t>3952</t>
  </si>
  <si>
    <t>Belayneh Teka Medihine /Ato/</t>
  </si>
  <si>
    <t>በላይነህ ተካ መድህኔ /አቶ/</t>
  </si>
  <si>
    <t>3953</t>
  </si>
  <si>
    <t>Belayneh Tela Tegegne /Ato/</t>
  </si>
  <si>
    <t>በላይነህ ቶላ ተገኘ /አቶ/</t>
  </si>
  <si>
    <t>3954</t>
  </si>
  <si>
    <t>Belayneh Yimer Tiruneh /Ato/</t>
  </si>
  <si>
    <t>በላይነህ ይመር ጥሩነህ /አቶ/</t>
  </si>
  <si>
    <t>3955</t>
  </si>
  <si>
    <t>Belaynehe Eneyew Wale / Ato/</t>
  </si>
  <si>
    <t>በላይነህ እንየው ዋለ /አቶ/</t>
  </si>
  <si>
    <t>3956</t>
  </si>
  <si>
    <t>Belaynesh Abera Beyecha /Sr./</t>
  </si>
  <si>
    <t>በላይነሽ አበራ በየቻ /ሲስተር/</t>
  </si>
  <si>
    <t>0911-631643</t>
  </si>
  <si>
    <t>3957</t>
  </si>
  <si>
    <t>Belaynesh Abie /W/O/</t>
  </si>
  <si>
    <t>በላይነሸ አቤ /ወ/ሮ/</t>
  </si>
  <si>
    <t>3958</t>
  </si>
  <si>
    <t>Belaynesh Alemnew Kassa /W/o/</t>
  </si>
  <si>
    <t>በላይነሽ አለምነዉ ካሳ /ወ/ሮ/</t>
  </si>
  <si>
    <t>0912-119585</t>
  </si>
  <si>
    <t>3959</t>
  </si>
  <si>
    <t>Belaynesh Alemu Getahun/Wro/</t>
  </si>
  <si>
    <t>በላይነሸ አለሙ ጌታሁን /ወ/ሮ/</t>
  </si>
  <si>
    <t>3960</t>
  </si>
  <si>
    <t>Belaynesh Ali Hassen /D/r/</t>
  </si>
  <si>
    <t>በላይነሽ አሊ ሃሰን /ዶ/ር/</t>
  </si>
  <si>
    <t>3961</t>
  </si>
  <si>
    <t>Belaynesh Asefa  /W/o/ For Ananiya Abiyot Tefera /Minor/</t>
  </si>
  <si>
    <t>በላይነሽ አሰፋ ሀይሌ /ወ/ሮ/ ለአናንያ አብዮት ተፈራ /ህፃን/</t>
  </si>
  <si>
    <t>0911-793372</t>
  </si>
  <si>
    <t>3962</t>
  </si>
  <si>
    <t>Belaynesh Asefa  /W/o/ For Shalom Abrham /Minor/</t>
  </si>
  <si>
    <t>በላይነሽ አሰፋ  /ወ/ሮ/ ለሻሎም አብርሃም /ህፃን/</t>
  </si>
  <si>
    <t>0944-374841</t>
  </si>
  <si>
    <t>3963</t>
  </si>
  <si>
    <t>Belaynesh Asefa  /W/o/ For Yabfiker Abrham /Minor/</t>
  </si>
  <si>
    <t>በላይነሽ አሰፋ  /ወ/ሮ/ ለየአብፍቅር አብርሃም  /ህፃን/</t>
  </si>
  <si>
    <t>0966-459715</t>
  </si>
  <si>
    <t>3964</t>
  </si>
  <si>
    <t>Belaynesh Asefa /W/o/ For Azariyas Mesel Erso /Minor/</t>
  </si>
  <si>
    <t>በላይነሽ አሰፋ ሀይሌ /ወ/ሮ/ ለአዛርያስ መሰለ ኤርሶ /ህፃን/</t>
  </si>
  <si>
    <t>0911-632257</t>
  </si>
  <si>
    <t>3965</t>
  </si>
  <si>
    <t>Belaynesh Bansa /W/o/</t>
  </si>
  <si>
    <t>በላይነሽ ባንሳ /ወ/ኦ/</t>
  </si>
  <si>
    <t>3966</t>
  </si>
  <si>
    <t>Belaynesh Demese Endeshaw /W/o</t>
  </si>
  <si>
    <t>በላይነሽ ደምስ እንደሻው /ወ/ሮ/</t>
  </si>
  <si>
    <t>0912-142593</t>
  </si>
  <si>
    <t>3967</t>
  </si>
  <si>
    <t>Belaynesh Dereje Tamene /W/o/</t>
  </si>
  <si>
    <t>በላይነሽ ደረጀ ታመነ /ወ/ሮ/</t>
  </si>
  <si>
    <t>0916-824029</t>
  </si>
  <si>
    <t>meleseyodit13@gmail.com</t>
  </si>
  <si>
    <t>3968</t>
  </si>
  <si>
    <t>Belaynesh Haile Ousman /W/o/</t>
  </si>
  <si>
    <t>በላይነሽ ሀይሌ ዑሥማን /ወ/ሮ/</t>
  </si>
  <si>
    <t>0912-462535</t>
  </si>
  <si>
    <t>3969</t>
  </si>
  <si>
    <t>Belaynesh Jima /W/o/ For Mekilit Alemayehu /Mionr/</t>
  </si>
  <si>
    <t>በላይነሽ ጅማ /ወ/ሮ/ ለመክሊት ዓለማየሁ /ህፃን/</t>
  </si>
  <si>
    <t>3970</t>
  </si>
  <si>
    <t>Belaynesh Jimma Leku  /W/o/</t>
  </si>
  <si>
    <t>በላይነሽ ጂማ ልኩ /ወ/ሮ/</t>
  </si>
  <si>
    <t>0911-678163</t>
  </si>
  <si>
    <t>eyobkebe@yahoo.com</t>
  </si>
  <si>
    <t>3971</t>
  </si>
  <si>
    <t>Belaynesh Siyom /W/o/ For Amanuel Kefyalew Zeleke /Minor/</t>
  </si>
  <si>
    <t>በላይነሽ ስዩም /ወ/ሮ ለአማኑኤል ከፍያለው ዘለቀ /ህፃን/</t>
  </si>
  <si>
    <t>3972</t>
  </si>
  <si>
    <t>Belaynesh Siyom /W/o/ For Yohannes Kefyalew Zeleke /Minor/</t>
  </si>
  <si>
    <t>በላይነሽ ስዩም /ወ/ሮ/ ለዮሀንስ ከፍያለው ዘለቀ /ህፃን/</t>
  </si>
  <si>
    <t>3973</t>
  </si>
  <si>
    <t>Belaynesh Siyom /W/o/ For Yordanos Kefyalew Zeleke /Minor/</t>
  </si>
  <si>
    <t>በላይነሽ ስዩም /ወ/ሮ ለዮርዳኖስ ከፍያለው ዘለቀ /ህፃን/</t>
  </si>
  <si>
    <t>3974</t>
  </si>
  <si>
    <t>Belaynesh Tadele Tafesa /W/o/</t>
  </si>
  <si>
    <t>በላይነሸ  ታደሌ ታፍሳ /ወ/ሮ/</t>
  </si>
  <si>
    <t>3975</t>
  </si>
  <si>
    <t>Belaynesh Tilkamo Jinga /W/O/</t>
  </si>
  <si>
    <t>በላይነሸ ትልካሞ ጅንጋ /ወ/ሮ/</t>
  </si>
  <si>
    <t>0964-750864</t>
  </si>
  <si>
    <t>3976</t>
  </si>
  <si>
    <t>Belaynesh Utala Gegawa /W/o/</t>
  </si>
  <si>
    <t>በላይነሸ ኡታለ ገጋዋ /ወ/ሮ/</t>
  </si>
  <si>
    <t>3977</t>
  </si>
  <si>
    <t>Belayneshe Awoke  Aschenek /W/O/</t>
  </si>
  <si>
    <t>በላይነሸ አወቀ አስቸነቅ /ወ/ሮ/</t>
  </si>
  <si>
    <t>3978</t>
  </si>
  <si>
    <t>Belayneshe Getaneh Hayle /Ato/</t>
  </si>
  <si>
    <t>በላይነሸ ጌታነህ ሃይሌ /አቶ/</t>
  </si>
  <si>
    <t>0922-448242</t>
  </si>
  <si>
    <t>3979</t>
  </si>
  <si>
    <t>Belayneshe Kaleso /W/O/</t>
  </si>
  <si>
    <t>በላይነሸ ቃለሶ /ወ/ሮ/</t>
  </si>
  <si>
    <t>0994-182946</t>
  </si>
  <si>
    <t>3980</t>
  </si>
  <si>
    <t>Belayneshi Getaneh Hayle /w/o</t>
  </si>
  <si>
    <t>በላይነሺ ጌታነህ ሃይሌ</t>
  </si>
  <si>
    <t>3981</t>
  </si>
  <si>
    <t>Belaysew Filate Bogale /Ato/</t>
  </si>
  <si>
    <t>በላየሰው ፍላቴ ቦጋለ /አቶ/</t>
  </si>
  <si>
    <t>0962-868463</t>
  </si>
  <si>
    <t>3982</t>
  </si>
  <si>
    <t xml:space="preserve">Belege Woldie W/Mesikel </t>
  </si>
  <si>
    <t>በለገ ወልዴ ወልደመስቀል /አቶ/</t>
  </si>
  <si>
    <t>3983</t>
  </si>
  <si>
    <t>Belesti Goshu Bitew /Ato/</t>
  </si>
  <si>
    <t>በልስቲ ጎሹ ቢተው /አቶ/</t>
  </si>
  <si>
    <t>0915-695829</t>
  </si>
  <si>
    <t>3984</t>
  </si>
  <si>
    <t>Belesti Mebeyn Adinew /Ato/</t>
  </si>
  <si>
    <t>በልስቲ መበይን አድነው /አቶ/</t>
  </si>
  <si>
    <t>3985</t>
  </si>
  <si>
    <t>Belesti Takele Eijigu /Ato/</t>
  </si>
  <si>
    <t>በለስቲ ታከለ እጂጉ /አቶ/</t>
  </si>
  <si>
    <t>3986</t>
  </si>
  <si>
    <t>Belesti Tesfaye Yigzaw /Ato/</t>
  </si>
  <si>
    <t>በልስቲ ተስፋዉ ይግዛዉ</t>
  </si>
  <si>
    <t>3987</t>
  </si>
  <si>
    <t>Belet Adane Behaylu   /Kes/</t>
  </si>
  <si>
    <t xml:space="preserve">በለጥ አዳነ በሃይሉ/ቄስ / </t>
  </si>
  <si>
    <t>0910551571</t>
  </si>
  <si>
    <t>3988</t>
  </si>
  <si>
    <t>Belet Menge Alelegn /Ato/</t>
  </si>
  <si>
    <t>በለጠ መንጌ አለልኝ /አቶ/</t>
  </si>
  <si>
    <t>3989</t>
  </si>
  <si>
    <t>Belete Abe Andarcie /Ato/</t>
  </si>
  <si>
    <t>በለጠ አቤ አንዳርሴ /አቶ/</t>
  </si>
  <si>
    <t>3990</t>
  </si>
  <si>
    <t>Belete Abiyu /Ato/</t>
  </si>
  <si>
    <t>በለጠ አብዩ /አቶ/</t>
  </si>
  <si>
    <t>0937-965682</t>
  </si>
  <si>
    <t>3991</t>
  </si>
  <si>
    <t>Belete Addisu Amera /Ato/</t>
  </si>
  <si>
    <t>በለጠ አዲሱ አመረ /አቶ/</t>
  </si>
  <si>
    <t>3992</t>
  </si>
  <si>
    <t>Belete Adola /Ato/</t>
  </si>
  <si>
    <t>በለጠ አዶላ /አቶ/</t>
  </si>
  <si>
    <t>0916-36-23-32</t>
  </si>
  <si>
    <t>3993</t>
  </si>
  <si>
    <t>Belete awoke Asefaw /Ato/</t>
  </si>
  <si>
    <t>በለጠ አወቀ አሰፋው /አቶ/</t>
  </si>
  <si>
    <t>0918-397886</t>
  </si>
  <si>
    <t>3994</t>
  </si>
  <si>
    <t>Belete Ayano Kololo(Ato)</t>
  </si>
  <si>
    <t xml:space="preserve">በለጠ አያኖ ኮሎሎ /አቶ/  </t>
  </si>
  <si>
    <t>994239945</t>
  </si>
  <si>
    <t>3995</t>
  </si>
  <si>
    <t>Belete Babi Baratie /Ato/</t>
  </si>
  <si>
    <t>በለጠ ባቢ ባራቴ /አቶ/</t>
  </si>
  <si>
    <t>3996</t>
  </si>
  <si>
    <t>Belete Basa Choramo /Ato/</t>
  </si>
  <si>
    <t>በለጠ ባሳ ጮራሞ /አቶ/</t>
  </si>
  <si>
    <t>3997</t>
  </si>
  <si>
    <t>Belete Baza /Ato/</t>
  </si>
  <si>
    <t>በለጠ ባዛ /አቶ/</t>
  </si>
  <si>
    <t>0916-747538</t>
  </si>
  <si>
    <t>3998</t>
  </si>
  <si>
    <t>Belete Belay Wedeneh / Ato/</t>
  </si>
  <si>
    <t>በለጠ በላይ ውድነህ /አቶ/</t>
  </si>
  <si>
    <t>3999</t>
  </si>
  <si>
    <t>Belete Berasa Buna /Ato/</t>
  </si>
  <si>
    <t>በለጠ በራሳ ቡና /አቶ/</t>
  </si>
  <si>
    <t>4000</t>
  </si>
  <si>
    <t>Belete Bizuneh Demise /Ato/</t>
  </si>
  <si>
    <t>በለጠ ብዙነህ ደምሴ /አቶ/</t>
  </si>
  <si>
    <t>0931-084282</t>
  </si>
  <si>
    <t>be2010de@gmail.com</t>
  </si>
  <si>
    <t>4001</t>
  </si>
  <si>
    <t>Belete Buche /Ato/</t>
  </si>
  <si>
    <t>በለጠ ቡች /አቶ/</t>
  </si>
  <si>
    <t>4002</t>
  </si>
  <si>
    <t>Belete Dagne Checol /Ato/</t>
  </si>
  <si>
    <t>በለጠ ዳኜ ቼኮል /አቶ/</t>
  </si>
  <si>
    <t>4003</t>
  </si>
  <si>
    <t>Belete Desale Shiferaw /Ato/</t>
  </si>
  <si>
    <t>በለጠ ደሳለ ሽፈራው /አቶ/</t>
  </si>
  <si>
    <t>4004</t>
  </si>
  <si>
    <t>Belete Dilnesa Gashaw /Ato/</t>
  </si>
  <si>
    <t>በለጠ ድልነሳ ጋሻው /አቶ/</t>
  </si>
  <si>
    <t>4005</t>
  </si>
  <si>
    <t>Belete Hamito /Ato/</t>
  </si>
  <si>
    <t>በለጠ ሀምጦ /አቶ/</t>
  </si>
  <si>
    <t>4006</t>
  </si>
  <si>
    <t>Belete Jenbere Tesega /Ato/</t>
  </si>
  <si>
    <t>በለጠ ጀንበሬ ተሰጋ    /አቶ/</t>
  </si>
  <si>
    <t>4007</t>
  </si>
  <si>
    <t>Belete Jenberu /Ato/</t>
  </si>
  <si>
    <t>በለጠ ጀንበሩ /አቶ/</t>
  </si>
  <si>
    <t>4008</t>
  </si>
  <si>
    <t>Belete K. Teshawerk /Ato/</t>
  </si>
  <si>
    <t xml:space="preserve">በለጠ ከ. </t>
  </si>
  <si>
    <t>0910-619340</t>
  </si>
  <si>
    <t>beleteteshawerk@yahoo.com</t>
  </si>
  <si>
    <t>4009</t>
  </si>
  <si>
    <t>4010</t>
  </si>
  <si>
    <t>Belete Kase Beza /Ato/</t>
  </si>
  <si>
    <t>በለጠ ካሳ በዛ /አቶ/</t>
  </si>
  <si>
    <t>0937-910952</t>
  </si>
  <si>
    <t>4011</t>
  </si>
  <si>
    <t>Belete Kefyalew Eshetu /Ato/</t>
  </si>
  <si>
    <t>በለጠ ከፍያለዉ እሸቱ /አቶ/</t>
  </si>
  <si>
    <t>4012</t>
  </si>
  <si>
    <t>Belete Kibru Gebre /Ato/</t>
  </si>
  <si>
    <t>በለጠ ክብሩ ገብሬ /አቶ/</t>
  </si>
  <si>
    <t>4013</t>
  </si>
  <si>
    <t>Belete Legese Hordofa (Ato)</t>
  </si>
  <si>
    <t xml:space="preserve">በለጠ ለገስው  ሆርዶፋ /አቶ/  </t>
  </si>
  <si>
    <t>4014</t>
  </si>
  <si>
    <t>Belete Midekissa Kumesan /Ato/</t>
  </si>
  <si>
    <t>በለጠ ሚደቅሳ ኩምሳን /አቶ/</t>
  </si>
  <si>
    <t>0931-332284</t>
  </si>
  <si>
    <t>4015</t>
  </si>
  <si>
    <t>Belete Minchel Gebeyew /Ato/</t>
  </si>
  <si>
    <t>በለጠ ምንጭ ገበየው /አቶ/</t>
  </si>
  <si>
    <t>4016</t>
  </si>
  <si>
    <t>Belete Muche Asmare /Ato/</t>
  </si>
  <si>
    <t>በለጠ ሙጬ አስማረ /አቶ/</t>
  </si>
  <si>
    <t>0938-053417</t>
  </si>
  <si>
    <t>4017</t>
  </si>
  <si>
    <t>Belete Shelo Hadelo /Ato/</t>
  </si>
  <si>
    <t>በለጤ ሸሎ ሐደሎ /አቶ/</t>
  </si>
  <si>
    <t>4018</t>
  </si>
  <si>
    <t>Belete Teferi Mekonnen /Ato/</t>
  </si>
  <si>
    <t>በለጠ ተፈሪ መኮንን /አቶ/</t>
  </si>
  <si>
    <t>0946-549918</t>
  </si>
  <si>
    <t>4019</t>
  </si>
  <si>
    <t>0911-229829</t>
  </si>
  <si>
    <t>daniabate4617@gmail.com</t>
  </si>
  <si>
    <t>4020</t>
  </si>
  <si>
    <t>Belete Tena /Ato/</t>
  </si>
  <si>
    <t>በለጠ ተና /አቶ/</t>
  </si>
  <si>
    <t>4021</t>
  </si>
  <si>
    <t>Belete W/Mariam W/Yohannes /Ato/</t>
  </si>
  <si>
    <t>በለጠ ወ/ማርያም ወ/ዮሀንስ /አቶ/</t>
  </si>
  <si>
    <t>4022</t>
  </si>
  <si>
    <t>Belete Worku Zerga /Ato/</t>
  </si>
  <si>
    <t>በለጠ ወርቁ ዘርጋ /አቶ/</t>
  </si>
  <si>
    <t>4023</t>
  </si>
  <si>
    <t>Belete Wude Asaye /Ato/</t>
  </si>
  <si>
    <t>በለጠ ውዴ አሳየ /አቶ/</t>
  </si>
  <si>
    <t>0918-404571</t>
  </si>
  <si>
    <t>4024</t>
  </si>
  <si>
    <t>Belete Yesema Getahun /Ato/</t>
  </si>
  <si>
    <t>በለጠ ይስማ ጌታሁን/አቶ/</t>
  </si>
  <si>
    <t>4025</t>
  </si>
  <si>
    <t>Belete Yilma Welidehana /Ato/</t>
  </si>
  <si>
    <t>በለጠ ይልማ ወልደሃና /አቶ/</t>
  </si>
  <si>
    <t>4026</t>
  </si>
  <si>
    <t>Beletech Endeshaw /W/o/</t>
  </si>
  <si>
    <t>በለጠ እንደሻው /ወ/ኦ/</t>
  </si>
  <si>
    <t>4027</t>
  </si>
  <si>
    <t>Beleteshe Bade Bala /W/O/</t>
  </si>
  <si>
    <t>በለጠሸ ባደ ባለ /ወ/ሮ/</t>
  </si>
  <si>
    <t>4028</t>
  </si>
  <si>
    <t>Beletew Kefelegn Haile /Ato/</t>
  </si>
  <si>
    <t>በለጠው ከፈለኝ ሀይሌ /አቶ/</t>
  </si>
  <si>
    <t>0921-037878</t>
  </si>
  <si>
    <t>4029</t>
  </si>
  <si>
    <t>Beletew Lakew Mindahun /Ato/</t>
  </si>
  <si>
    <t>በለጠ ላቀው ምንድሁን /አቶ/</t>
  </si>
  <si>
    <t>4030</t>
  </si>
  <si>
    <t>Beletishachew Assefa Melaku /W/o/</t>
  </si>
  <si>
    <t>በለጥሻቸው አሰፋ መላኩ /ወ/ሮ/</t>
  </si>
  <si>
    <t>4031</t>
  </si>
  <si>
    <t>Beletshachew Asefa Melaku /Ato/</t>
  </si>
  <si>
    <t>በለጥሻቸዉ አሰፋ መላኩ /አቶ/</t>
  </si>
  <si>
    <t>0923-728861</t>
  </si>
  <si>
    <t>4032</t>
  </si>
  <si>
    <t>Beletshachew Worku Asfaw /W/o/ and/or Abebe W/mariam /Ato/</t>
  </si>
  <si>
    <t>በለጥሻቸዉ ወርቁ አስፋዉ /ወ/ሮ/ እና/ወይም አበበ ወ/ማርያም /አቶ/</t>
  </si>
  <si>
    <t>4033</t>
  </si>
  <si>
    <t>Beletu Admasu Taye /W/o/</t>
  </si>
  <si>
    <t>በለጡ አድማሱ ታየ /ወ/ሮ/</t>
  </si>
  <si>
    <t>0912-639958</t>
  </si>
  <si>
    <t>visibnclarityorganization2022Wgmail.com</t>
  </si>
  <si>
    <t>4034</t>
  </si>
  <si>
    <t>Beletu Debaba Mossa /W/o/</t>
  </si>
  <si>
    <t>በለጡ ዲባባ ሞሳ /ወ/ሮ/</t>
  </si>
  <si>
    <t>4035</t>
  </si>
  <si>
    <t>Beletu Enegedasew /W/o/</t>
  </si>
  <si>
    <t>በለጠ እንደገዳሰው /ወ/ኦ/</t>
  </si>
  <si>
    <t>4036</t>
  </si>
  <si>
    <t>Beletu Getachew Wakgira /W/</t>
  </si>
  <si>
    <t>በለጡ ጌታቸው ዋቅጂራ /ወ/</t>
  </si>
  <si>
    <t>0910-911306</t>
  </si>
  <si>
    <t>zemulu12@gmail.com</t>
  </si>
  <si>
    <t>4037</t>
  </si>
  <si>
    <t>4038</t>
  </si>
  <si>
    <t>4039</t>
  </si>
  <si>
    <t>Beleye Bekele  Basa /Ato/</t>
  </si>
  <si>
    <t xml:space="preserve">በላዬ በቀለ ባሳ /አቶ/ </t>
  </si>
  <si>
    <t>0916-618522</t>
  </si>
  <si>
    <t>4040</t>
  </si>
  <si>
    <t>Beleyine Neto Baranga /Ato/</t>
  </si>
  <si>
    <t>በላይነህ ነቶ ባራንጋ /አቶ/</t>
  </si>
  <si>
    <t>0940-507194</t>
  </si>
  <si>
    <t>4041</t>
  </si>
  <si>
    <t>Beleyu Tatek Ketema /W/t/</t>
  </si>
  <si>
    <t>በልዩ ታጠቅ ከተማ /ወ/ት/</t>
  </si>
  <si>
    <t>0911-481813</t>
  </si>
  <si>
    <t>4042</t>
  </si>
  <si>
    <t>Belguda Yememe (Ato)</t>
  </si>
  <si>
    <t>ባልጉዳ የመመ /አቶ/</t>
  </si>
  <si>
    <t>4043</t>
  </si>
  <si>
    <t>Belie Dagnew Baneti /Ato/</t>
  </si>
  <si>
    <t>በሌ ዳኛው ባንቲ /አቶ/</t>
  </si>
  <si>
    <t>0963-628753</t>
  </si>
  <si>
    <t>4044</t>
  </si>
  <si>
    <t>Belie Genanew /Ato/</t>
  </si>
  <si>
    <t>በሌ ገናነው /አቶ/</t>
  </si>
  <si>
    <t>0918-374774</t>
  </si>
  <si>
    <t>4045</t>
  </si>
  <si>
    <t>Belie Teshome Ewente /Ato/</t>
  </si>
  <si>
    <t>በሊ ተሾመ እውነቱ /አቶ/</t>
  </si>
  <si>
    <t>4046</t>
  </si>
  <si>
    <t>Belihu Asrate H/Mariam</t>
  </si>
  <si>
    <t>በልሁ አስራት ሀ/ማሪያም /አቶ/</t>
  </si>
  <si>
    <t>4047</t>
  </si>
  <si>
    <t>Belihu Mulu  Bisa /Ato/</t>
  </si>
  <si>
    <t>በሊሁ ሙሉ ቢሳ /አቶ/</t>
  </si>
  <si>
    <t>0911-672698</t>
  </si>
  <si>
    <t>4048</t>
  </si>
  <si>
    <t>Belika Asichale Mulu /Ato/</t>
  </si>
  <si>
    <t>በልኬ አስቻለ ሙሉ /አቶ/</t>
  </si>
  <si>
    <t>4049</t>
  </si>
  <si>
    <t>Belistie Chekol Mekonnen /Ato/</t>
  </si>
  <si>
    <t>በልስቲ ቸኮል መኮንን /አቶ/</t>
  </si>
  <si>
    <t>4050</t>
  </si>
  <si>
    <t>Belistie Worku Taye /Ato/</t>
  </si>
  <si>
    <t>በልስቲ ወርቁ ታየ /አቶ/</t>
  </si>
  <si>
    <t>4051</t>
  </si>
  <si>
    <t>Belisty Ayalew Alemu /Ato/</t>
  </si>
  <si>
    <t>በልሰተ አየሌው አለሙ /አቶ/</t>
  </si>
  <si>
    <t>4052</t>
  </si>
  <si>
    <t>Belisty Gashu /Kes/</t>
  </si>
  <si>
    <t>በልስቲ ጋሹ/ቄስ/</t>
  </si>
  <si>
    <t>4053</t>
  </si>
  <si>
    <t>Belisty Taye Dessi /Ato/</t>
  </si>
  <si>
    <t>በልስቲ ታየ ደሴ /አቶ/</t>
  </si>
  <si>
    <t>4054</t>
  </si>
  <si>
    <t>Beliyou Berja /W/o/</t>
  </si>
  <si>
    <t>በልዩ በርጃ /ወ/ሮ/</t>
  </si>
  <si>
    <t>0911-149088</t>
  </si>
  <si>
    <t>beliud75@gmail.com</t>
  </si>
  <si>
    <t>4055</t>
  </si>
  <si>
    <t>Beliyue Dessalegn Mosie /Ato/</t>
  </si>
  <si>
    <t>በልዩ ደሳለኝ ሞሴ /አቶ/</t>
  </si>
  <si>
    <t>4056</t>
  </si>
  <si>
    <t>Belka Humo  /Ato/</t>
  </si>
  <si>
    <t>በለካ ሁሞ /አቶ/</t>
  </si>
  <si>
    <t>4057</t>
  </si>
  <si>
    <t>Bella Beyene Seboka /W/t/</t>
  </si>
  <si>
    <t>ቤላ በየነ ሰቦቃ /ወ/ት/</t>
  </si>
  <si>
    <t>4058</t>
  </si>
  <si>
    <t>Bellete Alemu Bellete /Ato/</t>
  </si>
  <si>
    <t>በለጠ አለሙ በለጠ /አቶ/</t>
  </si>
  <si>
    <t>0939-960549-612-3330351</t>
  </si>
  <si>
    <t>senaywz2002@yahoo.com</t>
  </si>
  <si>
    <t>4059</t>
  </si>
  <si>
    <t>Bellete Gashaw Woldemariam /Ato/</t>
  </si>
  <si>
    <t>በለጠ ጋሻው ወልደማርያም /አቶ/</t>
  </si>
  <si>
    <t>0911-144466</t>
  </si>
  <si>
    <t>4060</t>
  </si>
  <si>
    <t>Belsti Mihret Aytenew /Ato/</t>
  </si>
  <si>
    <t>በልስቲ ምህረት አይተነዉ /አቶ/</t>
  </si>
  <si>
    <t>4061</t>
  </si>
  <si>
    <t>Belsti Shiferaw Fiten /Ato/</t>
  </si>
  <si>
    <t>በልሰቲ ሸፍራው ፈጠነ /አቶ/</t>
  </si>
  <si>
    <t>4062</t>
  </si>
  <si>
    <t>Belsty Kassie Tegegn /Ato/</t>
  </si>
  <si>
    <t>በልሰቲ ካሴ ተገኜ /አቶ/</t>
  </si>
  <si>
    <t>4063</t>
  </si>
  <si>
    <t>4064</t>
  </si>
  <si>
    <t>4065</t>
  </si>
  <si>
    <t>Bemnet Betesilassie W/yohannes /W/t/</t>
  </si>
  <si>
    <t>በእምነት ቤተሥላሴ ወ/ዮሀንስ /ወ/ሪት/</t>
  </si>
  <si>
    <t>4066</t>
  </si>
  <si>
    <t>4067</t>
  </si>
  <si>
    <t>Bemnet Debas Gebregergs /Ato/</t>
  </si>
  <si>
    <t>በእምነት ደባስ ገብረገርግስ /አቶ/</t>
  </si>
  <si>
    <t>4068</t>
  </si>
  <si>
    <t>Bemnet Endezaw Wegderesegn</t>
  </si>
  <si>
    <t xml:space="preserve">በእምነት እደዛው ወጋድረሰኝ </t>
  </si>
  <si>
    <t>4069</t>
  </si>
  <si>
    <t>Bemnet Sileshi Dejenu /Ato/</t>
  </si>
  <si>
    <t>በእምነት ስለሺ ደጀኔ /አቶ/</t>
  </si>
  <si>
    <t>4070</t>
  </si>
  <si>
    <t>Bena Hatso /Ato/</t>
  </si>
  <si>
    <t>በና ሀጥሶ /አቶ/</t>
  </si>
  <si>
    <t>4071</t>
  </si>
  <si>
    <t>Beniam Alem Ayele /Ato/ and/or Binyam Fikre Hailu  /Ato/</t>
  </si>
  <si>
    <t>ቢኒያም አለም አየለ /አቶ/ እና/ወይም ቢኒያም ፍቅሬ ሀይሉ /አቶ/</t>
  </si>
  <si>
    <t>0913-046515</t>
  </si>
  <si>
    <t>4072</t>
  </si>
  <si>
    <t>Beniyam Worku Husan /Ato/</t>
  </si>
  <si>
    <t>ቢኒያም ወርቁ ሁሴን /አቶ/</t>
  </si>
  <si>
    <t>0921-302940</t>
  </si>
  <si>
    <t>4073</t>
  </si>
  <si>
    <t>Benyam Abera Abebe /Ato/</t>
  </si>
  <si>
    <t>ቢኒያም አበራ አበበ /አቶ/</t>
  </si>
  <si>
    <t>0913-971536</t>
  </si>
  <si>
    <t>tsionyared21@gmail.com</t>
  </si>
  <si>
    <t>4074</t>
  </si>
  <si>
    <t>4075</t>
  </si>
  <si>
    <t>Benyam M. Yohannes /Ato/</t>
  </si>
  <si>
    <t>ቢኒያም ዮሀንስ /አቶ/</t>
  </si>
  <si>
    <t>0931-636451</t>
  </si>
  <si>
    <t>4076</t>
  </si>
  <si>
    <t>Benyam Mengistu /Ato/ and Fasika Adefris Tadesse /W/o/</t>
  </si>
  <si>
    <t>ቢኒያም መንግስቱ /አቶ/ እና ፋሲካ አደፍርስ ታደሰ /ወ/ሮ/</t>
  </si>
  <si>
    <t>0913-022996</t>
  </si>
  <si>
    <t>4077</t>
  </si>
  <si>
    <t>Benyam Tezera Balcha /Ato/</t>
  </si>
  <si>
    <t>ቢኒያም ተዘራ ባልቻ /አቶ/</t>
  </si>
  <si>
    <t>4078</t>
  </si>
  <si>
    <t>Benyam Yosef Eshete /Ato/</t>
  </si>
  <si>
    <t>ቢንያም ዮሴፍ እሸቴ /አቶ/</t>
  </si>
  <si>
    <t>0911-843983</t>
  </si>
  <si>
    <t>agenet57@gmail.com</t>
  </si>
  <si>
    <t>4079</t>
  </si>
  <si>
    <t>Bera Asefa Wendemo / W/O/</t>
  </si>
  <si>
    <t>ብሬ አሰፋ ወንድሙ /ወ/ሮ</t>
  </si>
  <si>
    <t>4080</t>
  </si>
  <si>
    <t>Bera Dengo Agago /Ato/</t>
  </si>
  <si>
    <t>ቤራ ዴንጎ አጋጎ /አቶ/</t>
  </si>
  <si>
    <t>4081</t>
  </si>
  <si>
    <t>Bera Getachew  Belay /Ato/</t>
  </si>
  <si>
    <t>በራ ጌታቸው በላይ /አቶ/</t>
  </si>
  <si>
    <t>4082</t>
  </si>
  <si>
    <t>Berbe Bekele Batie /Ato/</t>
  </si>
  <si>
    <t>በርቤ በቀለ ባቴ /አቶ/</t>
  </si>
  <si>
    <t>0916-135494</t>
  </si>
  <si>
    <t>4083</t>
  </si>
  <si>
    <t>Bere Ayalew Ewentu /Ato/</t>
  </si>
  <si>
    <t>ብሬ አያሌው እውነቱ /አቶ/</t>
  </si>
  <si>
    <t>4084</t>
  </si>
  <si>
    <t>Bere Biyazen Webe /Ato/</t>
  </si>
  <si>
    <t>በሬ ቢያዘን ወቤ /አቶ/</t>
  </si>
  <si>
    <t>4085</t>
  </si>
  <si>
    <t>Bere Tesga Negatu  /Ato/</t>
  </si>
  <si>
    <t>ብሬ ተስጋ ንጋቱ /አቶ/</t>
  </si>
  <si>
    <t>4086</t>
  </si>
  <si>
    <t>Bereber Tamire Kassa /Ato/</t>
  </si>
  <si>
    <t>በረብር ታምሬ ካሳ /አቶ/</t>
  </si>
  <si>
    <t>4087</t>
  </si>
  <si>
    <t>Bereded Belachew Workie /Ato/</t>
  </si>
  <si>
    <t>በረደድ በላቸው ወርቄ /አቶ/</t>
  </si>
  <si>
    <t>4088</t>
  </si>
  <si>
    <t>Beregene Bafa Ureko /Ato/</t>
  </si>
  <si>
    <t>በረርገነ ባፍ ኡርቆ /አቶ/</t>
  </si>
  <si>
    <t>4089</t>
  </si>
  <si>
    <t>Beregene Bale /Ato/</t>
  </si>
  <si>
    <t>በረገነት ባሌ /አቶ/</t>
  </si>
  <si>
    <t>4090</t>
  </si>
  <si>
    <t>Berehanu Feleke Mengesha /Ato/</t>
  </si>
  <si>
    <t>ብርሃኑ ፈለቀ መንገሻ /አቶ/</t>
  </si>
  <si>
    <t>4091</t>
  </si>
  <si>
    <t>Berehanu Tadese Gata /Ato/</t>
  </si>
  <si>
    <t>ብርሀኑ ታደሰ ጋታ /አቶ/</t>
  </si>
  <si>
    <t>4092</t>
  </si>
  <si>
    <t>Bereket Alemu Fetene /Ato</t>
  </si>
  <si>
    <t>በረከት አለሙ ፈጠነ /አቶ/</t>
  </si>
  <si>
    <t>0963-494949
0911222810</t>
  </si>
  <si>
    <t>bereketalemu@gmail.com</t>
  </si>
  <si>
    <t>4093</t>
  </si>
  <si>
    <t>Bereket Asaye Temesgen /Ato/</t>
  </si>
  <si>
    <t>በርከት አሳየ ተመሰጌን /አቶ/</t>
  </si>
  <si>
    <t>4094</t>
  </si>
  <si>
    <t>Bereket Asfaw Zewede /Ato/</t>
  </si>
  <si>
    <t>በረከት አስፋው ዘውዴ /አቶ/</t>
  </si>
  <si>
    <t>348-755-3291</t>
  </si>
  <si>
    <t>graseyus2@gmail.com</t>
  </si>
  <si>
    <t>4095</t>
  </si>
  <si>
    <t>Bereket Assefa Guya /Ato/</t>
  </si>
  <si>
    <t>በረከት አሰፋ ጉያ /አቶ/</t>
  </si>
  <si>
    <t>4096</t>
  </si>
  <si>
    <t>Bereket Bassa /Ato/</t>
  </si>
  <si>
    <t>በረከት ባሳ /አቶ/</t>
  </si>
  <si>
    <t>4097</t>
  </si>
  <si>
    <t>Bereket Bekedo Shalo /W/O/</t>
  </si>
  <si>
    <t>በረከት በቄዶ ሻሎ/ወ/ሮ/</t>
  </si>
  <si>
    <t>4098</t>
  </si>
  <si>
    <t>Bereket Bekele Faltamo /Ato/</t>
  </si>
  <si>
    <t>በረከት በቀለ ፋልታሞ /አቶ/</t>
  </si>
  <si>
    <t>0922-174894</t>
  </si>
  <si>
    <t>4099</t>
  </si>
  <si>
    <t>Bereket Belete Abera /Ato/</t>
  </si>
  <si>
    <t>በረከት በለጠ አበራ /አቶ/</t>
  </si>
  <si>
    <t>0988-515232/0963-728431</t>
  </si>
  <si>
    <t>girmaghana@gmail.com</t>
  </si>
  <si>
    <t>4100</t>
  </si>
  <si>
    <t>Bereket Berihun Melesse /Ato/</t>
  </si>
  <si>
    <t>በረከት በሪሁን መሰለ /አቶ/</t>
  </si>
  <si>
    <t>0911-367132</t>
  </si>
  <si>
    <t>4101</t>
  </si>
  <si>
    <t>Bereket Beyene Banti /Ato/</t>
  </si>
  <si>
    <t>በረከት በየነ ባንቲ /አቶ/</t>
  </si>
  <si>
    <t>0921-268426</t>
  </si>
  <si>
    <t>4102</t>
  </si>
  <si>
    <t>Bereket Beyene Getahun /Ato/</t>
  </si>
  <si>
    <t>በረከት በየነ ጌታሁን /አቶ/</t>
  </si>
  <si>
    <t>0913773976
0911404385</t>
  </si>
  <si>
    <t>4103</t>
  </si>
  <si>
    <t>Bereket Dansa Zema /Ato/</t>
  </si>
  <si>
    <t>በረከት ዳንሳ ዜማ /አቶ/</t>
  </si>
  <si>
    <t>4104</t>
  </si>
  <si>
    <t>Bereket Dereje Belay /Ato/</t>
  </si>
  <si>
    <t>በረከት ደረጀ በላይ /አቶ/</t>
  </si>
  <si>
    <t>0911-178907</t>
  </si>
  <si>
    <t>4105</t>
  </si>
  <si>
    <t>Bereket Enaso Ejajo /Ato/</t>
  </si>
  <si>
    <t>በረከት ኢናሶ ኢጃጆ /አቶ/</t>
  </si>
  <si>
    <t>0911-215342</t>
  </si>
  <si>
    <t>4106</t>
  </si>
  <si>
    <t>Bereket Esatu Tumiso /Ato/</t>
  </si>
  <si>
    <t>በረከት እሳቱ ቱሜሶ /አቶ/</t>
  </si>
  <si>
    <t>0986-248521</t>
  </si>
  <si>
    <t>bekiesatu@gmail.com</t>
  </si>
  <si>
    <t>4107</t>
  </si>
  <si>
    <t>Bereket Eshetu Mala /Ato/</t>
  </si>
  <si>
    <t>በረከት እሸቱ ማላ /አቶ/</t>
  </si>
  <si>
    <t>0920-201540</t>
  </si>
  <si>
    <t>4108</t>
  </si>
  <si>
    <t>Bereket Eshetu Negusse  /W/o/</t>
  </si>
  <si>
    <t>በረከት እሸቱ ንጉሴ /ወ/ሮ/</t>
  </si>
  <si>
    <t>4109</t>
  </si>
  <si>
    <t>Bereket Fako /Ato/</t>
  </si>
  <si>
    <t>በረከት ፋኮ /አቶቶ</t>
  </si>
  <si>
    <t>0993-896935</t>
  </si>
  <si>
    <t>4110</t>
  </si>
  <si>
    <t>Bereket G/Selassie Worota /Ato/</t>
  </si>
  <si>
    <t>በረከት ገ/ስላሴ ወሮታ /አቶ/</t>
  </si>
  <si>
    <t>4111</t>
  </si>
  <si>
    <t>Bereket G/selassie Yihdego /Ato/</t>
  </si>
  <si>
    <t>በረከት ገ/ስላሴ /አቶ/</t>
  </si>
  <si>
    <t>4112</t>
  </si>
  <si>
    <t>Bereket Gashaw Kebede /Ato/</t>
  </si>
  <si>
    <t>በረከት ጋሻዉ ከበደ /አቶ/</t>
  </si>
  <si>
    <t>0946-707707</t>
  </si>
  <si>
    <t>4113</t>
  </si>
  <si>
    <t>Bereket Girma Haile /Ato/</t>
  </si>
  <si>
    <t>በረከት ግርማ ኃይሌ /አቶ/</t>
  </si>
  <si>
    <t>4114</t>
  </si>
  <si>
    <t>Bereket Hailu Mulu /W/o/</t>
  </si>
  <si>
    <t>በረከት ሀይሉ ሙሉ /ወ/ሮ/</t>
  </si>
  <si>
    <t>0911-893622</t>
  </si>
  <si>
    <t>4115</t>
  </si>
  <si>
    <t>Bereket Jufar Boru /Ato/</t>
  </si>
  <si>
    <t>በረከት ጁፋር ቦሩ /አቶ/</t>
  </si>
  <si>
    <t>4116</t>
  </si>
  <si>
    <t>Bereket Kelati /Ato/ Markezan Bereket /Minor/</t>
  </si>
  <si>
    <t>በረከት ቀላቲ /አቶ/ ማርኬዛን በረከት /ህፃን/</t>
  </si>
  <si>
    <t>4117</t>
  </si>
  <si>
    <t>Bereket Legesse /Ato/ and/or Rahel Wesnachew /W/o/</t>
  </si>
  <si>
    <t>በረከት ለገሠ /አቶ/ እና/ወይም ራሄል ወስናቸው /ወ/ሮ/</t>
  </si>
  <si>
    <t>0932-251212/0912-853434</t>
  </si>
  <si>
    <t>4118</t>
  </si>
  <si>
    <t>Bereket Lemma Bekele /Ato/</t>
  </si>
  <si>
    <t>በረከት ለማ በቀለ /አቶ/</t>
  </si>
  <si>
    <t>0913-473699</t>
  </si>
  <si>
    <t>4119</t>
  </si>
  <si>
    <t>Bereket Melese Zebrie /W/o/</t>
  </si>
  <si>
    <t xml:space="preserve"> በረከት መለሰ ዘብሬ /ወ/ሮ/</t>
  </si>
  <si>
    <t>0973-360601</t>
  </si>
  <si>
    <t>tadessewatola@gmail.com
tadessawaro</t>
  </si>
  <si>
    <t>4120</t>
  </si>
  <si>
    <t>Bereket Melka Bejga /Ato/</t>
  </si>
  <si>
    <t>በረከት መልካ በጅጋ /አቶ/</t>
  </si>
  <si>
    <t>4121</t>
  </si>
  <si>
    <t>Bereket Mengistu Belay /Ato/</t>
  </si>
  <si>
    <t>በረከት መንግስቱ /አቶ/</t>
  </si>
  <si>
    <t>0912-070785</t>
  </si>
  <si>
    <t>4122</t>
  </si>
  <si>
    <t>Bereket Molla Sendeku /Ato/</t>
  </si>
  <si>
    <t>በረከት ሞላ ሰንደቁ /አቶ/</t>
  </si>
  <si>
    <t>4123</t>
  </si>
  <si>
    <t>Bereket Mulugeta Haile /Ato/</t>
  </si>
  <si>
    <t>በረከት ሙሉጌታ ኃይሌ /አቶ/</t>
  </si>
  <si>
    <t>4124</t>
  </si>
  <si>
    <t>Bereket Tariku /Ato/</t>
  </si>
  <si>
    <t>በረከት ታሪኩ /አቶ/</t>
  </si>
  <si>
    <t>0911-221606</t>
  </si>
  <si>
    <t>4125</t>
  </si>
  <si>
    <t>Bereket Welibo /Ato/</t>
  </si>
  <si>
    <t>በረከት ወሊቦ /አቶ/</t>
  </si>
  <si>
    <t>0930-748622</t>
  </si>
  <si>
    <t>4126</t>
  </si>
  <si>
    <t>Bereket Workneh /Ato/ For Ruhama Bereket  /Minor/</t>
  </si>
  <si>
    <t>በረከት ወርቅነህ /አቶ/ ለሩሃማ በረከት ወርቅነህ  /ህፃን/</t>
  </si>
  <si>
    <t>4127</t>
  </si>
  <si>
    <t>Bereket Yakob /Ato/</t>
  </si>
  <si>
    <t>በረከት ያዕቆብ /አቶ/</t>
  </si>
  <si>
    <t>0927-259948</t>
  </si>
  <si>
    <t>4128</t>
  </si>
  <si>
    <t>Bereket Yonas /Ato/</t>
  </si>
  <si>
    <t>በረከት ዮሃንስ /አቶ/</t>
  </si>
  <si>
    <t>4129</t>
  </si>
  <si>
    <t>Bereketab Birhanu Deneke /Ato/</t>
  </si>
  <si>
    <t>በረከትአብ ብርሃኑ ደነቀ /አቶ/</t>
  </si>
  <si>
    <t>0969-427958</t>
  </si>
  <si>
    <t>4130</t>
  </si>
  <si>
    <t>Bereketab Fikadu Hassen /Ato/</t>
  </si>
  <si>
    <t>በረከትአብ ፍቃዱ  ሀሰን /አቶ/</t>
  </si>
  <si>
    <t>4131</t>
  </si>
  <si>
    <t>Bereketeab Alemaye</t>
  </si>
  <si>
    <t>በረከተአብ አታለል ካሣ/አቶ/</t>
  </si>
  <si>
    <t>4132</t>
  </si>
  <si>
    <t>Bereketeab Atalel Kassa /Ato/</t>
  </si>
  <si>
    <t>በረከተአብ አታለል ካሣ /አቶ/</t>
  </si>
  <si>
    <t>0920-771513</t>
  </si>
  <si>
    <t>fgetahun@yahoo.com</t>
  </si>
  <si>
    <t>4133</t>
  </si>
  <si>
    <t>Bergene Balcha /Ato/</t>
  </si>
  <si>
    <t>በርጌነ ባልቻ /አቶ/</t>
  </si>
  <si>
    <t>4134</t>
  </si>
  <si>
    <t>Bergene Balcha Basa /Ato/</t>
  </si>
  <si>
    <t>በርጌኔ ባልቻ ባሳ /አቶ/</t>
  </si>
  <si>
    <t>0986-093594</t>
  </si>
  <si>
    <t>4135</t>
  </si>
  <si>
    <t>Bergene Bandaw /Ato/</t>
  </si>
  <si>
    <t>በርጌነ ባንዳው ሄባና /አቶ/</t>
  </si>
  <si>
    <t>0940-430202</t>
  </si>
  <si>
    <t>4136</t>
  </si>
  <si>
    <t>Bergene Bantero /Ato/</t>
  </si>
  <si>
    <t>በርገን ባንቴሮ /አቶ/</t>
  </si>
  <si>
    <t>4137</t>
  </si>
  <si>
    <t>Bergene Basa Geta /Ato/</t>
  </si>
  <si>
    <t>በርገነ ባሣ ጌታ /አቶ/</t>
  </si>
  <si>
    <t>0947-221198</t>
  </si>
  <si>
    <t>4138</t>
  </si>
  <si>
    <t>Bergene Oda /Ato/</t>
  </si>
  <si>
    <t>በርገነ ኦዳ /አቶ/</t>
  </si>
  <si>
    <t>0916-179424</t>
  </si>
  <si>
    <t>4139</t>
  </si>
  <si>
    <t>Bergude Basa Ololo/Ato/</t>
  </si>
  <si>
    <t>ቤርጉዴ ባሳ ኦሎሎ/አቶ/</t>
  </si>
  <si>
    <t>4140</t>
  </si>
  <si>
    <t>Bergude Bukulo Chorfo /Ato/</t>
  </si>
  <si>
    <t>በርጎዴ ቡኩሎ ጮርፎ /አቶ/</t>
  </si>
  <si>
    <t>0974-205943</t>
  </si>
  <si>
    <t>4141</t>
  </si>
  <si>
    <t>4142</t>
  </si>
  <si>
    <t>Berhan Misganaw Mekonen /Ato/</t>
  </si>
  <si>
    <t>ብርሃን ምስጋናው መኮንን /አቶ/</t>
  </si>
  <si>
    <t>4143</t>
  </si>
  <si>
    <t>Berhan Seyoum W/Tsadik /W/t/</t>
  </si>
  <si>
    <t>ብርሃን ስዩም ወ/ፃዲቅ /ወ/ት/</t>
  </si>
  <si>
    <t>0912-158620</t>
  </si>
  <si>
    <t>4144</t>
  </si>
  <si>
    <t>Berhan Taye Mekonnen /W/o/</t>
  </si>
  <si>
    <t>ብርሃን ታዬ መኮንን /ወ/ሮ/</t>
  </si>
  <si>
    <t>0919-152239</t>
  </si>
  <si>
    <t>4145</t>
  </si>
  <si>
    <t>Berhan Wale Simegn /Ato/</t>
  </si>
  <si>
    <t>ብርሃን ዋለ ስሜኝ /አቶ/</t>
  </si>
  <si>
    <t>0913-973066</t>
  </si>
  <si>
    <t>4146</t>
  </si>
  <si>
    <t>Berhane Abebe Gultimt /Ato/</t>
  </si>
  <si>
    <t>ብርሃኔ አበበ ጉልተሚት /ወ/ሮ/</t>
  </si>
  <si>
    <t>0939-125612</t>
  </si>
  <si>
    <t>4147</t>
  </si>
  <si>
    <t>Berhane Begashaw Gurmessa /W/o/</t>
  </si>
  <si>
    <t>ብርሃኔ በጋሻዉ ጉርሜሣ /ወ/ሮ/</t>
  </si>
  <si>
    <t>4148</t>
  </si>
  <si>
    <t>Berhane Chicha Shenkutie /Ato/</t>
  </si>
  <si>
    <t>ብርሃነ ቺቻ ሸንቁቴይ /አቶ/</t>
  </si>
  <si>
    <t>4149</t>
  </si>
  <si>
    <t xml:space="preserve">Berhane Degefu Debela </t>
  </si>
  <si>
    <t>ብርሃኔ ደገፉ ደበላ</t>
  </si>
  <si>
    <t>0911-142440</t>
  </si>
  <si>
    <t>4150</t>
  </si>
  <si>
    <t>Berhane Demma Urga /W/o/</t>
  </si>
  <si>
    <t>ብርሀኔ ደማ ኡርጋ /ወ/ሮ/</t>
  </si>
  <si>
    <t>0911-001759</t>
  </si>
  <si>
    <t>4151</t>
  </si>
  <si>
    <t>Berhane Getaneh Mekonnen /W/t</t>
  </si>
  <si>
    <t>ብርሃኔ ጌታነህ መኮንን /ወ/ሮ/</t>
  </si>
  <si>
    <t>0923-047172</t>
  </si>
  <si>
    <t>4152</t>
  </si>
  <si>
    <t>Berhane Hailu Deyas /W/T/</t>
  </si>
  <si>
    <t>ብርሄኔ ሀይሉ ደያስ /ወ/ት/</t>
  </si>
  <si>
    <t>0910-290478</t>
  </si>
  <si>
    <t>mesaydeyas@gmail.com</t>
  </si>
  <si>
    <t>4153</t>
  </si>
  <si>
    <t xml:space="preserve">Berhane Tadesse Mengistu </t>
  </si>
  <si>
    <t xml:space="preserve">ብርሃኔ ታደሰ መንግስቱ </t>
  </si>
  <si>
    <t>0911-335364
0993-811641</t>
  </si>
  <si>
    <t>4154</t>
  </si>
  <si>
    <t>Berhane Wondimu Demissie /W/t/</t>
  </si>
  <si>
    <t>ብርሃኔ ወንድሙ ደምሴ /ወ/ት/</t>
  </si>
  <si>
    <t>4155</t>
  </si>
  <si>
    <t>Berhanesh Belete /W/O/</t>
  </si>
  <si>
    <t>ብርሃነሽ ብልጤ /ወ/ሮ/</t>
  </si>
  <si>
    <t>0990-580855</t>
  </si>
  <si>
    <t>4156</t>
  </si>
  <si>
    <t>Berhanu Abate Niguse /Ato/</t>
  </si>
  <si>
    <t>ብርሃኑ አባቴ ንጉሴ /አቶ/</t>
  </si>
  <si>
    <t>4157</t>
  </si>
  <si>
    <t>Berhanu Agalu Amesalu /Ato/</t>
  </si>
  <si>
    <t xml:space="preserve"> ብርሃኑ አጋሉ አመሰሉ /አቶ/</t>
  </si>
  <si>
    <t>4158</t>
  </si>
  <si>
    <t>Berhanu Asheku Asale /Ato/</t>
  </si>
  <si>
    <t>ብርሃኑ አሸኩ አሳሌ /አቶ/</t>
  </si>
  <si>
    <t>4159</t>
  </si>
  <si>
    <t>Berhanu Asrat Belay /Ato/</t>
  </si>
  <si>
    <t>ብርሃኑ አስራት በላይ /አቶ/</t>
  </si>
  <si>
    <t>0911-695429</t>
  </si>
  <si>
    <t>4160</t>
  </si>
  <si>
    <t>Berhanu Ayecheh Abeje /Ato/</t>
  </si>
  <si>
    <t>ብርሃኑ አየቸህ አበጀ /አቶ/</t>
  </si>
  <si>
    <t>4161</t>
  </si>
  <si>
    <t>Berhanu Bayu Takile /Ato/</t>
  </si>
  <si>
    <t xml:space="preserve">ብርሃኑ ታክሌ /አቶ/ </t>
  </si>
  <si>
    <t>4162</t>
  </si>
  <si>
    <t>Berhanu Bebiso Ololo /Ato/</t>
  </si>
  <si>
    <t>ብርሀኑ ብቢሶ ኦሎሎ /አቶ/</t>
  </si>
  <si>
    <t>4163</t>
  </si>
  <si>
    <t>Berhanu Bekele Haneka /Ato/</t>
  </si>
  <si>
    <t>ብርሃኑ በቀለ ሀንቃ /አቶ/</t>
  </si>
  <si>
    <t>4164</t>
  </si>
  <si>
    <t>Berhanu Degeso Golo /Ato/</t>
  </si>
  <si>
    <t>ብርሀኑ ደግሶ ጎሎ /አቶ/</t>
  </si>
  <si>
    <t>0924-655797</t>
  </si>
  <si>
    <t>4165</t>
  </si>
  <si>
    <t>Berhanu Denkew /Ato/</t>
  </si>
  <si>
    <t>ብርሃኑ ደንቀው /አቶ/</t>
  </si>
  <si>
    <t>4166</t>
  </si>
  <si>
    <t>Berhanu Dibaba Kuma /Amb.Dr/</t>
  </si>
  <si>
    <t>ብርሃኑ ዲባባ ኩማ /አምባሳደር/ ዶ/ር</t>
  </si>
  <si>
    <t>0913-742706</t>
  </si>
  <si>
    <t>4167</t>
  </si>
  <si>
    <t>Berhanu Feleke W/Mariam /Ato/</t>
  </si>
  <si>
    <t>ብርሃኑ ፈለቀ ወ/ማርየም /አቶ/</t>
  </si>
  <si>
    <t>0911-164810</t>
  </si>
  <si>
    <t>4168</t>
  </si>
  <si>
    <t>Berhanu G/Mariam Sebhere /Dr./</t>
  </si>
  <si>
    <t>ብርሃኑ ገ/ማርያም ሰብህሬ /ዶ/ር</t>
  </si>
  <si>
    <t>0911-707068</t>
  </si>
  <si>
    <t>4169</t>
  </si>
  <si>
    <t>Berhanu Genet Amebahun /Ato/</t>
  </si>
  <si>
    <t>ብርሃኑ ገነት አመባሁን /አቶ/</t>
  </si>
  <si>
    <t>4170</t>
  </si>
  <si>
    <t>Berhanu Haile Ergetie /Dr./</t>
  </si>
  <si>
    <t>ብርሃኑ ኃይሌ እርገጤ /ዶር./</t>
  </si>
  <si>
    <t>berhanu628871@gmail.com</t>
  </si>
  <si>
    <t>4171</t>
  </si>
  <si>
    <t>Berhanu Hursa Simme /Ato/</t>
  </si>
  <si>
    <t>ብርሃኑ ሁርሣ ስሜ /አቶ/</t>
  </si>
  <si>
    <t>0911-632931</t>
  </si>
  <si>
    <t>4172</t>
  </si>
  <si>
    <t>Berhanu Kebede Gashu /Ato/</t>
  </si>
  <si>
    <t>ብርሃኑ ከበደ ጋሹ /አቶ/</t>
  </si>
  <si>
    <t>0921-747366</t>
  </si>
  <si>
    <t>4173</t>
  </si>
  <si>
    <t>Berhanu Kidane Tadesse /Ato/</t>
  </si>
  <si>
    <t>ብርሀኑ ኪዳኔ ታደሰ /አቶ/</t>
  </si>
  <si>
    <t>0944-738678</t>
  </si>
  <si>
    <t>4174</t>
  </si>
  <si>
    <t>Berhanu Megerssa Zergaw  /Ato/</t>
  </si>
  <si>
    <t>ብርሃኑ መገርሳ ዘርጋዉ /አቶ/</t>
  </si>
  <si>
    <t>0947-874878</t>
  </si>
  <si>
    <t>obsa.2004@gmail.com</t>
  </si>
  <si>
    <t>4175</t>
  </si>
  <si>
    <t>Berhanu Meteka Gubaro /Ato/</t>
  </si>
  <si>
    <t>ብርሀኑ ምትካ ጉባሮ /አቶ/</t>
  </si>
  <si>
    <t>4176</t>
  </si>
  <si>
    <t>4177</t>
  </si>
  <si>
    <t>Berhanu Negash Bashe /Ato/</t>
  </si>
  <si>
    <t>ብርሀኑ ነጋሽ በሽ /አቶ/</t>
  </si>
  <si>
    <t>0920-711626</t>
  </si>
  <si>
    <t>4178</t>
  </si>
  <si>
    <t>Berhanu Nurelign Tegen /Ato/</t>
  </si>
  <si>
    <t>ብርሃኑ ኑርልኝ ተገኘ /አቶ/</t>
  </si>
  <si>
    <t>4179</t>
  </si>
  <si>
    <t>Berhanu Salilih Moges/Ato/</t>
  </si>
  <si>
    <t>ብርሃኑ ሳሊህ ሞገስ/አቶ/</t>
  </si>
  <si>
    <t>4180</t>
  </si>
  <si>
    <t>Berhanu T/Michael Kibebew /Ato/</t>
  </si>
  <si>
    <t>ብርሃኑ ተ/ሚካኤል ክበበው /አቶ/</t>
  </si>
  <si>
    <t>0911-984384</t>
  </si>
  <si>
    <t>tvberhan@gmail.com</t>
  </si>
  <si>
    <t>4181</t>
  </si>
  <si>
    <t>Berhanu Tadess Taye /Dr/</t>
  </si>
  <si>
    <t>ብርሃኑ ታደሰ ታዬ /ዶ/ር/</t>
  </si>
  <si>
    <t>0911-218160</t>
  </si>
  <si>
    <t>mulerbsada@gmail.com</t>
  </si>
  <si>
    <t>4182</t>
  </si>
  <si>
    <t>Berhanu Tadesse Taye /D/r/</t>
  </si>
  <si>
    <t>0901-948545</t>
  </si>
  <si>
    <t>4183</t>
  </si>
  <si>
    <t>Berhanu Tamerat Atew /Ato/</t>
  </si>
  <si>
    <t>ብርሀኑ ታምራት አተው /አቶ/</t>
  </si>
  <si>
    <t>4184</t>
  </si>
  <si>
    <t>Berhanu Tekle Balcha /Dr/</t>
  </si>
  <si>
    <t>ብርሃኑ ተክሌ ባልቻ /ዶር/</t>
  </si>
  <si>
    <t>0911-226135</t>
  </si>
  <si>
    <t>ytohewow@gmail.com</t>
  </si>
  <si>
    <t>4185</t>
  </si>
  <si>
    <t>Berhanu Temesgen Mehiret /Ato/</t>
  </si>
  <si>
    <t>ብርሀኑ ተመስገን ምሕረት /አቶ/</t>
  </si>
  <si>
    <t>4186</t>
  </si>
  <si>
    <t>Berhanu Tesfaye Misgana /Ato/</t>
  </si>
  <si>
    <t>ብርሃኑ ተስፋዬ ምስጋና /አቶ/</t>
  </si>
  <si>
    <t>0911-527670</t>
  </si>
  <si>
    <t>4187</t>
  </si>
  <si>
    <t>Berhanu Teshome G/Medhin /Ato/</t>
  </si>
  <si>
    <t>ብርሀኑ ተሾመ ገብረመድህን /አቶ/</t>
  </si>
  <si>
    <t>0977-770267</t>
  </si>
  <si>
    <t>4188</t>
  </si>
  <si>
    <t>Berhanu Teshome Hika /Ato/</t>
  </si>
  <si>
    <t>ብርሃኑ ሂቃ ተሾመ /አቶ/</t>
  </si>
  <si>
    <t>0911-480117</t>
  </si>
  <si>
    <t>birhanamg@yahoo.com</t>
  </si>
  <si>
    <t>4189</t>
  </si>
  <si>
    <t>Berhanu Wenjela Wayso /Ato/</t>
  </si>
  <si>
    <t>ብርሀኑ ወንጀላ ዋይሶ /አቶ/</t>
  </si>
  <si>
    <t>4190</t>
  </si>
  <si>
    <t>Berhena Bassaznew /W/o/ For Sabek Getachew Tulu /Minor/</t>
  </si>
  <si>
    <t>ብርሃኔ ባሳዝን  /ወ/ሮ/ ለሳቤቅ ጌታቸው ቱሉ /ህፃን/</t>
  </si>
  <si>
    <t>4191</t>
  </si>
  <si>
    <t>Berie Ayelew /Ato/</t>
  </si>
  <si>
    <t>በሬ አያሌው /አቶ/</t>
  </si>
  <si>
    <t>4192</t>
  </si>
  <si>
    <t>Berie Biyadigligne /Ato/</t>
  </si>
  <si>
    <t>በሬ ቢያድግልኝ /አቶ/</t>
  </si>
  <si>
    <t>4193</t>
  </si>
  <si>
    <t>Berie Kassie Terefe /Ato/</t>
  </si>
  <si>
    <t>በሬ ካሴ ተረፈ /አቶ/</t>
  </si>
  <si>
    <t>4194</t>
  </si>
  <si>
    <t>Berie Melkie Zemen /Ato/</t>
  </si>
  <si>
    <t>በሬ መልኬ ዘመን /አቶ/</t>
  </si>
  <si>
    <t>0918-621249</t>
  </si>
  <si>
    <t>4195</t>
  </si>
  <si>
    <t>Berigene Buche /Ato/</t>
  </si>
  <si>
    <t>በርጌነ ቡቾ  /አቶ/</t>
  </si>
  <si>
    <t>0922-457427</t>
  </si>
  <si>
    <t>4196</t>
  </si>
  <si>
    <t>4197</t>
  </si>
  <si>
    <t>Berihun Adimasu Mersha /Ato/</t>
  </si>
  <si>
    <t>በርሃን አድማሱ መርሻ /አቶ/</t>
  </si>
  <si>
    <t>4198</t>
  </si>
  <si>
    <t>Berihun Alehegn Kase /Ato/</t>
  </si>
  <si>
    <t>በሪሁን አለኸኝ ካሴ/አቶ/</t>
  </si>
  <si>
    <t>4199</t>
  </si>
  <si>
    <t>4200</t>
  </si>
  <si>
    <t>Berihun Dinesa /Ato/</t>
  </si>
  <si>
    <t>በሪሁን ድንሳ /አቶ/</t>
  </si>
  <si>
    <t>4201</t>
  </si>
  <si>
    <t>Berihun Getie Alem /Ato/</t>
  </si>
  <si>
    <t>በሪሁን ጌጤ አለም /አቶ/</t>
  </si>
  <si>
    <t>4202</t>
  </si>
  <si>
    <t>Berihun Lakew /Ato/</t>
  </si>
  <si>
    <t xml:space="preserve">በሪሁን ላቀው /አቶ/ </t>
  </si>
  <si>
    <t>4203</t>
  </si>
  <si>
    <t>Berihun Tadesse Awoke /Ato/</t>
  </si>
  <si>
    <t>በሪሁን ታደሰ አወቀ /አቶ/</t>
  </si>
  <si>
    <t>4204</t>
  </si>
  <si>
    <t>Berisa Guye /Ato/</t>
  </si>
  <si>
    <t>በሪሳ ጉየ አረሰ /አቶ/</t>
  </si>
  <si>
    <t>0910-1410614</t>
  </si>
  <si>
    <t>4205</t>
  </si>
  <si>
    <t>Beriso Kufiso Buruso /Ato/</t>
  </si>
  <si>
    <t>በርሶ ኩፍሶ ቡሩሶ /አቶ/</t>
  </si>
  <si>
    <t>0916-451616</t>
  </si>
  <si>
    <t>4206</t>
  </si>
  <si>
    <t>Berket Bafa Tegro /Ato/</t>
  </si>
  <si>
    <t>በረከት ባፋ ትግሮ /አቶ/</t>
  </si>
  <si>
    <t>0936-504403</t>
  </si>
  <si>
    <t>4207</t>
  </si>
  <si>
    <t>Berket Basa Geta /Ato/</t>
  </si>
  <si>
    <t>በረከት ባሳ ጌታ /አቶ/</t>
  </si>
  <si>
    <t>4208</t>
  </si>
  <si>
    <t>Berket Beyene Getahun /Ato/</t>
  </si>
  <si>
    <t>0911-404385</t>
  </si>
  <si>
    <t>4209</t>
  </si>
  <si>
    <t>Berket Demise (Ato)</t>
  </si>
  <si>
    <t>በርከት ደምሴ /አቶ/</t>
  </si>
  <si>
    <t>4210</t>
  </si>
  <si>
    <t>Bernadette Karl Mossamer /W/t/</t>
  </si>
  <si>
    <t>በርናዴት ካርል ሞሳመር /ወ/ት/</t>
  </si>
  <si>
    <t>4211</t>
  </si>
  <si>
    <t>Bersabeh Ashebir /W/</t>
  </si>
  <si>
    <t>ቤርሳቤህ አሸብር /ወ/</t>
  </si>
  <si>
    <t>0911-411472</t>
  </si>
  <si>
    <t>4212</t>
  </si>
  <si>
    <t>Bersisa Teresa Serbesa /Ato/</t>
  </si>
  <si>
    <t>በርሲሳ ተሬሳ ሰርቤሳ /አቶ/</t>
  </si>
  <si>
    <t>0913-610770</t>
  </si>
  <si>
    <t>4213</t>
  </si>
  <si>
    <t>Bertukan Fekade Haile /W/t/</t>
  </si>
  <si>
    <t>ብርቱካን ፈቃደ ሀይሌ /ወ/ት/</t>
  </si>
  <si>
    <t>0922-449403</t>
  </si>
  <si>
    <t>4214</t>
  </si>
  <si>
    <t>Beruk Abraham Geberie /Ato/</t>
  </si>
  <si>
    <t>ብሩክ አብርሃም ገብሬ /አቶ/</t>
  </si>
  <si>
    <t>4215</t>
  </si>
  <si>
    <t>4216</t>
  </si>
  <si>
    <t>Beruk Menda Tara /Ato/</t>
  </si>
  <si>
    <t>በሩክ ሜንዳ ታራ /አቶ/</t>
  </si>
  <si>
    <t>4217</t>
  </si>
  <si>
    <t>Beruk Mengesha Mesfin /Ato/</t>
  </si>
  <si>
    <t>ብሩክ መንገሻ መስፍን /አቶ/</t>
  </si>
  <si>
    <t>0910-429244</t>
  </si>
  <si>
    <t>4218</t>
  </si>
  <si>
    <t>Beruk Mengesha Mesfin /Ato/ and/or Ephrem Abebe /Ato/</t>
  </si>
  <si>
    <t>ብሩክ መንገሻ መስፍን /አቶ/ እና/ወይም ኤፍሬም አበበ /አቶ/</t>
  </si>
  <si>
    <t>0911-414954</t>
  </si>
  <si>
    <t>berukm@gmail.com</t>
  </si>
  <si>
    <t>4219</t>
  </si>
  <si>
    <t>Beruke Sharew Akelilu /Ato/</t>
  </si>
  <si>
    <t>ብሩክ ሻረው አክሊሉ /አቶ/</t>
  </si>
  <si>
    <t>720-3659075</t>
  </si>
  <si>
    <t>mussemaabdo@gmail.com</t>
  </si>
  <si>
    <t>4220</t>
  </si>
  <si>
    <t>Beryamshu Tadesse G/Giorgis /W/o/</t>
  </si>
  <si>
    <t>በረያምሹ ታደስ ገ/ጊወርጊስ /ወ/ሮ/</t>
  </si>
  <si>
    <t>0910-742730</t>
  </si>
  <si>
    <t>4221</t>
  </si>
  <si>
    <t>Berzeda Nebiyu Eshetu /W/t/</t>
  </si>
  <si>
    <t>ቤርዜዳ ነብዩ እሸቱ /ወ/ሪት/</t>
  </si>
  <si>
    <t>4222</t>
  </si>
  <si>
    <t>Besechew Awoke Tegegne /Ato/</t>
  </si>
  <si>
    <t>ቢሸጤው አወቀ ተገኘ /አቶ/</t>
  </si>
  <si>
    <t>0931-908980</t>
  </si>
  <si>
    <t>4223</t>
  </si>
  <si>
    <t>Besgaw Bekele Afework /Ato/</t>
  </si>
  <si>
    <t>በፀጋው በቀለ አፈወርቅ /አቶ/</t>
  </si>
  <si>
    <t>niceflavour2022@gmail.com
mmabaroma2009@gmail.com</t>
  </si>
  <si>
    <t>4224</t>
  </si>
  <si>
    <t>Beshah Bayu W/Mariam /Kes/</t>
  </si>
  <si>
    <t>ባሻህ ባዩ ወ/ማርያም /ቄስ/</t>
  </si>
  <si>
    <t>4225</t>
  </si>
  <si>
    <t>Beshaw Baweke Mewahegn /Ato/</t>
  </si>
  <si>
    <t>በሻው ባወቀ መዋህኝ /አቶ/</t>
  </si>
  <si>
    <t>0935-483346</t>
  </si>
  <si>
    <t>4226</t>
  </si>
  <si>
    <t>Beshenu Kunkuma Yota /Ato/</t>
  </si>
  <si>
    <t>በሼኑ ቁንቁማ ዮታ /አቶ/</t>
  </si>
  <si>
    <t>4227</t>
  </si>
  <si>
    <t>በሸዋ ታደስ /ወ/ሮ/ እና /ወይም ጌቱ አበበ ቦጋለ /አቶ/</t>
  </si>
  <si>
    <t>4228</t>
  </si>
  <si>
    <t>Beshewa Tadesse Gurmu /W/ro/</t>
  </si>
  <si>
    <t>በሸዋ ታደሰ ጉርሙ /ወ/ሮ/</t>
  </si>
  <si>
    <t>0973-939784</t>
  </si>
  <si>
    <t>4229</t>
  </si>
  <si>
    <t>Beshu Dagne Denbela /Ato/</t>
  </si>
  <si>
    <t>በሹ ዳኜ ደንበላ /አቶ/</t>
  </si>
  <si>
    <t>4230</t>
  </si>
  <si>
    <t>Besrat Bedane Bejiga /Ato/ and/or Embet Amy /W/o/</t>
  </si>
  <si>
    <t>ብስራት በዳኔ በጂጋ /አቶ/  እና/ወይም እመቤት አሚ /ወ/ሮ/</t>
  </si>
  <si>
    <t>720-3410262</t>
  </si>
  <si>
    <t>4231</t>
  </si>
  <si>
    <t>Besufekad Tadesse W/Meskel /Ato/</t>
  </si>
  <si>
    <t>በሱፈቃድ ታደሰ ወ/መስቀል /አቶ/</t>
  </si>
  <si>
    <t>0911-711632</t>
  </si>
  <si>
    <t>berhanu.tekle56@gmail.com</t>
  </si>
  <si>
    <t>4232</t>
  </si>
  <si>
    <t>Besufekade Sintayehu Belihu /Ato/</t>
  </si>
  <si>
    <t>በሱፍቃድ ስንታየሁ በልሁ /አቶ/</t>
  </si>
  <si>
    <t>0923-980048</t>
  </si>
  <si>
    <t>4233</t>
  </si>
  <si>
    <t>Besufikad Assefa /Ato/ For Kirubel Besufikad /Minor/</t>
  </si>
  <si>
    <t>በሱፍቃድ አሰፋ /አቶ/ ለኪሩቤል በሱፍቃድ /ህፃን/</t>
  </si>
  <si>
    <t>0923-282349</t>
  </si>
  <si>
    <t>4234</t>
  </si>
  <si>
    <t>Besufikad Assefa /Ato/ For Surafel Besufikad /Minor/</t>
  </si>
  <si>
    <t>በሱፍቃድ አሰፋ /አቶ/ ለሱራፌል በሱፍቃድ /ህፃን/</t>
  </si>
  <si>
    <t>0920-083291</t>
  </si>
  <si>
    <t>4235</t>
  </si>
  <si>
    <t>Besuhail Atfraw Nega /Ato/</t>
  </si>
  <si>
    <t>በሱኃይል አትፍራው ነጋ /አቶ/</t>
  </si>
  <si>
    <t>0918-573744</t>
  </si>
  <si>
    <t>4236</t>
  </si>
  <si>
    <t>Betadige Tameru /Ato/</t>
  </si>
  <si>
    <t>ቤታዲጌ ታምሩ /አቶ/</t>
  </si>
  <si>
    <t>4237</t>
  </si>
  <si>
    <t>Betel Tefera Jemberie /W/o/</t>
  </si>
  <si>
    <t>ቤቴል ተፈራ ጀምበሬ /ወ/ሮ/</t>
  </si>
  <si>
    <t>4238</t>
  </si>
  <si>
    <t>Betel Tesfaye Jafaro /Ato/</t>
  </si>
  <si>
    <t>ቤቴል ተስፋዬ ጃፋሮ /አቶ/</t>
  </si>
  <si>
    <t>4239</t>
  </si>
  <si>
    <t>Betelehem Abebe Desta /W/o/</t>
  </si>
  <si>
    <t>ቤተልሄም አበበ ደስታ /ወ/ሮ/</t>
  </si>
  <si>
    <t>4240</t>
  </si>
  <si>
    <t>Betelehem Azanaw /W/o/ For Alpha Fasil /Minor/</t>
  </si>
  <si>
    <t>ቤተልሄም አዛናዉ  /ወ/ሮ/ ለአልፋ ፋሲል ይትባረክ /ህፃን/</t>
  </si>
  <si>
    <t>0914-709881</t>
  </si>
  <si>
    <t>4241</t>
  </si>
  <si>
    <t>Betelehem Belayneh Solomon /W/o/</t>
  </si>
  <si>
    <t>ቤተልሔም በላይነህ ሰለሞን /ወ/ሮ/</t>
  </si>
  <si>
    <t>0911-622565</t>
  </si>
  <si>
    <t>4242</t>
  </si>
  <si>
    <t>Betelehem Biruk Abebe  /W/</t>
  </si>
  <si>
    <t>ቤተልሔም ብሩክ አበበ /ወ/</t>
  </si>
  <si>
    <t>0913-837305</t>
  </si>
  <si>
    <t>4243</t>
  </si>
  <si>
    <t>Betelehem Debebe Bekele  /W/o/</t>
  </si>
  <si>
    <t>ቤቴልሄም ደበበ በቀለ /ወሮ/</t>
  </si>
  <si>
    <t>4244</t>
  </si>
  <si>
    <t>Betelehem Demssiw Haile /W/o/</t>
  </si>
  <si>
    <t>ቤቴልሂም ደምሴው ሀይሌ /ወ/ሮ</t>
  </si>
  <si>
    <t>4245</t>
  </si>
  <si>
    <t>Betelehem Ketema Geberu /W/o/</t>
  </si>
  <si>
    <t>ቤተልሔም ከተማ ገብሩ /ወ/ሮ/</t>
  </si>
  <si>
    <t>0963-831203</t>
  </si>
  <si>
    <t>4246</t>
  </si>
  <si>
    <t>Betelehem Migore Terega /W/</t>
  </si>
  <si>
    <t>ቤተልሔም ምጎረ ተረጋ /ወ/</t>
  </si>
  <si>
    <t>0911-937088</t>
  </si>
  <si>
    <t>4247</t>
  </si>
  <si>
    <t>Betelehem Simmie /W/</t>
  </si>
  <si>
    <t>ቤተልሔም ስሜ /ወ/</t>
  </si>
  <si>
    <t>4248</t>
  </si>
  <si>
    <t>Betelehem Solomon /W/o/ and/or Dawit Negussu /Ato/</t>
  </si>
  <si>
    <t>ቤተልሄም ሰለሞን /ወ/ሮ/ እና/ወይም ዳዊት ንጉሱ /አቶ/</t>
  </si>
  <si>
    <t>fekadezikarge3799@gmail.com</t>
  </si>
  <si>
    <t>4249</t>
  </si>
  <si>
    <t>Betelehem Teferi Zeleke /W/t/</t>
  </si>
  <si>
    <t>ቤተልሄም ተፈሪ ዘለቀ /ወ/ት/</t>
  </si>
  <si>
    <t>0911-688973</t>
  </si>
  <si>
    <t>4250</t>
  </si>
  <si>
    <t>Beteleim Amare W/midhin /W/o/</t>
  </si>
  <si>
    <t>ቤተልሔም አማረ ወ/መድህን /ወ/ሮ/</t>
  </si>
  <si>
    <t>4251</t>
  </si>
  <si>
    <t>Betelham Beyene Meskele /W/t/</t>
  </si>
  <si>
    <t>ቤተልሔም በየነ መስቀሌ /ወ/ት/</t>
  </si>
  <si>
    <t>0911-419371</t>
  </si>
  <si>
    <t>4252</t>
  </si>
  <si>
    <t>Betelhem Abebe Belayneh /W/o/</t>
  </si>
  <si>
    <t xml:space="preserve">ቤተልሔም አበበ በላይነህ </t>
  </si>
  <si>
    <t>0929-904742</t>
  </si>
  <si>
    <t>dagnachewmolla74@gmail.com</t>
  </si>
  <si>
    <t>4253</t>
  </si>
  <si>
    <t>Betelhem Abebe W/Argay /W/o/</t>
  </si>
  <si>
    <t>ቤተልሔም አበበ ወ/አረጋይ /ወ/ሮ/</t>
  </si>
  <si>
    <t>4254</t>
  </si>
  <si>
    <t>Betelhem Abebe Zeleke /W/t/</t>
  </si>
  <si>
    <t>ቤተልሄም አበበ ፈለቀ /ወ/ት/</t>
  </si>
  <si>
    <t>0936-572753</t>
  </si>
  <si>
    <t>4255</t>
  </si>
  <si>
    <t>Betelhem Adane Asres /W/o/</t>
  </si>
  <si>
    <t>ቤተልሄም አዳነ አስረስ /ወ/ሮ/</t>
  </si>
  <si>
    <t>0911-611927</t>
  </si>
  <si>
    <t>4256</t>
  </si>
  <si>
    <t>4257</t>
  </si>
  <si>
    <t>Betelhem Alemayhu W/Tinsay /W/t/</t>
  </si>
  <si>
    <t>ቤተልሄም አለማየሁ ወ/ትንሳይ /ወ/ሮ/</t>
  </si>
  <si>
    <t>4258</t>
  </si>
  <si>
    <t>Betelhem Aligaz Wondwosn /W/</t>
  </si>
  <si>
    <t>ቤተልሄም አሊጋዝ ወንድወሰን /ወ/</t>
  </si>
  <si>
    <t>0969-145943</t>
  </si>
  <si>
    <t>bwondwosn@gmail.com</t>
  </si>
  <si>
    <t>4259</t>
  </si>
  <si>
    <t>Betelhem Assefa Ayele /W/t/</t>
  </si>
  <si>
    <t>ቤተልሄም አሰፋ አየለ /ወ/ት/</t>
  </si>
  <si>
    <t>4260</t>
  </si>
  <si>
    <t>Betelhem Ayele Gutema /W/o/</t>
  </si>
  <si>
    <t>ቤተልሄም አየለ ጉተማ /ወ/ሮ/</t>
  </si>
  <si>
    <t>0910-025074</t>
  </si>
  <si>
    <t>tesfahunbirhanu123@gmail.com</t>
  </si>
  <si>
    <t>4261</t>
  </si>
  <si>
    <t>Betelhem Bogale Ashame /W/o/</t>
  </si>
  <si>
    <t>ቤቴልሄም ቦጋለ አሻሜ /ወ/ሮ/</t>
  </si>
  <si>
    <t>4262</t>
  </si>
  <si>
    <t>Betelhem Demelash Tilahun /W/o/</t>
  </si>
  <si>
    <t>ቤቴልሄም ደመላሽ ጥላሁን /ወ/ሮ/</t>
  </si>
  <si>
    <t>0912-909368</t>
  </si>
  <si>
    <t>4263</t>
  </si>
  <si>
    <t>Betelhem Desalegn /W/o/</t>
  </si>
  <si>
    <t>ቤተልሔም ደሳላኝ /ወ/ሮ/</t>
  </si>
  <si>
    <t>0912-143705</t>
  </si>
  <si>
    <t>betelhem16@yahoo.com</t>
  </si>
  <si>
    <t>4264</t>
  </si>
  <si>
    <t>Betelhem Ermias Dibekulu /W/t/</t>
  </si>
  <si>
    <t>ቤቴልሄም ኤርሚያስ ዲበኩሉ /ወ/ት/</t>
  </si>
  <si>
    <t>0979-711219</t>
  </si>
  <si>
    <t>4265</t>
  </si>
  <si>
    <t>4266</t>
  </si>
  <si>
    <t>Betelhem Hailu Zegeye /W/o/</t>
  </si>
  <si>
    <t>ቤተልሄም ሀይሉ ዘገዬ /ወ/ሮ/</t>
  </si>
  <si>
    <t>shirut@yahoo.com</t>
  </si>
  <si>
    <t>4267</t>
  </si>
  <si>
    <t>Betelhem Mamo Tsige /W/t/</t>
  </si>
  <si>
    <t>ቤተልሄም ማሞ ፅጌ /ወ/ት/</t>
  </si>
  <si>
    <t>0911-030663</t>
  </si>
  <si>
    <t>4268</t>
  </si>
  <si>
    <t xml:space="preserve">Betelhem Melka /W/o/ For Elihum Abrham Belay /Minor/ </t>
  </si>
  <si>
    <t>ቤተልሔም መልካ /ወ/ሮ/ ለኤሊሁም አብርሀም በላይ /ህፃን/</t>
  </si>
  <si>
    <t>4269</t>
  </si>
  <si>
    <t>Betelhem Melka /W/o/ For Esrom Abrham Belay /Minor/</t>
  </si>
  <si>
    <t>ቤተልሔም መልካ /ወ/ሮ/ ለኤስሮም አብርሀም በላይ /ህፃን/</t>
  </si>
  <si>
    <t>4270</t>
  </si>
  <si>
    <t>Betelhem Melka Bejga /W/o/</t>
  </si>
  <si>
    <t>ቤተልሄም መልካ በጅጋ /ወ/ሮ/</t>
  </si>
  <si>
    <t>4271</t>
  </si>
  <si>
    <t>Betelhem Mengsha Birga /W/t/</t>
  </si>
  <si>
    <t>ቤቴልሔም መንገሻ ቢርጋ /ወ/ት/</t>
  </si>
  <si>
    <t>0910-697144</t>
  </si>
  <si>
    <t>4272</t>
  </si>
  <si>
    <t>Betelhem Nurlign Melak  /W/O/</t>
  </si>
  <si>
    <t>ቤተልሄም ኑርልኝ መላክ /ወ/ሮ/</t>
  </si>
  <si>
    <t>0920-890676</t>
  </si>
  <si>
    <t>4273</t>
  </si>
  <si>
    <t>Betelhem Shiferaw Tiruneh  /W/o/</t>
  </si>
  <si>
    <t>ቤተልሄም ሽፈራዉ ጥሩነህ /ወ/ሮ/</t>
  </si>
  <si>
    <t>0913-858350
0965-667560</t>
  </si>
  <si>
    <t>4274</t>
  </si>
  <si>
    <t>Betelhem Sitotaw Gebre /W/o/</t>
  </si>
  <si>
    <t>ቤተልሔም ስጦታዉ ገብሬ /ወ/ሮ/</t>
  </si>
  <si>
    <t>0951-045860</t>
  </si>
  <si>
    <t>4275</t>
  </si>
  <si>
    <t>Betelhem Tadele Alemu /W/t/</t>
  </si>
  <si>
    <t>ቤተልሔም ታደለ አለሙ /ወ/ት/</t>
  </si>
  <si>
    <t>4276</t>
  </si>
  <si>
    <t>Betelhem Tamirat Busho /W/o/</t>
  </si>
  <si>
    <t>ቤተልሄም ታምራት ቡሾ /ወ/ሮ/</t>
  </si>
  <si>
    <t>4277</t>
  </si>
  <si>
    <t>Betelhem Tariku Tafere /W/o/</t>
  </si>
  <si>
    <t>ቤተልሄም ታሪኩ ታፈረ /ወ/ሮ/</t>
  </si>
  <si>
    <t>0911-984999</t>
  </si>
  <si>
    <t>mieraf.zebra@gmail.com</t>
  </si>
  <si>
    <t>4278</t>
  </si>
  <si>
    <t>Betelhem Tegegne Admassia /W/t/</t>
  </si>
  <si>
    <t>ቤተልሔም ተገኝ አድማሴ /ወ/ት/</t>
  </si>
  <si>
    <t>0921-773756</t>
  </si>
  <si>
    <t>musalitena@gmail.com</t>
  </si>
  <si>
    <t>4279</t>
  </si>
  <si>
    <t>Betelhem Teshome Biru /W/o/</t>
  </si>
  <si>
    <t>ቤተልሄም ተሾመ ብሩ /ወ/ሮ/</t>
  </si>
  <si>
    <t>0911-524705</t>
  </si>
  <si>
    <t>fikerbekele@gmail.com</t>
  </si>
  <si>
    <t>4280</t>
  </si>
  <si>
    <t>Betelhem Tigneh Tilahun /W/o/</t>
  </si>
  <si>
    <t>ቤቴልሔም ጥግነህ ጥላሁን /ወ/ሮ/</t>
  </si>
  <si>
    <t>4281</t>
  </si>
  <si>
    <t>Betelhem Tsegaye Bekele /W/t/</t>
  </si>
  <si>
    <t>ቤተልሔም ፀጋዬ በቀለ /ወ/ት/</t>
  </si>
  <si>
    <t>0913-323606</t>
  </si>
  <si>
    <t>4282</t>
  </si>
  <si>
    <t>Betelhem Workneh Betew /W/o/</t>
  </si>
  <si>
    <t>ቤተልሔም ወርቅነህ ቢተዉ /ወ/ሮ/</t>
  </si>
  <si>
    <t>4283</t>
  </si>
  <si>
    <t>Betelihem Adbib Aliye /W/o/</t>
  </si>
  <si>
    <t>ቤቴልሄም አድብብ አልዬ /ወ/ሮ/</t>
  </si>
  <si>
    <t>4284</t>
  </si>
  <si>
    <t>Betelihem Aebayehu Kebede /Ato/</t>
  </si>
  <si>
    <t>ቤተልሐም አበበየሁ ከበደ /አቶ/</t>
  </si>
  <si>
    <t>0913-863465/0908-278881</t>
  </si>
  <si>
    <t>4285</t>
  </si>
  <si>
    <t>4286</t>
  </si>
  <si>
    <t>Betelihem Biru Fantaye /W/o/</t>
  </si>
  <si>
    <t>ቤተልሔም ብሩ ፋንታዬ /ወ/ሮ/</t>
  </si>
  <si>
    <t>0912-794050</t>
  </si>
  <si>
    <t>4287</t>
  </si>
  <si>
    <t>Betelihem Marye Daud /W/o/</t>
  </si>
  <si>
    <t>ቤቴልሄም ማርዬ ዳዉድ /ወ/ሮ/</t>
  </si>
  <si>
    <t>4288</t>
  </si>
  <si>
    <t>Betelihem Tariku Bokanesa /Ato/</t>
  </si>
  <si>
    <t>ቤተልሐም ታርኩ ቦካንሳ /አቶ/</t>
  </si>
  <si>
    <t>0911-362445/0926023692</t>
  </si>
  <si>
    <t>4289</t>
  </si>
  <si>
    <t>Betelihem Tsegaye Tekle /W/o/</t>
  </si>
  <si>
    <t>ቤቴልሄም ፀጋዬ ተክሌ /ወ/ሮ/</t>
  </si>
  <si>
    <t>4290</t>
  </si>
  <si>
    <t>Betemariam Atnafu H/Gebriel /Ato/</t>
  </si>
  <si>
    <t>ቤተማርያም አጥናፉ ሀብተገብርኤል /አቶ/</t>
  </si>
  <si>
    <t>0942-602471</t>
  </si>
  <si>
    <t>4291</t>
  </si>
  <si>
    <t>Betena Badego Bako /Ato/</t>
  </si>
  <si>
    <t>በቴና ባደጎ ባኮ /አቶ/</t>
  </si>
  <si>
    <t>4292</t>
  </si>
  <si>
    <t>Betena Tunsisa /Ato/</t>
  </si>
  <si>
    <t>በጠና ቱንስሳ /አቶ/</t>
  </si>
  <si>
    <t>4293</t>
  </si>
  <si>
    <t>Beter- Aron Shimeles</t>
  </si>
  <si>
    <t xml:space="preserve">በትረ አሮን ሽመልስ </t>
  </si>
  <si>
    <t>0920-287793</t>
  </si>
  <si>
    <t>aronshimeles@gmail.com</t>
  </si>
  <si>
    <t>4294</t>
  </si>
  <si>
    <t>Betere Kelemework Debebe /Ato/</t>
  </si>
  <si>
    <t>በትረ ቀለመወርቅ ደበበ /አቶ/</t>
  </si>
  <si>
    <t>0912-023289</t>
  </si>
  <si>
    <t>4295</t>
  </si>
  <si>
    <t>Bethel Melektu Yakob /W/t/</t>
  </si>
  <si>
    <t>ቤተል መልዕክቱ ያዕቆብ /ወ/ት/</t>
  </si>
  <si>
    <t>0911-883429</t>
  </si>
  <si>
    <t>bethel.melektu@yahoo.com</t>
  </si>
  <si>
    <t>4296</t>
  </si>
  <si>
    <t>Bethel Petros Dea /W/o/</t>
  </si>
  <si>
    <t>ቤተል ጴጥሮስ ዴአ /ወ/ሮ/</t>
  </si>
  <si>
    <t>0911-689410</t>
  </si>
  <si>
    <t>4297</t>
  </si>
  <si>
    <t>Bethelehem Demere Kesto /W/o/</t>
  </si>
  <si>
    <t>ቤተልሔም ደመረ ቀስቶ /ወ/ሮ/</t>
  </si>
  <si>
    <t>0904-112046
0911-056664</t>
  </si>
  <si>
    <t>4298</t>
  </si>
  <si>
    <t>Bethelehem H/Maraim /W/o/</t>
  </si>
  <si>
    <t>ቤተልሔም ሀ/ማርያም /ወ/ሮ/</t>
  </si>
  <si>
    <t>0975-041905</t>
  </si>
  <si>
    <t>4299</t>
  </si>
  <si>
    <t>Bethelehem Kinfe /W/o/</t>
  </si>
  <si>
    <t>ቤተልሔም ክንፈ /ወ/ሮ/</t>
  </si>
  <si>
    <t>4300</t>
  </si>
  <si>
    <t>Bethelhem Abera Fasil /W/o/</t>
  </si>
  <si>
    <t>ቤተልሔም አበራ ፋሲል /ወ/ሮ/</t>
  </si>
  <si>
    <t>0911-911280</t>
  </si>
  <si>
    <t>betfasil@gmail.com</t>
  </si>
  <si>
    <t>4301</t>
  </si>
  <si>
    <t>Bethelhem Asrat /W/o/ For Haset Aklilu /Minor/</t>
  </si>
  <si>
    <t>ቤተልሔም አስራት /ወ/ሮ/ ለሀሴት አክሊሉ /ህፃን/</t>
  </si>
  <si>
    <t>703-346-7927</t>
  </si>
  <si>
    <t>4302</t>
  </si>
  <si>
    <t>Bethelhem Asrat /W/o/ For Shalom Aklilu /Minor/</t>
  </si>
  <si>
    <t>ቤተልሔም አስራት /ወ/ሮ/ ለሻሎም አክሊሉ /ህፃን/</t>
  </si>
  <si>
    <t>0947-129398</t>
  </si>
  <si>
    <t>4303</t>
  </si>
  <si>
    <t>Bethelhem Erkeno Wossoro /D/r/</t>
  </si>
  <si>
    <t>ቤተልሔም ኤርከኖ ወሶሮ /ዶ/ር/</t>
  </si>
  <si>
    <t>0939-055470</t>
  </si>
  <si>
    <t>bethbew55@gmail.com</t>
  </si>
  <si>
    <t>4304</t>
  </si>
  <si>
    <t>Bethelhem Gezahegn G/Senbert /W/o/</t>
  </si>
  <si>
    <t>ቤተልሔም ገዛኸኝ ገ/ሰንበት /ወ/ሮ/</t>
  </si>
  <si>
    <t>0911-482452</t>
  </si>
  <si>
    <t>4305</t>
  </si>
  <si>
    <t>Bethelhem Haile Tesema /W/o/</t>
  </si>
  <si>
    <t>ቤተልሔም ሐይሌ ተሰማ /ወ/ሮ/</t>
  </si>
  <si>
    <t>0977-0961840</t>
  </si>
  <si>
    <t>4306</t>
  </si>
  <si>
    <t>Bethelhem Igi Chekuala /W/o/</t>
  </si>
  <si>
    <t>ቤቴልሄም ኢጊ ጭቋላ/ወ/ሮ/</t>
  </si>
  <si>
    <t>4307</t>
  </si>
  <si>
    <t>Bethelhem Menberu Astem /W/o/</t>
  </si>
  <si>
    <t>ቤተልሄም መንበሩ አìመ /ወ/ሮ/</t>
  </si>
  <si>
    <t>4308</t>
  </si>
  <si>
    <t>Bethelhem Tedla /W/o/ And/or Tewodros Tariku /Ato/</t>
  </si>
  <si>
    <t>ቤተልሔም ተድላ /ወ/ት/ እና/ወይም ቴዎድሮስ ታሪኩ /አቶ/</t>
  </si>
  <si>
    <t>4309</t>
  </si>
  <si>
    <t>Bethelhem Temesgen Girma /W/t/</t>
  </si>
  <si>
    <t>ቤተልሄም ተመስገን ግርማ /ወ/ት/</t>
  </si>
  <si>
    <t>0910-248920</t>
  </si>
  <si>
    <t>4310</t>
  </si>
  <si>
    <t>Bethelhem Tesfaye Abebaw /W/t/</t>
  </si>
  <si>
    <t>ቤተልሔም ተስፋዬ አበባዉ /ወ/ት/</t>
  </si>
  <si>
    <t>0921-400191</t>
  </si>
  <si>
    <t>4311</t>
  </si>
  <si>
    <t>Bethelhem Zewude  /W/o/ For Yemariam Tamrat  /Minor/</t>
  </si>
  <si>
    <t>ቤተልሄም ዘዉዴ ተረፈ /ወ/ሮ/ ለየማርያም ታምራት ዋለ /ህፃን/</t>
  </si>
  <si>
    <t>0913-134402</t>
  </si>
  <si>
    <t>4312</t>
  </si>
  <si>
    <t>Bethelihem /W/o</t>
  </si>
  <si>
    <t>ቤተልሔም /ወ/ሮ/</t>
  </si>
  <si>
    <t>0923-783893</t>
  </si>
  <si>
    <t>4313</t>
  </si>
  <si>
    <t>Bethelihem Ayehu Teshager /W/o/</t>
  </si>
  <si>
    <t>ቤተልሄም አየሁ ተሻገር /ወ/ሮ/</t>
  </si>
  <si>
    <t>4314</t>
  </si>
  <si>
    <t>Bethelihem Tadesse /W/o/</t>
  </si>
  <si>
    <t>ቤተልሔም ታደሰ /ወ/ሮ/</t>
  </si>
  <si>
    <t>0980-247244/0902-421245</t>
  </si>
  <si>
    <t>4315</t>
  </si>
  <si>
    <t>Bethlehem Ashagire /W/t/</t>
  </si>
  <si>
    <t>ቤተልሔም አሻግሬ /ወ/ት/</t>
  </si>
  <si>
    <t>0912-370337</t>
  </si>
  <si>
    <t>4316</t>
  </si>
  <si>
    <t xml:space="preserve">Bethlehem Bayuh Attfield </t>
  </si>
  <si>
    <t xml:space="preserve">ቤተልሔም ባዩ </t>
  </si>
  <si>
    <t>0979-224768</t>
  </si>
  <si>
    <t>bbattfield@yahoo.com</t>
  </si>
  <si>
    <t>4317</t>
  </si>
  <si>
    <t>Bethlehem Dereselegn Betre /W/t/</t>
  </si>
  <si>
    <t>ቤተልሄም ድረስልኝ በትረ /ወ/ት/</t>
  </si>
  <si>
    <t>0917-100531</t>
  </si>
  <si>
    <t>4318</t>
  </si>
  <si>
    <t>Bethlehem Getachew Muluneh /W/o/</t>
  </si>
  <si>
    <t>ቤተልሔም ጌታቸው ሙሉነህ /ወ/ሮ/</t>
  </si>
  <si>
    <t>0913-254759</t>
  </si>
  <si>
    <t>4319</t>
  </si>
  <si>
    <t>Bethlehem Girma Tilahun /Dr/</t>
  </si>
  <si>
    <t>ቤተልሔም ግርማ ጥላሁን /ዶ/ር/</t>
  </si>
  <si>
    <t>0912-158624</t>
  </si>
  <si>
    <t>4320</t>
  </si>
  <si>
    <t>Bethlehem Hailu Zegeye /W/t/</t>
  </si>
  <si>
    <t>ቤተልሔም ሀይሉ ዘገዬ /ወ/ት/</t>
  </si>
  <si>
    <t>0911-701062
0911-544409</t>
  </si>
  <si>
    <t>4321</t>
  </si>
  <si>
    <t>Bethlehem Juliya Kiapini /W/o/</t>
  </si>
  <si>
    <t>ቤቴልሄም ጁሊያ ኪያፒኒ /ወ/ሮ/</t>
  </si>
  <si>
    <t>4322</t>
  </si>
  <si>
    <t>Bethlehem Tadesse Gedefa /W/o/</t>
  </si>
  <si>
    <t>ቤተልሔም ታደሰ ገደፋ /ወ/ሮ/</t>
  </si>
  <si>
    <t>bettyaffie@gmail.com</t>
  </si>
  <si>
    <t>4323</t>
  </si>
  <si>
    <t>Bethlehem Tesfaye Tadesse /W/t/</t>
  </si>
  <si>
    <t>ቤተልሄም ተስፋዬ ታደሰ /ወ/ት/</t>
  </si>
  <si>
    <t>0911-309566</t>
  </si>
  <si>
    <t>4324</t>
  </si>
  <si>
    <t>Bethlhem Napoleo Birhanu /W/o/</t>
  </si>
  <si>
    <t>ቤተልሄም ናፖሊዮን ብርሃኑ /ወ/ሮ/</t>
  </si>
  <si>
    <t>0912-373818/ 0916-070399</t>
  </si>
  <si>
    <t>4325</t>
  </si>
  <si>
    <t>Bethy T.Aligaz /W/</t>
  </si>
  <si>
    <t>ቤቲ ቲ.አሊጋዝ /ወ/</t>
  </si>
  <si>
    <t>0940-795759</t>
  </si>
  <si>
    <t>bltfa3b@gmail.co</t>
  </si>
  <si>
    <t>4326</t>
  </si>
  <si>
    <t>Betlehem Sheferaw Bekele /W/o/</t>
  </si>
  <si>
    <t>ቤተልሔም ሽፈራው በቀለ /ወ/ሮ/</t>
  </si>
  <si>
    <t>0911-224084</t>
  </si>
  <si>
    <t>4327</t>
  </si>
  <si>
    <t>Betlehem Tumebo Paulos /W/o</t>
  </si>
  <si>
    <t>ቤተልሔም ጡሜቦ ጳውሎስ /ወ/ሮ/</t>
  </si>
  <si>
    <t>0911-656523</t>
  </si>
  <si>
    <t>btumebo@yahoo.com</t>
  </si>
  <si>
    <t>4328</t>
  </si>
  <si>
    <t>Betlhem Gemechu Bekele /W/o/</t>
  </si>
  <si>
    <t>ቤተለሔም ገመቹ በቀለ /ወ/ሮ/</t>
  </si>
  <si>
    <t>0978-106733</t>
  </si>
  <si>
    <t>4329</t>
  </si>
  <si>
    <t>Betremaryam Fekadu Abebe /Ato/</t>
  </si>
  <si>
    <t>በትረማርያም ፍቃዱ አበበ /አቶ/</t>
  </si>
  <si>
    <t>0932-568449</t>
  </si>
  <si>
    <t>4330</t>
  </si>
  <si>
    <t>Betros Tagile Kero  /Ato/</t>
  </si>
  <si>
    <t>ቤጥሮስ ጣጊሌ ቄሮ /አቶ/</t>
  </si>
  <si>
    <t>4331</t>
  </si>
  <si>
    <t>4332</t>
  </si>
  <si>
    <t>Betsegaw Elias Beyene /Ato/</t>
  </si>
  <si>
    <t>በፀጋዉ ኤልያስ በየነ /አቶ/</t>
  </si>
  <si>
    <t>4333</t>
  </si>
  <si>
    <t xml:space="preserve">Betselot Amare Engidawork </t>
  </si>
  <si>
    <t xml:space="preserve">በፀሎት አማረ እንግዳወርቅ </t>
  </si>
  <si>
    <t>0910-220337</t>
  </si>
  <si>
    <t>exaxa200@gmail.com</t>
  </si>
  <si>
    <t>4334</t>
  </si>
  <si>
    <t>Betselot Dawit /Ato/</t>
  </si>
  <si>
    <t>በጸሎት ዳዊት /አቶ/</t>
  </si>
  <si>
    <t>4335</t>
  </si>
  <si>
    <t>4336</t>
  </si>
  <si>
    <t>Betsha Senay Belew /Ato/</t>
  </si>
  <si>
    <t>በጽሐ ሠናይ በለው /አቶ/</t>
  </si>
  <si>
    <t>4337</t>
  </si>
  <si>
    <t>Betty Haile /W/o/</t>
  </si>
  <si>
    <t>ቤቲ ኃይሌ /ወ/ሮ/</t>
  </si>
  <si>
    <t>4338</t>
  </si>
  <si>
    <t>Beweket Ashageri Mulu/Ato/</t>
  </si>
  <si>
    <t>በውቀት አሻግሬ ሙሉ /አቶ/</t>
  </si>
  <si>
    <t>4339</t>
  </si>
  <si>
    <t>Bewket Belachew Ayele /Ato/</t>
  </si>
  <si>
    <t>በእውቀት በላቸው አየለ /አቶ/</t>
  </si>
  <si>
    <t>4340</t>
  </si>
  <si>
    <t>4341</t>
  </si>
  <si>
    <t>Bewuket Abebaw Wale /Ato/</t>
  </si>
  <si>
    <t>በውቀት አበባው ዋለ /አቶ/</t>
  </si>
  <si>
    <t>4342</t>
  </si>
  <si>
    <t>Bewuket Asechale Endalew /Ato/</t>
  </si>
  <si>
    <t>በውቀት አሰቻለ እንዳለወ /አቶ/</t>
  </si>
  <si>
    <t>0962-860791</t>
  </si>
  <si>
    <t>4343</t>
  </si>
  <si>
    <t>Bewuket Asmare Azene (Ato)</t>
  </si>
  <si>
    <t>በውቅት አሰማረ አዘነ  /አቶ/</t>
  </si>
  <si>
    <t>4344</t>
  </si>
  <si>
    <t>Bewuket Chanie Tadege /Ato/</t>
  </si>
  <si>
    <t>በወቀት ጫኔ ታደገ /አቶ/</t>
  </si>
  <si>
    <t>4345</t>
  </si>
  <si>
    <t>Bewuket Tesfaye Teku /Ato/</t>
  </si>
  <si>
    <t>በወቀት ተስፋየ ተኩ</t>
  </si>
  <si>
    <t>4346</t>
  </si>
  <si>
    <t>Bewuketu Aleka Adamu /Ato/</t>
  </si>
  <si>
    <t>በወቅቱ አለቃ አዳሙ አቶ/</t>
  </si>
  <si>
    <t>4347</t>
  </si>
  <si>
    <t>Bewuketu Assefa Gebre /Ato/</t>
  </si>
  <si>
    <t>በእውቀቱ አሰፋ ገብሬ /አቶ/</t>
  </si>
  <si>
    <t>0915-220243</t>
  </si>
  <si>
    <t>4348</t>
  </si>
  <si>
    <t>Bewuketu Snshaw Andualem /Ato</t>
  </si>
  <si>
    <t>በዉቀት ስንሻዉ አንዷለም</t>
  </si>
  <si>
    <t>4349</t>
  </si>
  <si>
    <t>Beyan Mohammed Beshir /Ato/</t>
  </si>
  <si>
    <t>በያን መሀመድ በሽር /አቶ/</t>
  </si>
  <si>
    <t>0928-966122</t>
  </si>
  <si>
    <t>4350</t>
  </si>
  <si>
    <t>Beyen Bekele Kassa /Ato/</t>
  </si>
  <si>
    <t>በየነ በቀሌ ካሳ /አቶ/</t>
  </si>
  <si>
    <t>4351</t>
  </si>
  <si>
    <t>Beyen Getnet Geremew /Ato/</t>
  </si>
  <si>
    <t>በየነ ጌትነት ገረመው /አቶ/</t>
  </si>
  <si>
    <t>4352</t>
  </si>
  <si>
    <t>Beyen Kalesa /Ato/</t>
  </si>
  <si>
    <t>በየነ ካለሳ ጋርማሞ /አቶ/</t>
  </si>
  <si>
    <t>4353</t>
  </si>
  <si>
    <t>Beyen Kumalo /Ato/</t>
  </si>
  <si>
    <t>በየኔ ኩማሎ /አቶ/</t>
  </si>
  <si>
    <t>4354</t>
  </si>
  <si>
    <t>Beyench Berhe G/Mikael /Wo/</t>
  </si>
  <si>
    <t>በየነች በርሄ ገ/ሚካኤል /ወ/ሮ/</t>
  </si>
  <si>
    <t>0913-697373</t>
  </si>
  <si>
    <t>4355</t>
  </si>
  <si>
    <t>Beyene Abadama Tsega  /Ato/</t>
  </si>
  <si>
    <t>በየነ አባዳማ ፀጋ /አቶ/</t>
  </si>
  <si>
    <t>0911-607384</t>
  </si>
  <si>
    <t>4356</t>
  </si>
  <si>
    <t>Beyene Badebo /Ato/</t>
  </si>
  <si>
    <t>በየኔ ባደቦ /አቶ/</t>
  </si>
  <si>
    <t>4357</t>
  </si>
  <si>
    <t>Beyene Bake Barasa /Ato/</t>
  </si>
  <si>
    <t>በየኔ ባኬ ባራሳ /አቶ/</t>
  </si>
  <si>
    <t>0916-410130</t>
  </si>
  <si>
    <t>4358</t>
  </si>
  <si>
    <t>Beyene Bandaw /Ato/</t>
  </si>
  <si>
    <t>በየነ ባንዳው /አቶ/</t>
  </si>
  <si>
    <t>0909-895777</t>
  </si>
  <si>
    <t>4359</t>
  </si>
  <si>
    <t>Beyene Bekele /Ato/</t>
  </si>
  <si>
    <t>በየነ በቀለ /አቶ/</t>
  </si>
  <si>
    <t>0923-432462</t>
  </si>
  <si>
    <t>4360</t>
  </si>
  <si>
    <t>Beyene Bekele Karcha /Ato/</t>
  </si>
  <si>
    <t xml:space="preserve">በየኔ በቀለ ካርቻ /አቶ/ </t>
  </si>
  <si>
    <t>0926-586148</t>
  </si>
  <si>
    <t>4361</t>
  </si>
  <si>
    <t>Beyene Belayne  (Ato)</t>
  </si>
  <si>
    <t>በየኔ በላይነ /አቶ/</t>
  </si>
  <si>
    <t>4362</t>
  </si>
  <si>
    <t>Beyene Bereso Bele /Ato/</t>
  </si>
  <si>
    <t>በየኔ በሬሶ ባሌ /አቶ/</t>
  </si>
  <si>
    <t>0916-957402</t>
  </si>
  <si>
    <t>4363</t>
  </si>
  <si>
    <t>Beyene Beza Webilo /Ato/</t>
  </si>
  <si>
    <t>በየነ ባዛ ወብሎ /አቶ/</t>
  </si>
  <si>
    <t>0920-204133</t>
  </si>
  <si>
    <t>4364</t>
  </si>
  <si>
    <t>Beyene Bochero Banata /Ato/</t>
  </si>
  <si>
    <t>በየና ቦጭሮ ባናታ /አቶ/</t>
  </si>
  <si>
    <t>4365</t>
  </si>
  <si>
    <t>Beyene Buteka Sago /Ato/</t>
  </si>
  <si>
    <t>በየኔ በተካ ሳጎ /አቶ/</t>
  </si>
  <si>
    <t>0916-642862</t>
  </si>
  <si>
    <t>4366</t>
  </si>
  <si>
    <t>Beyene Chekol Dejen /Ato/</t>
  </si>
  <si>
    <t>በየነ ቸኮል  ደጀኔ /አቶ/</t>
  </si>
  <si>
    <t>0948-266010</t>
  </si>
  <si>
    <t>4367</t>
  </si>
  <si>
    <t>Beyene Dike Fera /Ato/</t>
  </si>
  <si>
    <t>በየነ ድካ ፍራ /አቶ/</t>
  </si>
  <si>
    <t>0960-918685</t>
  </si>
  <si>
    <t>4368</t>
  </si>
  <si>
    <t>Beyene Ejigu Ayano /Ato/</t>
  </si>
  <si>
    <t>በየነ እጅጉ አያኖ /አቶ/</t>
  </si>
  <si>
    <t>4369</t>
  </si>
  <si>
    <t>Beyene Haliso /Ato/</t>
  </si>
  <si>
    <t>በየነ ሀሊሶ /አቶ/</t>
  </si>
  <si>
    <t>0924-707135</t>
  </si>
  <si>
    <t>4370</t>
  </si>
  <si>
    <t>Beyene Lakew Mersha /Ato/</t>
  </si>
  <si>
    <t>በየነ ላቀው መርሻ /አቶ/</t>
  </si>
  <si>
    <t>120-271-070-11</t>
  </si>
  <si>
    <t>4371</t>
  </si>
  <si>
    <t>Beyene Manisa Ufese /Ato/</t>
  </si>
  <si>
    <t>በየኔ ማንሳ ኡፈስ /አቶ/</t>
  </si>
  <si>
    <t>4372</t>
  </si>
  <si>
    <t>Beyene Mola Gebyehu /Ato/</t>
  </si>
  <si>
    <t>በየነ ሞላ ገበየሁ /አቶ/</t>
  </si>
  <si>
    <t>0963-795780</t>
  </si>
  <si>
    <t>4373</t>
  </si>
  <si>
    <t>Beyene Mussi Takele /Ato/</t>
  </si>
  <si>
    <t>በየነ ሙሴ ታከለ /አቶ/</t>
  </si>
  <si>
    <t>4374</t>
  </si>
  <si>
    <t>Beyene Sanbato /Ato/</t>
  </si>
  <si>
    <t>በየኔ ሳንባቶ /አቶ/</t>
  </si>
  <si>
    <t>4375</t>
  </si>
  <si>
    <t>Beyene Tairo /Ato/</t>
  </si>
  <si>
    <t xml:space="preserve">በየነ ጣዕሮ /አቶ/ </t>
  </si>
  <si>
    <t>0973-506557</t>
  </si>
  <si>
    <t>4376</t>
  </si>
  <si>
    <t>Beyene Tega /Ato/</t>
  </si>
  <si>
    <t>በየነ ጠጋ /አቶ/</t>
  </si>
  <si>
    <t>4377</t>
  </si>
  <si>
    <t>Beyene Wonosha Werawo /Ato/</t>
  </si>
  <si>
    <t>በየነ ወኖሻ ወራዎ /አቶ/</t>
  </si>
  <si>
    <t>0931-213594</t>
  </si>
  <si>
    <t>4378</t>
  </si>
  <si>
    <t>Beyenie  Bakalo Boneshe /Ato/</t>
  </si>
  <si>
    <t>በየኔ ባካሎ ቦንሸ /አቶ/</t>
  </si>
  <si>
    <t>0984-867311</t>
  </si>
  <si>
    <t>4379</t>
  </si>
  <si>
    <t>Beza Aleme Amsalu /W/t/</t>
  </si>
  <si>
    <t>ቤዛ አለሜ አምሳሉ /ወ/ት/</t>
  </si>
  <si>
    <t>0913-610821</t>
  </si>
  <si>
    <t>4380</t>
  </si>
  <si>
    <t>Beza Alemenh Enegeda /Ato/</t>
  </si>
  <si>
    <t>4381</t>
  </si>
  <si>
    <t>Beza Beyene Wubete /Ato/</t>
  </si>
  <si>
    <t>ቤዛ በየነ ውበቴ /አቶ/</t>
  </si>
  <si>
    <t>4382</t>
  </si>
  <si>
    <t>Beza Biadigilign Mengstu/W/Ro/</t>
  </si>
  <si>
    <t>ቤዛ ቢያድግልኝ /ወ/ሮ/</t>
  </si>
  <si>
    <t>4383</t>
  </si>
  <si>
    <t>Beza Getachew Asfaw /W/o/</t>
  </si>
  <si>
    <t>ቤዛ ጌታቸው አስፋው /ወ/ሮ/</t>
  </si>
  <si>
    <t>0913-660916</t>
  </si>
  <si>
    <t>4384</t>
  </si>
  <si>
    <t>Beza Hadaro Bilate  /Ato/</t>
  </si>
  <si>
    <t>በዛ ሀደሮ ብላቴ /አቶ/</t>
  </si>
  <si>
    <t>4385</t>
  </si>
  <si>
    <t>Beza Lema /W/o/ and/or Hermela Lema /W/t/</t>
  </si>
  <si>
    <t>ቤዛ ለማ /ወ/ሮ/ እና/ወይም ሄርሜላ ለማ /ወ/ት/</t>
  </si>
  <si>
    <t>0913-637470</t>
  </si>
  <si>
    <t>4386</t>
  </si>
  <si>
    <t>Beza Moges Kassa /W/o/</t>
  </si>
  <si>
    <t>ቤዛ ሞገስ ካሳ /ወ/ሮ/</t>
  </si>
  <si>
    <t>0961-738330</t>
  </si>
  <si>
    <t>4387</t>
  </si>
  <si>
    <t>Beza Mulatu Mengistu and/or Kebebush W/Amanuel Mamo</t>
  </si>
  <si>
    <t xml:space="preserve">ቤዛ ሙላት መንግስቱ እና/ወይም ከበቡሽ ወ/አማኑኤል ማሞ </t>
  </si>
  <si>
    <t>0996-127935
0911-235711</t>
  </si>
  <si>
    <t>nebilhilina19@gmail.com</t>
  </si>
  <si>
    <t>4388</t>
  </si>
  <si>
    <t>Beza Tekeba Tadesse /W/o/</t>
  </si>
  <si>
    <t>ቤዛ ተቀባ ታደሰ /ወ/ሮ/</t>
  </si>
  <si>
    <t>0942-729130/0928-600775</t>
  </si>
  <si>
    <t>4389</t>
  </si>
  <si>
    <t>Beza Tesfaye Mekuria /W/o/</t>
  </si>
  <si>
    <t>ቤዛ ተስፋዬ መኩሪያ /ወ/ሮ/</t>
  </si>
  <si>
    <t>0913-039455</t>
  </si>
  <si>
    <t>4390</t>
  </si>
  <si>
    <t>Beza Wasse /Ato/</t>
  </si>
  <si>
    <t>ቤዛ ዋሴ /አቶ/</t>
  </si>
  <si>
    <t>4391</t>
  </si>
  <si>
    <t>Beza Yilikal Abebe /Ato/</t>
  </si>
  <si>
    <t>ቤዛ ይልቃል አበበ /አቶ/</t>
  </si>
  <si>
    <t>0927-799332</t>
  </si>
  <si>
    <t>4392</t>
  </si>
  <si>
    <t>Beza Yismaw Bisewur /Ato/</t>
  </si>
  <si>
    <t>ቤዛ ይስማው ብሰውር /አቶ/</t>
  </si>
  <si>
    <t>4393</t>
  </si>
  <si>
    <t>Beza Zelalem Eneyew /W/t/</t>
  </si>
  <si>
    <t>ቤዛ ዘላለም እንየዉ /ወ/ሮ/</t>
  </si>
  <si>
    <t>4394</t>
  </si>
  <si>
    <t>Bezabe Fisa Abamala /Ato/</t>
  </si>
  <si>
    <t>ቤዛቤ ፊሳ አባማላ /አቶ/</t>
  </si>
  <si>
    <t>0940-507057</t>
  </si>
  <si>
    <t>4395</t>
  </si>
  <si>
    <t>Bezabeh Banedaw Munea /Ato/</t>
  </si>
  <si>
    <t>በዛብህ ባንዳው ሙንኤ /አቶ/</t>
  </si>
  <si>
    <t>0947-966826</t>
  </si>
  <si>
    <t>4396</t>
  </si>
  <si>
    <t>Bezabeh Begna Dechas /Ato/</t>
  </si>
  <si>
    <t>በዘበህ በኛ ደቻስ /አቶ/</t>
  </si>
  <si>
    <t>4397</t>
  </si>
  <si>
    <t>Bezabh Amsalu Tesema /Ato/</t>
  </si>
  <si>
    <t>በዛብህ አምሳሉ ተሰማ /አቶ/</t>
  </si>
  <si>
    <t>4398</t>
  </si>
  <si>
    <t>Bezabh Tadiwos Teshalie /Ato/</t>
  </si>
  <si>
    <t>በዛብህ ታዲዎስ ተሻሌ /አቶ/</t>
  </si>
  <si>
    <t>0960-079972</t>
  </si>
  <si>
    <t>4399</t>
  </si>
  <si>
    <t>Bezabhe Tekrin Mako /Ato/</t>
  </si>
  <si>
    <t>በዛብህ ተክሪን ማኮ /አቶ/</t>
  </si>
  <si>
    <t>417-84055914</t>
  </si>
  <si>
    <t>lidiabelay@gmail.com</t>
  </si>
  <si>
    <t>4400</t>
  </si>
  <si>
    <t>Bezabi Gujo Bureketo /Ato/</t>
  </si>
  <si>
    <t>ቤዛብ ጎጆ ቡርቅቶ /አቶ/</t>
  </si>
  <si>
    <t>4401</t>
  </si>
  <si>
    <t>Bezabih Beyene /Ato/</t>
  </si>
  <si>
    <t>በዛብህ በየኔ ባሣ /አቶ/</t>
  </si>
  <si>
    <t>0964-408779</t>
  </si>
  <si>
    <t>4402</t>
  </si>
  <si>
    <t>Bezabih Hadaro Daji /Ato/</t>
  </si>
  <si>
    <t>በዛብህ ሐድሮ ዳጂ /አቶ/</t>
  </si>
  <si>
    <t>4403</t>
  </si>
  <si>
    <t>Bezabih Mengesha /Ato/ For Abeayin Bezabih /Minor/</t>
  </si>
  <si>
    <t>በዛብህ መንገሻ /አቶ/ ለየአብአይን በዛብህ /ህጻን/</t>
  </si>
  <si>
    <t>0916-891052</t>
  </si>
  <si>
    <t>4404</t>
  </si>
  <si>
    <t>Bezabih Mengesha /Ato/ For Etiyael Bezabih /Minor/</t>
  </si>
  <si>
    <t>በዛብህ መንገሻ /አቶ/ ለኢትያኤል በዛብህ /ህጻን/</t>
  </si>
  <si>
    <t>0915-308814</t>
  </si>
  <si>
    <t>4405</t>
  </si>
  <si>
    <t>Bezabih Mengesha /Ato/ For Mareyamawit Bezabih /Minor/</t>
  </si>
  <si>
    <t>በዛብህ መንገሻ /አቶ/ ለማርያማዊት በዛብህ /ህጻን/</t>
  </si>
  <si>
    <t>0913-243213
0989-696904</t>
  </si>
  <si>
    <t>4406</t>
  </si>
  <si>
    <t>Bezabih Mengesha /Ato/ For Toael Bezabih /Minor/</t>
  </si>
  <si>
    <t>በዛብህ መንገሻ /አቶ/ ለቶኤል በዛብህ /ህጻን/</t>
  </si>
  <si>
    <t>0913-319013</t>
  </si>
  <si>
    <t>4407</t>
  </si>
  <si>
    <t>Bezabih Molla Fenta /Ato/</t>
  </si>
  <si>
    <t>በዛብህ ሞላ ፈንታ /አቶ/</t>
  </si>
  <si>
    <t>0911-515288</t>
  </si>
  <si>
    <t>4408</t>
  </si>
  <si>
    <t>Bezabih Simachew Abate /Ato/</t>
  </si>
  <si>
    <t>በዛብህ ስማቸው አባተ  /አቶ/</t>
  </si>
  <si>
    <t>4409</t>
  </si>
  <si>
    <t>Bezabih Tariko Yerdaw /Ato/</t>
  </si>
  <si>
    <t>በዛብህ ታሪክ ይርዳው /አቶ/</t>
  </si>
  <si>
    <t>4410</t>
  </si>
  <si>
    <t>Bezanesh Ayalew Gelaye /W/o/</t>
  </si>
  <si>
    <t>ቤዛነሽ አያሌዉ ገላዬ /ወ/ሮ/</t>
  </si>
  <si>
    <t>4411</t>
  </si>
  <si>
    <t>Bezansh Solomon Afa /W/o/</t>
  </si>
  <si>
    <t>ቤዛነሽ ሰለሞን አፋ /ወ/ሮ/</t>
  </si>
  <si>
    <t>4412</t>
  </si>
  <si>
    <t>Bezaw Kinde Desse /Ato/</t>
  </si>
  <si>
    <t>ቤዛው ክንዴ ዳሴ /አቶ/</t>
  </si>
  <si>
    <t>4413</t>
  </si>
  <si>
    <t>4414</t>
  </si>
  <si>
    <t>Bezawit Abebe Mekonnen /W/t/</t>
  </si>
  <si>
    <t>ቤዛዊት አበበ መኮንን /ወ/ት/</t>
  </si>
  <si>
    <t>4415</t>
  </si>
  <si>
    <t>Bezawit Aberra Tekele /W/</t>
  </si>
  <si>
    <t>ቤዛዊት አበራ ተክሌ /ወ/</t>
  </si>
  <si>
    <t>0962-233838</t>
  </si>
  <si>
    <t>4416</t>
  </si>
  <si>
    <t>Bezawit Alemayehu Desta /W/t/</t>
  </si>
  <si>
    <t>ቤዛዊት አለማየሁ ደስታ /ወ/ሪት/</t>
  </si>
  <si>
    <t>4417</t>
  </si>
  <si>
    <t>Bezawit Asfaw Tesema /W/o/</t>
  </si>
  <si>
    <t>ቤዛዊት አስፋዉ ተሰማ /ወ/ሮ/</t>
  </si>
  <si>
    <t>4418</t>
  </si>
  <si>
    <t>Bezawit Assefa Terefe /W/t/</t>
  </si>
  <si>
    <t>ቤዛዊት አሰፋ ተፈራ /ወ/ት/</t>
  </si>
  <si>
    <t>4419</t>
  </si>
  <si>
    <t>Bezawit Denekew Tamir /W/</t>
  </si>
  <si>
    <t>ቤዛዊት ደነቀው ታምር /ወ/</t>
  </si>
  <si>
    <t>4420</t>
  </si>
  <si>
    <t>Bezawit Girma Abebe /W/t/</t>
  </si>
  <si>
    <t>ቤዛዊት ግርማ አበበ /ወ/ት/</t>
  </si>
  <si>
    <t>4421</t>
  </si>
  <si>
    <t>Bezawit Girma Woldemichael /W/</t>
  </si>
  <si>
    <t>ቤዛዊት ግርማ ወልደሚካኤል /ወ/</t>
  </si>
  <si>
    <t>0911-253827</t>
  </si>
  <si>
    <t>bgirma768@gmail.com</t>
  </si>
  <si>
    <t>4422</t>
  </si>
  <si>
    <t>Bezawit Kassahun Kebede /W/o/</t>
  </si>
  <si>
    <t>ቤዛዊት ካሣሁን ከበደ /ወ/ሮ/</t>
  </si>
  <si>
    <t>4423</t>
  </si>
  <si>
    <t>Bezawit Mamo Akuna /W/t/</t>
  </si>
  <si>
    <t>ቤዛዊት ማሞ አኩና /ወ/ት/</t>
  </si>
  <si>
    <t>4424</t>
  </si>
  <si>
    <t>Bezawit Mare Nigatu /W/o/</t>
  </si>
  <si>
    <t>ቤዛዊት ማሬ ንጋቱ /ወ/ሮ/</t>
  </si>
  <si>
    <t>0911-174570</t>
  </si>
  <si>
    <t>4425</t>
  </si>
  <si>
    <t>Bezawit Melakeselam Tefera /W/t/</t>
  </si>
  <si>
    <t>ቤዛዊት መላከሰላም ተፈራ /ወ/ት/</t>
  </si>
  <si>
    <t>4426</t>
  </si>
  <si>
    <t>4427</t>
  </si>
  <si>
    <t>Bezawit Mengesha Abate /W/o/</t>
  </si>
  <si>
    <t>ቤዛዊት መንገሻ አባተ /ወ/ሮ/</t>
  </si>
  <si>
    <t>0941-923706</t>
  </si>
  <si>
    <t>4428</t>
  </si>
  <si>
    <t>Bezawit Mengistu Tiruneh /W/t/</t>
  </si>
  <si>
    <t>ቤዛዊት መንግሰት ጥሩነህ /ወ/ሮ/</t>
  </si>
  <si>
    <t>4429</t>
  </si>
  <si>
    <t>Bezawit Mesfin Dinku /Ato/</t>
  </si>
  <si>
    <t>ቤዛዊት መስፍን ድንቁ /አቶ/</t>
  </si>
  <si>
    <t>4430</t>
  </si>
  <si>
    <t>Bezawit Solomon Mesfin /W/t/</t>
  </si>
  <si>
    <t>ቤዛዊት ሰለሞን መስፍን /ወ/ት/</t>
  </si>
  <si>
    <t>0979-305628</t>
  </si>
  <si>
    <t>4431</t>
  </si>
  <si>
    <t>Bezawit Tadele Bonger /W/o/</t>
  </si>
  <si>
    <t>ቤዛዊት ታደለ ቦንገር /ወ/ሮ/</t>
  </si>
  <si>
    <t>0911-747482</t>
  </si>
  <si>
    <t>4432</t>
  </si>
  <si>
    <t>Bezawit Taye S/Mariam /W/o/</t>
  </si>
  <si>
    <t>ቤዛዊት ታዬ ሰ/ማርያም /ወ/ሮ/</t>
  </si>
  <si>
    <t>4433</t>
  </si>
  <si>
    <t>Bezawit Tesfaye Haile /W/T/</t>
  </si>
  <si>
    <t>ቤዛዊት ተስፋዬ ሀይሌ /ወ/ት/</t>
  </si>
  <si>
    <t>0911-381829</t>
  </si>
  <si>
    <t>4434</t>
  </si>
  <si>
    <t>Bezawit Tessema Bekele /W/t/</t>
  </si>
  <si>
    <t>ቤዛዊት ተሰማ በቀለ /ወ/ተ/</t>
  </si>
  <si>
    <t>4435</t>
  </si>
  <si>
    <t>Bezaye Birku Yemata /W/o/</t>
  </si>
  <si>
    <t>ቤዛዬ ብርቁ የማታ /ወ/ሮ/</t>
  </si>
  <si>
    <t>0945-371779/0911-931565</t>
  </si>
  <si>
    <t>4436</t>
  </si>
  <si>
    <t>4437</t>
  </si>
  <si>
    <t>Beze Adisu Anteneh /Ato/</t>
  </si>
  <si>
    <t>በዜ አዲሱ አንተነህ /አቶ/</t>
  </si>
  <si>
    <t>4438</t>
  </si>
  <si>
    <t>Bezenie Basorie Bagaji /Ato/</t>
  </si>
  <si>
    <t>በዛኔ ባሶሬ ባጋጃ /አቶ/</t>
  </si>
  <si>
    <t>0927-108631</t>
  </si>
  <si>
    <t>4439</t>
  </si>
  <si>
    <t>Bezie Hiruy Tamru /Ato/</t>
  </si>
  <si>
    <t>በዜ ሀሩይ ታምሩ /አቶ/</t>
  </si>
  <si>
    <t>4440</t>
  </si>
  <si>
    <t>Bezu Baranga /Ato/</t>
  </si>
  <si>
    <t>በዙ ባራንጋ /አቶ/</t>
  </si>
  <si>
    <t>4441</t>
  </si>
  <si>
    <t xml:space="preserve">Bezuayehu Adefires </t>
  </si>
  <si>
    <t>ብዙአይሁ አደፍርስ</t>
  </si>
  <si>
    <t>0913-053355</t>
  </si>
  <si>
    <t>buzayhuadefris2005@gmail.com</t>
  </si>
  <si>
    <t>4442</t>
  </si>
  <si>
    <t>Bezuayehu Busheto Maro /Ato/</t>
  </si>
  <si>
    <t>ብዙአየሁ ቡሽቶ ማሮ /አቶ/</t>
  </si>
  <si>
    <t>4443</t>
  </si>
  <si>
    <t>Bezuayehu Choneba Asele /Ato/</t>
  </si>
  <si>
    <t>ብዙአየሁ ጮምባ አስሌ /አቶ/</t>
  </si>
  <si>
    <t>4444</t>
  </si>
  <si>
    <t>Bezuayehu Dagne Dersolegn /W/o/</t>
  </si>
  <si>
    <t>ብዙአየሁ ዳኜ ደርሶልኝ /ወ/ሮ/</t>
  </si>
  <si>
    <t>0911-304845</t>
  </si>
  <si>
    <t>4445</t>
  </si>
  <si>
    <t>Bezuayehu Getu Feleke /W/o/</t>
  </si>
  <si>
    <t>ብዙአየሁ ጌጡ ፈለቀ /ወ/ሮ/</t>
  </si>
  <si>
    <t>4446</t>
  </si>
  <si>
    <t>Bezuayehu Tessema Simein /W/o/</t>
  </si>
  <si>
    <t>ብዙአየሁ ተሰማ ስሜን /ወ/ሮ/</t>
  </si>
  <si>
    <t>0929-274890</t>
  </si>
  <si>
    <t>buzes28@yahoo.com</t>
  </si>
  <si>
    <t>4447</t>
  </si>
  <si>
    <t>4448</t>
  </si>
  <si>
    <t>Bezunesh Ayele Bateso /W/O/</t>
  </si>
  <si>
    <t>ብዙነሽ አየለ ባትሶ /ወ/ሮ/</t>
  </si>
  <si>
    <t>4449</t>
  </si>
  <si>
    <t>Bezunesh Bucchi Chama /W/O</t>
  </si>
  <si>
    <t>ብዙነሽ ቡቼ ጫማ /ወ/ሮ/</t>
  </si>
  <si>
    <t>4450</t>
  </si>
  <si>
    <t>Bezuwork Adenew Selamu /W/o/</t>
  </si>
  <si>
    <t>ብዙወርቅ አድነው ሰላሙ /ወ/ሮ/</t>
  </si>
  <si>
    <t>0911-215612</t>
  </si>
  <si>
    <t>4451</t>
  </si>
  <si>
    <t>Bezuwork Mamo Woldehana /W/o/</t>
  </si>
  <si>
    <t>ብዙወርቅ ማሞ ወልደሃና /ወ/ሮ/</t>
  </si>
  <si>
    <t>0911-201704</t>
  </si>
  <si>
    <t>4452</t>
  </si>
  <si>
    <t xml:space="preserve">Bezuyehu Shewatatek /Kes </t>
  </si>
  <si>
    <t>በዙየሁ ሸዋታጠቅ /ቄስ /</t>
  </si>
  <si>
    <t>0963-307373</t>
  </si>
  <si>
    <t>4453</t>
  </si>
  <si>
    <t>Bfiker Tilahun Buzuye /Ato/</t>
  </si>
  <si>
    <t>በፍቅር ጥለሁን ብዙየ /አቶ/</t>
  </si>
  <si>
    <t>0920-171797</t>
  </si>
  <si>
    <t>4454</t>
  </si>
  <si>
    <t>Biargie Assefa Wondemu /Ato/</t>
  </si>
  <si>
    <t>ቢያረጌ አስፋ ወንድሙ /አቶ/</t>
  </si>
  <si>
    <t>0923-441841</t>
  </si>
  <si>
    <t>4455</t>
  </si>
  <si>
    <t>Biazin Anbaw Mengeste /Ato/</t>
  </si>
  <si>
    <t>ቢያዝን አንበው መንግሰቴ /አቶ/</t>
  </si>
  <si>
    <t>0918-586342</t>
  </si>
  <si>
    <t>4456</t>
  </si>
  <si>
    <t>Biazin Bizualem Dessie/Ato/</t>
  </si>
  <si>
    <t>ቢያዝን ብዙአለም ደሴ /አቶ/</t>
  </si>
  <si>
    <t>4457</t>
  </si>
  <si>
    <t>Biazin Debebe Melese (Ato)</t>
  </si>
  <si>
    <t>ቢያዘን ደበበ መለስ  /አቶ/</t>
  </si>
  <si>
    <t>4458</t>
  </si>
  <si>
    <t>Biazin Kebede Nigat /Ato/</t>
  </si>
  <si>
    <t>ቢያዝን ከበደ ንጋቱ /አቶ/</t>
  </si>
  <si>
    <t>4459</t>
  </si>
  <si>
    <t>Biazin Tadege Ayicheh /Ato/</t>
  </si>
  <si>
    <t>ቢያዝን ታደገ አየቸህ /አቶ/</t>
  </si>
  <si>
    <t>0918-102327</t>
  </si>
  <si>
    <t>4460</t>
  </si>
  <si>
    <t xml:space="preserve">Biazine Amogne/Ato </t>
  </si>
  <si>
    <t>በያዘን አሞኝ ተገኘ /አቶ/</t>
  </si>
  <si>
    <t>4461</t>
  </si>
  <si>
    <t>Biazizew Asires Bantihun /Ato/</t>
  </si>
  <si>
    <t>ቢያዝዘው አሰረስ ባንቲሁን /አቶ/</t>
  </si>
  <si>
    <t>0946-483287</t>
  </si>
  <si>
    <t>4462</t>
  </si>
  <si>
    <t xml:space="preserve">Bichise Dela /W/O/ </t>
  </si>
  <si>
    <t>ብጭሴ ዴላ /አቶ/</t>
  </si>
  <si>
    <t>4463</t>
  </si>
  <si>
    <t>Biehan Asefa Welede /Ato/</t>
  </si>
  <si>
    <t>ብርሀን አስፋ ወልዴ /አቶ/</t>
  </si>
  <si>
    <t>4464</t>
  </si>
  <si>
    <t>Bifato Bogale /Ato/</t>
  </si>
  <si>
    <t>ብፋቶ ቦጋሌ /አቶ/</t>
  </si>
  <si>
    <t>0979-846891</t>
  </si>
  <si>
    <t>4465</t>
  </si>
  <si>
    <t>Bihon Andiye Werado /Ato/</t>
  </si>
  <si>
    <t>ብሆን አንዲዬ ወራዶ /አቶ/</t>
  </si>
  <si>
    <t>0926-007895</t>
  </si>
  <si>
    <t>4466</t>
  </si>
  <si>
    <t>Bihon Mulualem Awoke /Ato</t>
  </si>
  <si>
    <t>ቢሆን ሙሉአለም ወርቅ /አቶ/</t>
  </si>
  <si>
    <t>0962-715955</t>
  </si>
  <si>
    <t>4467</t>
  </si>
  <si>
    <t>Bihon Yirga Chego /Ato/</t>
  </si>
  <si>
    <t>ቢሆን ይርጋ ቸጎ /አቶ/</t>
  </si>
  <si>
    <t>0913-525794</t>
  </si>
  <si>
    <t>4468</t>
  </si>
  <si>
    <t>Bihonegn Bamilaku /Ato/</t>
  </si>
  <si>
    <t>ቢሆነኝ ባምላኩ  /አቶ/</t>
  </si>
  <si>
    <t>4469</t>
  </si>
  <si>
    <t>Bihonegn Chaine Amar /Ato/</t>
  </si>
  <si>
    <t>ቢሆነኝ ቻኔ አማረ  /አቶ/</t>
  </si>
  <si>
    <t>4470</t>
  </si>
  <si>
    <t>Bihonegn Siraye Mekonnen /Ato/</t>
  </si>
  <si>
    <t>ቢሆነኝ ስራዬ መኮንን /አቶ/</t>
  </si>
  <si>
    <t>4471</t>
  </si>
  <si>
    <t>Bikila Abate /Ato/</t>
  </si>
  <si>
    <t>ቢቂላ አባተ /አቶ/</t>
  </si>
  <si>
    <t>0966-807993</t>
  </si>
  <si>
    <t>4472</t>
  </si>
  <si>
    <t>Bikila Abera Chaka /Ato/</t>
  </si>
  <si>
    <t>ቢቂላ አበራ ጫካ /አቶ/</t>
  </si>
  <si>
    <t>4473</t>
  </si>
  <si>
    <t>Bikis Kasse Abate /Ato/</t>
  </si>
  <si>
    <t>ቢኪስ ካሴ አባተ /አቶ/</t>
  </si>
  <si>
    <t>4474</t>
  </si>
  <si>
    <t>Bilal Yisa /Ato/</t>
  </si>
  <si>
    <t>ቢላል ይሳ /አቶ/</t>
  </si>
  <si>
    <t>4475</t>
  </si>
  <si>
    <t>Bilata Abera Wodajo /Ato/</t>
  </si>
  <si>
    <t>ብላታ አበራ ወዳጆ /አቶ/</t>
  </si>
  <si>
    <t>4476</t>
  </si>
  <si>
    <t>Bilen Firew Belete /W/o/</t>
  </si>
  <si>
    <t>ብሌን ፍሬው በለጠ /አቶ/</t>
  </si>
  <si>
    <t>4477</t>
  </si>
  <si>
    <t>4478</t>
  </si>
  <si>
    <t>Bilew Zerihun Metew /Ato/</t>
  </si>
  <si>
    <t>በለው ዘሪሁን ሜተው /አቶ/</t>
  </si>
  <si>
    <t>4479</t>
  </si>
  <si>
    <t>Bilikol Berhanu Dejene /Ato/</t>
  </si>
  <si>
    <t>ቢልኮል ብርሃኑ ደጀኔ /አቶ/</t>
  </si>
  <si>
    <t>0917-800561/0913-048433</t>
  </si>
  <si>
    <t>4480</t>
  </si>
  <si>
    <t>Bilisuma Baysa Bedasa /Ato/</t>
  </si>
  <si>
    <t>ቢሊሱማ ባይሳ በዳሳ /አቶ/</t>
  </si>
  <si>
    <t>4481</t>
  </si>
  <si>
    <t>Bilsty Debie Walle /Ato/</t>
  </si>
  <si>
    <t>ቢልስቲ ደቤ ዋለ /አቶ/</t>
  </si>
  <si>
    <t>4482</t>
  </si>
  <si>
    <t>Bimbesa Gragn Gambura (Ato)</t>
  </si>
  <si>
    <t>ቢምቤሳ ግራኝ ጋምቡራ /አቶ/</t>
  </si>
  <si>
    <t>4483</t>
  </si>
  <si>
    <t>Bimer Adane Kebede /Ato/</t>
  </si>
  <si>
    <t>ቢመር አዳነ ከበደ /አቶ/</t>
  </si>
  <si>
    <t>4484</t>
  </si>
  <si>
    <t>Bimer Berhan Bogale /Ato/</t>
  </si>
  <si>
    <t>ቢመር ብርሃን ቦጋለ /አቶ/</t>
  </si>
  <si>
    <t>0916-945262</t>
  </si>
  <si>
    <t>4485</t>
  </si>
  <si>
    <t>Bimir Ashebir Belay /Ato/</t>
  </si>
  <si>
    <t>ቢምር አሸብር በላይ /አቶ/</t>
  </si>
  <si>
    <t>0927-619871</t>
  </si>
  <si>
    <t>4486</t>
  </si>
  <si>
    <t>Bimir Lante Shishig /Ato/</t>
  </si>
  <si>
    <t>ቢሚር ላንቴ ሺሺግ /አቶ/</t>
  </si>
  <si>
    <t>0943-885263</t>
  </si>
  <si>
    <t>4487</t>
  </si>
  <si>
    <t>Bimirew Adane Lemneh /Ato/</t>
  </si>
  <si>
    <t>ቢምራው አዳነ ልመነህ /አቶ/</t>
  </si>
  <si>
    <t>4488</t>
  </si>
  <si>
    <t>Bimrew Bitew Dese /Ato/</t>
  </si>
  <si>
    <t>ቢምረው ቢተው ደሴ /አቶ/</t>
  </si>
  <si>
    <t>0958-759604</t>
  </si>
  <si>
    <t>4489</t>
  </si>
  <si>
    <t>4490</t>
  </si>
  <si>
    <t>Binalf Mengest /Ato/</t>
  </si>
  <si>
    <t>ብናልፍ መንግሰት /አቶ/</t>
  </si>
  <si>
    <t>0920-768909</t>
  </si>
  <si>
    <t>4491</t>
  </si>
  <si>
    <t>Binalfew Nigus Mehari /Ato/</t>
  </si>
  <si>
    <t>ብናልፍው ንጉስ መሀሪ /አቶ/</t>
  </si>
  <si>
    <t>4492</t>
  </si>
  <si>
    <t>Binayas Berhanu Dejene /Ato/</t>
  </si>
  <si>
    <t>ቤናያስ ብርሃኑ ደጀኔ /አቶ/</t>
  </si>
  <si>
    <t>0922-972211</t>
  </si>
  <si>
    <t>4493</t>
  </si>
  <si>
    <t>Bineyam Abdu Ali /Ato/</t>
  </si>
  <si>
    <t>ቢኒያም አብዱ አሊ /አቶ/</t>
  </si>
  <si>
    <t>0913-888106</t>
  </si>
  <si>
    <t>4494</t>
  </si>
  <si>
    <t>Bineyam Legesse Nagash /Ato/</t>
  </si>
  <si>
    <t>ቢኒያም ለገሰ ነጋሽ /አቶ/</t>
  </si>
  <si>
    <t>0911-450874/
0910-661501</t>
  </si>
  <si>
    <t>fasikfifi@gmail.com</t>
  </si>
  <si>
    <t>4495</t>
  </si>
  <si>
    <t>Bineyam Mesafent Bekele /Ato/</t>
  </si>
  <si>
    <t>ቢኒያም መሳፍንት በቀለ /አቶ/</t>
  </si>
  <si>
    <t>4496</t>
  </si>
  <si>
    <t>4497</t>
  </si>
  <si>
    <t>Biniam Admasu Mamo /Ato/</t>
  </si>
  <si>
    <t>ቢኒያም አድማሱ ማሞ /አቶ/</t>
  </si>
  <si>
    <t>4498</t>
  </si>
  <si>
    <t>Biniam Ataklit T/Haimanot /Ato/</t>
  </si>
  <si>
    <t>ቢኒያም አታክልቲ ተ/ሀይማኖት /አቶ/</t>
  </si>
  <si>
    <t>0988-347249</t>
  </si>
  <si>
    <t>4499</t>
  </si>
  <si>
    <t>4500</t>
  </si>
  <si>
    <t>Biniam Daniel Tekeste /Ato/</t>
  </si>
  <si>
    <t>ቢኒያም ዳንኤል ተከስተ /አቶ/</t>
  </si>
  <si>
    <t>0947-792035/0031-644937730</t>
  </si>
  <si>
    <t>alembrook@hotmail.com</t>
  </si>
  <si>
    <t>4501</t>
  </si>
  <si>
    <t>Biniam G/Meskel Okebamariam /Ato/</t>
  </si>
  <si>
    <t>ቢኒያም ገ/መስቀል ዕቁባማርያም /አቶ/</t>
  </si>
  <si>
    <t>okabiniam@gmail.com</t>
  </si>
  <si>
    <t>4502</t>
  </si>
  <si>
    <t>Biniam Getu Wolde /Ato/</t>
  </si>
  <si>
    <t>ቢንያም ጌቱ ወልደ /አቶ/</t>
  </si>
  <si>
    <t>0910-828423</t>
  </si>
  <si>
    <t>4503</t>
  </si>
  <si>
    <t>Biniam Girma Gashu /Ato/</t>
  </si>
  <si>
    <t>ቢኒያም ግርማ ጋሹ /አቶ/</t>
  </si>
  <si>
    <t>0947-649806</t>
  </si>
  <si>
    <t>yedeneknig@gmail.com</t>
  </si>
  <si>
    <t>4504</t>
  </si>
  <si>
    <t>Biniam Hailu Dabera /Ato/</t>
  </si>
  <si>
    <t>ቢኒያም ሀይሉ ዳበራ /አቶ/</t>
  </si>
  <si>
    <t>0913-676161/0913-676162</t>
  </si>
  <si>
    <t>4505</t>
  </si>
  <si>
    <t>Biniam Hailu Sabane /Ato/</t>
  </si>
  <si>
    <t>ቢኒያም ሀይሉ ስባኒ /አቶ/</t>
  </si>
  <si>
    <t>0966-078040</t>
  </si>
  <si>
    <t>4506</t>
  </si>
  <si>
    <t>Biniam Kalayu Kassa /Ato/ and/or Maramawit Kedir Kelil /W/o/</t>
  </si>
  <si>
    <t>ቢኒያም ካላዩ ካሳ /አቶ/ እና/ወይም ማራማዊት ከድር ከሊል /ወ/ሮ/</t>
  </si>
  <si>
    <t>4507</t>
  </si>
  <si>
    <t>Biniam Mebratu Alemu /Ato/</t>
  </si>
  <si>
    <t>ቢኒያም መብራቱ አለሙ /አቶ/</t>
  </si>
  <si>
    <t>0923-491637</t>
  </si>
  <si>
    <t>4508</t>
  </si>
  <si>
    <t>Biniam Mengistu /Ato/ and Fasika Adefris /W/o/</t>
  </si>
  <si>
    <t>0911-608454/0980-189791</t>
  </si>
  <si>
    <t>airmecho777@gmail.com</t>
  </si>
  <si>
    <t>4509</t>
  </si>
  <si>
    <t>Biniam Mulatu Zeleke /Ato/ and/or Mahder Mulatu Parviainen /W/o/</t>
  </si>
  <si>
    <t>ቢኒያም ሙላቱ ዘለቀ /አቶ/ እና/ወይም ማህደር ሙላቱ ፓርቪያይነን /ወ/ሮ/</t>
  </si>
  <si>
    <t>0977-939451</t>
  </si>
  <si>
    <t>tinasharew@gmail.com</t>
  </si>
  <si>
    <t>4510</t>
  </si>
  <si>
    <t>Biniam Samuel /Ato/</t>
  </si>
  <si>
    <t>ቢንያም ሳሙኤል /አቶ/</t>
  </si>
  <si>
    <t>4511</t>
  </si>
  <si>
    <t>Biniam Sereke Habte /Ato/</t>
  </si>
  <si>
    <t>ቢንያም ሠረቀ ሀብቴ /አቶ/</t>
  </si>
  <si>
    <t>615-6258517</t>
  </si>
  <si>
    <t>berhanut5@gmail.com</t>
  </si>
  <si>
    <t>4512</t>
  </si>
  <si>
    <t>4513</t>
  </si>
  <si>
    <t>Biniam Tsadik Muze /Ato/</t>
  </si>
  <si>
    <t>ቢኒያም ፃዲቅ ሙዜ /አቶ/</t>
  </si>
  <si>
    <t>0932-069395</t>
  </si>
  <si>
    <t>4514</t>
  </si>
  <si>
    <t>Biniam Wendimu /Ato/</t>
  </si>
  <si>
    <t>ቢኒያም ወንድሙ /አቶ/</t>
  </si>
  <si>
    <t>4515</t>
  </si>
  <si>
    <t>Biniyam Abiy Tirfe /Ato/</t>
  </si>
  <si>
    <t>ቢኒያም አባይ ትርፌ /አቶ/</t>
  </si>
  <si>
    <t>4516</t>
  </si>
  <si>
    <t>Biniyam Adane Abebo /Ato/</t>
  </si>
  <si>
    <t>ቢንያም አዳነ አቤቦ /አቶ/</t>
  </si>
  <si>
    <t>4517</t>
  </si>
  <si>
    <t>Biniyam Alemu Sinamo /Ato/</t>
  </si>
  <si>
    <t>ቢኒያም አለሙ ሲናሞ /አቶ/</t>
  </si>
  <si>
    <t>4518</t>
  </si>
  <si>
    <t>Biniyam Amanuel Getachew /Ato/</t>
  </si>
  <si>
    <t>ቢኒያም አማኑኤል ጌታቸው /አቶ/</t>
  </si>
  <si>
    <t>0976-242424</t>
  </si>
  <si>
    <t>4519</t>
  </si>
  <si>
    <t>4520</t>
  </si>
  <si>
    <t>4521</t>
  </si>
  <si>
    <t>Biniyam Astatke Ayele /Ato/</t>
  </si>
  <si>
    <t>ቢኒያም አስታጥቄ አየለ /አቶ/</t>
  </si>
  <si>
    <t>4522</t>
  </si>
  <si>
    <t>Biniyam Bate Gota /Ato/</t>
  </si>
  <si>
    <t>ቢንያም ባቴ ጎታ /አቶ/</t>
  </si>
  <si>
    <t>4523</t>
  </si>
  <si>
    <t>4524</t>
  </si>
  <si>
    <t>Biniyam Bogale Woda /Ato/</t>
  </si>
  <si>
    <t>ቢኒያም ቦጋለ /አቶ/</t>
  </si>
  <si>
    <t>4525</t>
  </si>
  <si>
    <t>Biniyam Demeke Alemu /Ato/</t>
  </si>
  <si>
    <t>ቢኒያም ደመቀ አለሙ /አቶ/</t>
  </si>
  <si>
    <t>4526</t>
  </si>
  <si>
    <t>Biniyam Desalegn Getahun /Ato/</t>
  </si>
  <si>
    <t>ቢንያም ደሳለኝ ጌታሁን /አቶ/</t>
  </si>
  <si>
    <t>4527</t>
  </si>
  <si>
    <t>Biniyam Gebeyaw Tadesse /Ato/</t>
  </si>
  <si>
    <t>ቢኒያም ገበያው ታደሰ /አቶ/</t>
  </si>
  <si>
    <t>0913-702805</t>
  </si>
  <si>
    <t>4528</t>
  </si>
  <si>
    <t>Biniyam Gudie /Ato/</t>
  </si>
  <si>
    <t>ቢኒያም ጉዴ /አቶ/</t>
  </si>
  <si>
    <t>0926-612247</t>
  </si>
  <si>
    <t>4529</t>
  </si>
  <si>
    <t>Biniyam Kalayu Kasa /Ato/</t>
  </si>
  <si>
    <t>ቢኒያም ካላአዩ ካሳ /አቶ/</t>
  </si>
  <si>
    <t>0912-047315</t>
  </si>
  <si>
    <t>4530</t>
  </si>
  <si>
    <t>Biniyam Kifle Tilahun (Ato)</t>
  </si>
  <si>
    <t xml:space="preserve">ቢኒያም ኪፍሌ ጥላሁን   /አቶ/  </t>
  </si>
  <si>
    <t>4531</t>
  </si>
  <si>
    <t>Biniyam Lemma Terressa /Ato/</t>
  </si>
  <si>
    <t>ቢኒያም ለማ ተሬሳ /አቶ/</t>
  </si>
  <si>
    <t>0911-944153</t>
  </si>
  <si>
    <t>4532</t>
  </si>
  <si>
    <t>Biniyam Mesafint Birle /Ato/</t>
  </si>
  <si>
    <t>ቢኒያም መሳፍንት ብርሌ /አቶ/</t>
  </si>
  <si>
    <t>0912-187413</t>
  </si>
  <si>
    <t>4533</t>
  </si>
  <si>
    <t>Biniyam Mitiku Kebede /Ato/</t>
  </si>
  <si>
    <t>ቢኒያም ምትኩ ከበደ /አቶ/</t>
  </si>
  <si>
    <t>4534</t>
  </si>
  <si>
    <t>Biniyam Mulugeta Hailu /Ato/</t>
  </si>
  <si>
    <t>ቢኒያም ሙሉጌታ ሀይሉ /አቶ/</t>
  </si>
  <si>
    <t>4535</t>
  </si>
  <si>
    <t>Biniyam Seyoum Tekeste /Ato/</t>
  </si>
  <si>
    <t>ቢኒያም ስዩም ተከስተ /አቶ/</t>
  </si>
  <si>
    <t>0913-573134</t>
  </si>
  <si>
    <t>binyam@binyam.io</t>
  </si>
  <si>
    <t>4536</t>
  </si>
  <si>
    <t>Biniyam Sisay Hussen /Ato/ And/or Yoseph Sisay Hussen /Ato/</t>
  </si>
  <si>
    <t>ቢኒያም ሲሳይ /አቶ/ እና /ወይም /ዮሴፍ ሲሳይ /አቶ/</t>
  </si>
  <si>
    <t>4537</t>
  </si>
  <si>
    <t>4538</t>
  </si>
  <si>
    <t>Biniyam Tekalegn Hiwot /D/r/</t>
  </si>
  <si>
    <t>ቢኒያም ተካልኝ ህይወት /ዶ/ር/</t>
  </si>
  <si>
    <t>0954-890928</t>
  </si>
  <si>
    <t>teddytg@gmail.com</t>
  </si>
  <si>
    <t>4539</t>
  </si>
  <si>
    <t>Biniyam Tesfaye Kassa /Ato/</t>
  </si>
  <si>
    <t>ቢንያም ተስፋዬ ካሳ /አቶ/</t>
  </si>
  <si>
    <t>0977-796853</t>
  </si>
  <si>
    <t>4540</t>
  </si>
  <si>
    <t>Biniyam Tilahun Tolla /Ato/</t>
  </si>
  <si>
    <t>ቢኒያም ጥላሁን ቶላ /አቶ/</t>
  </si>
  <si>
    <t>0923-272518</t>
  </si>
  <si>
    <t>4541</t>
  </si>
  <si>
    <t>Biniyam Tsidatu Areb /Ato/</t>
  </si>
  <si>
    <t>ቢኒያም ፅዳቱ አረብ /አቶ/</t>
  </si>
  <si>
    <t>4542</t>
  </si>
  <si>
    <t>Biniyam Waji (Ato)</t>
  </si>
  <si>
    <t>ቢንያም ዋጄ /አቶ/</t>
  </si>
  <si>
    <t>0916698879</t>
  </si>
  <si>
    <t>4543</t>
  </si>
  <si>
    <t>Biniyam Wubetu Abera /Ato/</t>
  </si>
  <si>
    <t>ቢኒያም ዉበቱ አበራ /አቶ/</t>
  </si>
  <si>
    <t>0934216471
0913360805</t>
  </si>
  <si>
    <t>4544</t>
  </si>
  <si>
    <t>Biniyam Zewdu Girum /Ato/</t>
  </si>
  <si>
    <t>ቢኒያም ዘውዱ ግሩም /አቶ/</t>
  </si>
  <si>
    <t>0911-063415</t>
  </si>
  <si>
    <t>b4biniyam@gmail.com</t>
  </si>
  <si>
    <t>4545</t>
  </si>
  <si>
    <t>Binor Gete Tegegn /Ato/</t>
  </si>
  <si>
    <t>ቢኖር ጌቴ ተገኘ /አቶ/</t>
  </si>
  <si>
    <t>4546</t>
  </si>
  <si>
    <t>Binyam Abel Asefa /Ato/</t>
  </si>
  <si>
    <t>ቢኒያም አቤል አሰፋ /አቶ/</t>
  </si>
  <si>
    <t>4547</t>
  </si>
  <si>
    <t>4548</t>
  </si>
  <si>
    <t>Binyam Fikre Hailu /Ato/</t>
  </si>
  <si>
    <t>ቢኒያም ፍቅሬ ሀይሉ /አቶ</t>
  </si>
  <si>
    <t>rojafun21@gmail.com</t>
  </si>
  <si>
    <t>4549</t>
  </si>
  <si>
    <t>Binyam Fikre Hailu /Ato/ And/or Sara Birhanu Faris /W/o/</t>
  </si>
  <si>
    <t>ቢኒያም ፍቅሬ ሀይሉ /አቶ/  /እና /ወይም/ ሳራ ብርሃኑ  ፋሪስ /ወ/ሮ/</t>
  </si>
  <si>
    <t>4550</t>
  </si>
  <si>
    <t>Binyam Gebre Henicho /Ato/</t>
  </si>
  <si>
    <t>ቢኒያም ገብሬ ሄንቾ /አቶ/</t>
  </si>
  <si>
    <t>0911-104455</t>
  </si>
  <si>
    <t>4551</t>
  </si>
  <si>
    <t>4552</t>
  </si>
  <si>
    <t>Binyam Muche Kebede /Ato/</t>
  </si>
  <si>
    <t>ቢኒያም ሙጨ ከበደ /አቶ/</t>
  </si>
  <si>
    <t>4553</t>
  </si>
  <si>
    <t>Binyam Nigatu W/Tsadik /Ato/</t>
  </si>
  <si>
    <t>ቢንያም ንጋቱ ወ/ፃዲቅ /አቶ/</t>
  </si>
  <si>
    <t>0911-617746</t>
  </si>
  <si>
    <t>4554</t>
  </si>
  <si>
    <t>Binyam Tadesse Bekele /Ato/</t>
  </si>
  <si>
    <t>ቢንያም ታደሰ በቀለ /አቶ/</t>
  </si>
  <si>
    <t>0910-127252</t>
  </si>
  <si>
    <t>4555</t>
  </si>
  <si>
    <t>Binyam Teshome Molla /Ato/</t>
  </si>
  <si>
    <t>ቢንያም ተሾመ ሞላ /አቶ/</t>
  </si>
  <si>
    <t>0943-962436</t>
  </si>
  <si>
    <t>4556</t>
  </si>
  <si>
    <t>Binyam Yohannes /Ato/ For Adore Binyam /Minor/</t>
  </si>
  <si>
    <t>ቢኒያም ዮሀንስ /አቶ/ ለአዶር ቢኒያም /ህፃን/</t>
  </si>
  <si>
    <t>4557</t>
  </si>
  <si>
    <t>Binyam Yohannes /Ato/ For Ephratah Binyam /Minor/</t>
  </si>
  <si>
    <t>ቢኒያም ዮሀንስ /አቶ/ ለኤፍራታ ቢኒያም /ህፃን/</t>
  </si>
  <si>
    <t>4558</t>
  </si>
  <si>
    <t>Binyam Zeray Tedla /Ato/</t>
  </si>
  <si>
    <t>ቢኒያም ዘርአይ ተድላ /አቶ/</t>
  </si>
  <si>
    <t>0935-203063</t>
  </si>
  <si>
    <t>dagemfeleke2002@gmail.com</t>
  </si>
  <si>
    <t>4559</t>
  </si>
  <si>
    <t>Binyame Getachew /Ato/ For Yafet Binyame /Mionr/</t>
  </si>
  <si>
    <t>ቢኒያም ጌታቸዉ /አቶ/ ለያፌት ቢኒያም /ህፃን/</t>
  </si>
  <si>
    <t>4560</t>
  </si>
  <si>
    <t xml:space="preserve">Binyame Getachew Temeche /Ato/ </t>
  </si>
  <si>
    <t>ቢኒያም ጌታቸዉ ተመቸ /አቶ/</t>
  </si>
  <si>
    <t>4561</t>
  </si>
  <si>
    <t>Bira Fenta /Ato/</t>
  </si>
  <si>
    <t>ብሬ ፈንታ /አቶ/</t>
  </si>
  <si>
    <t>4562</t>
  </si>
  <si>
    <t>Biramo Fola /Ato/</t>
  </si>
  <si>
    <t>ቢራሞ ፎላ /አቶ/</t>
  </si>
  <si>
    <t>4563</t>
  </si>
  <si>
    <t>Biramo Haile Wageshe /Ato/</t>
  </si>
  <si>
    <t>ቢራሞ ሀይሌ ዋግሼ /አቶ/</t>
  </si>
  <si>
    <t>tewodiros</t>
  </si>
  <si>
    <t>4564</t>
  </si>
  <si>
    <t>Biranesh Guduno Anijolo (W/O)</t>
  </si>
  <si>
    <t>ብራነሸ ጉዱኖ አንጁሎ /ወ/ሮ/</t>
  </si>
  <si>
    <t>4565</t>
  </si>
  <si>
    <t>Birara Asimare Simegn /Ato/</t>
  </si>
  <si>
    <t>ቢራራ አስማረ ስመኝ /አቶ/</t>
  </si>
  <si>
    <t>4566</t>
  </si>
  <si>
    <t>Birara Assefa Yalew /Ato/</t>
  </si>
  <si>
    <t>ቢራራ አስፋ ያለው /አቶ/</t>
  </si>
  <si>
    <t>4567</t>
  </si>
  <si>
    <t>Birara Ayele Asefa /Ato/</t>
  </si>
  <si>
    <t>ቢራራ አየለ አሰፋ /አቶ/</t>
  </si>
  <si>
    <t>4568</t>
  </si>
  <si>
    <t xml:space="preserve">Birara Getnet Gesese /Ato/ </t>
  </si>
  <si>
    <t>ቢራራ ጌትነት ገሠሠ /አቶ/</t>
  </si>
  <si>
    <t>4569</t>
  </si>
  <si>
    <t>Birara Miniye Yenesew /Ato/</t>
  </si>
  <si>
    <t>ቢራራ ሚኒዬ የኔሰው /አቶ/</t>
  </si>
  <si>
    <t>4570</t>
  </si>
  <si>
    <t>Birara Tadesse Tesema /Ato/</t>
  </si>
  <si>
    <t>ቢራራ ታደሰ ተሰማ /አቶ/</t>
  </si>
  <si>
    <t>4571</t>
  </si>
  <si>
    <t>Birara Wondimineh /Ato/</t>
  </si>
  <si>
    <t>ቢራራ ወንድምነህ /አቶ/</t>
  </si>
  <si>
    <t>4572</t>
  </si>
  <si>
    <t>Birara Yayehrad Mitkie /Ato/</t>
  </si>
  <si>
    <t>ቢራራ ያይህይራድ ምትኬ /አቶ/</t>
  </si>
  <si>
    <t>4573</t>
  </si>
  <si>
    <t>Bire Belaye Nega /W/o/</t>
  </si>
  <si>
    <t>ብሬ በላይ ነጋ /ወ/ኦ/</t>
  </si>
  <si>
    <t>4574</t>
  </si>
  <si>
    <t>Bire Mitiku Demisse /Ato/</t>
  </si>
  <si>
    <t>ብሬ ምትኩ ደምሴ /አቶ/</t>
  </si>
  <si>
    <t>4575</t>
  </si>
  <si>
    <t>Bire Wolde Kebebew /Ato/</t>
  </si>
  <si>
    <t>ብሬ ወልዴ ከበበው /አቶ/</t>
  </si>
  <si>
    <t>4576</t>
  </si>
  <si>
    <t>Birega Biliso Bnbiso /Ato/</t>
  </si>
  <si>
    <t>ቢረጋ ቢሊሶ ብንቢሶ /አቶ/</t>
  </si>
  <si>
    <t>4577</t>
  </si>
  <si>
    <t>Birehan Mitiku Abate /Ato/</t>
  </si>
  <si>
    <t>ብርሃን ምትኩ አባተ /አቶ/</t>
  </si>
  <si>
    <t>4578</t>
  </si>
  <si>
    <t>Birehanu Eshetie Tarkegn /Ato/</t>
  </si>
  <si>
    <t>ብርሀኑ እሸቴ ታረቀኝ /አቶ/</t>
  </si>
  <si>
    <t>4579</t>
  </si>
  <si>
    <t>Birehanu Ewunetu Belete /Ato/</t>
  </si>
  <si>
    <t>ብርሃኑ እውነቱ በለጠ /አቶ/</t>
  </si>
  <si>
    <t>4580</t>
  </si>
  <si>
    <t>Birehanu Hailu Dengede /Ato/</t>
  </si>
  <si>
    <t>ብርሃኑ ሀይሉ ዲነግዴ /አቶ/</t>
  </si>
  <si>
    <t>4581</t>
  </si>
  <si>
    <t>Birele Kachito Gibo /Ato/</t>
  </si>
  <si>
    <t>ብርሌ ብችቶ ግቦ /አቶ/</t>
  </si>
  <si>
    <t>4582</t>
  </si>
  <si>
    <t>Biresaw Alemnie Birhanie /Ato/</t>
  </si>
  <si>
    <t>ብረሳው አላምኔ ብርሃኔ /አቶ/</t>
  </si>
  <si>
    <t>4583</t>
  </si>
  <si>
    <t>Biresaw Hunegnaw Alehgn /Ato/</t>
  </si>
  <si>
    <t>ቢረሳው ሀንጋው አለህኝ  /አቶ/</t>
  </si>
  <si>
    <t>0920-692350</t>
  </si>
  <si>
    <t>4584</t>
  </si>
  <si>
    <t>Biresaw Muluadam Bozie (Ato)</t>
  </si>
  <si>
    <t>ቢረሳው ሙሉአዳም ቦዜ /አቶ/</t>
  </si>
  <si>
    <t>0993050033</t>
  </si>
  <si>
    <t>4585</t>
  </si>
  <si>
    <t>Biresaw Muluken Mesile /Ato/</t>
  </si>
  <si>
    <t>ቢረሳዉ ሙሉቀን መስሌ /አቶ/</t>
  </si>
  <si>
    <t>4586</t>
  </si>
  <si>
    <t>Biresaw Nigusse Zegeye /Ato/</t>
  </si>
  <si>
    <t>ቢረሳው ንጉሴ ዘገየ /አቶ/</t>
  </si>
  <si>
    <t>4587</t>
  </si>
  <si>
    <t>Biresaw Terefe Bogale / Ato/</t>
  </si>
  <si>
    <t>ቢረሳው ተረፈ ቦጋለ /አቶ/</t>
  </si>
  <si>
    <t>4588</t>
  </si>
  <si>
    <t>Biresew Tagele Tesfaye /Ato/</t>
  </si>
  <si>
    <t>ቢረሰው ታገለ ተስፋዬ /አቶ/</t>
  </si>
  <si>
    <t>4589</t>
  </si>
  <si>
    <t>Biretukan Debeko Beroda /W/O/</t>
  </si>
  <si>
    <t>ቡርቱካን ደበቆ በሮዳ /ወ/ሮ/</t>
  </si>
  <si>
    <t>4590</t>
  </si>
  <si>
    <t>Birgisa A/Nega  /Ato/</t>
  </si>
  <si>
    <t>ቢረጊሶ አ/ነጋ /አቶ/</t>
  </si>
  <si>
    <t>0920-895490</t>
  </si>
  <si>
    <t>4591</t>
  </si>
  <si>
    <t>Birhan  Taye /Ato/</t>
  </si>
  <si>
    <t>ብርሃን ታዬ /አቶ/</t>
  </si>
  <si>
    <t>4592</t>
  </si>
  <si>
    <t>Birhan Achenafi /Ato/</t>
  </si>
  <si>
    <t>ብርሃን አጨናፊ /አቶ/</t>
  </si>
  <si>
    <t>4593</t>
  </si>
  <si>
    <t>Birhan Adamu /Ato/</t>
  </si>
  <si>
    <t>ብርሃን አዳሙ /አቶ/</t>
  </si>
  <si>
    <t>0904-347720</t>
  </si>
  <si>
    <t>4594</t>
  </si>
  <si>
    <t>Birhan Admasu W/kiros /Ato/</t>
  </si>
  <si>
    <t>ብርሃን አድማሱ ወ/ኪሮስ /አቶ/</t>
  </si>
  <si>
    <t>0942-601778</t>
  </si>
  <si>
    <t>4595</t>
  </si>
  <si>
    <t>Birhan Adugna /Mergeta/</t>
  </si>
  <si>
    <t>ብርሃን አዱኛ /መርጌታ/</t>
  </si>
  <si>
    <t>4596</t>
  </si>
  <si>
    <t>Birhan Alemu Tsiga /Ato/</t>
  </si>
  <si>
    <t>ብርሃን አለሙ ፅጋ /አቶ/</t>
  </si>
  <si>
    <t>0911-591293</t>
  </si>
  <si>
    <t>4597</t>
  </si>
  <si>
    <t>Birhan Arega Molla /W/o/</t>
  </si>
  <si>
    <t>ብርሃን አረጋ ሞላ /ወ/ሮ/</t>
  </si>
  <si>
    <t>4598</t>
  </si>
  <si>
    <t>Birhan Asaye Yedgi /Ato/</t>
  </si>
  <si>
    <t>ብርሃን አሳየ ይደግ /አቶ/</t>
  </si>
  <si>
    <t>4599</t>
  </si>
  <si>
    <t>Birhan Biraga /Ato/</t>
  </si>
  <si>
    <t>ብርሃን ብራጋ /አቶ/</t>
  </si>
  <si>
    <t>0910-327841</t>
  </si>
  <si>
    <t>4600</t>
  </si>
  <si>
    <t>Birhan Derbew Chanyalew /W/o/</t>
  </si>
  <si>
    <t>ብርሃን ደርበው ጫንያለው /ወ/ሮ/</t>
  </si>
  <si>
    <t>0929-013434</t>
  </si>
  <si>
    <t>4601</t>
  </si>
  <si>
    <t>Birhan Getachew Seteg /Ato/</t>
  </si>
  <si>
    <t>ብርሃን ጌታቸው ሰተት /አቶ/</t>
  </si>
  <si>
    <t>0915-736641</t>
  </si>
  <si>
    <t>4602</t>
  </si>
  <si>
    <t>Birhan Getaneh Tachbele /Ato/</t>
  </si>
  <si>
    <t>ብርሃን ጌታነህ ታችበሌ /አቶ/</t>
  </si>
  <si>
    <t>0910-318627</t>
  </si>
  <si>
    <t>4603</t>
  </si>
  <si>
    <t>Birhan Getaneh Wube /Ato/</t>
  </si>
  <si>
    <t>ብርሃን ጌታነህ ዉቤ /አቶ/</t>
  </si>
  <si>
    <t>0910-407014</t>
  </si>
  <si>
    <t>4604</t>
  </si>
  <si>
    <t>Birhan Hailegnaw Beneberu /W/o/</t>
  </si>
  <si>
    <t>ብርሀን ሀይለኛዉ በነበሩ /ወ/ሮ/</t>
  </si>
  <si>
    <t>4605</t>
  </si>
  <si>
    <t>Birhan Medelel Damtie /Ato/</t>
  </si>
  <si>
    <t>ብርሃን መደለል ዳምጤ /አቶ/</t>
  </si>
  <si>
    <t>4606</t>
  </si>
  <si>
    <t>Birhan Tadesse Molla /W/o/</t>
  </si>
  <si>
    <t>ብርሃን ታደሰ ሞላ /ወ/ሮ/</t>
  </si>
  <si>
    <t>0921-350222</t>
  </si>
  <si>
    <t>4607</t>
  </si>
  <si>
    <t>Birhan Tagesse Habte /W/o/</t>
  </si>
  <si>
    <t>ብርሃን ታገስ ሀብቴ /ወ/ሮ/</t>
  </si>
  <si>
    <t>0911-232283</t>
  </si>
  <si>
    <t>4608</t>
  </si>
  <si>
    <t>Birhan Tefera Yegnanew /Ato/</t>
  </si>
  <si>
    <t>ብርሃን ተፈራ የኛነው /አቶ/</t>
  </si>
  <si>
    <t>4609</t>
  </si>
  <si>
    <t>Birhan Tegegne Aragew /Ato/</t>
  </si>
  <si>
    <t>ብርሃን ተገኜ አረጋው /አቶ/</t>
  </si>
  <si>
    <t>4610</t>
  </si>
  <si>
    <t>Birhan Tesfa Asere  /Ato/</t>
  </si>
  <si>
    <t>ብርሃን ተስፋ አሰሬ /አቶ/</t>
  </si>
  <si>
    <t>4611</t>
  </si>
  <si>
    <t>Birhan W/Michael Tesfay /W/t/</t>
  </si>
  <si>
    <t>ብርሃን ወ/ሚካኤል ተስፋይ /ወ/ት/</t>
  </si>
  <si>
    <t>0923-299626</t>
  </si>
  <si>
    <t>legessebenyam127@gmail.com</t>
  </si>
  <si>
    <t>4612</t>
  </si>
  <si>
    <t>Birhan Yibeltal Chane /W/O/</t>
  </si>
  <si>
    <t xml:space="preserve">ብርሃኑ ይበልጣል ጫኔ /አቶ/ </t>
  </si>
  <si>
    <t>4613</t>
  </si>
  <si>
    <t>4614</t>
  </si>
  <si>
    <t>Birhane Bekele Geleta /W/o/</t>
  </si>
  <si>
    <t>ብርሃኔ በቀለ ገለታ /ወ/ሮ/</t>
  </si>
  <si>
    <t>0910-933183</t>
  </si>
  <si>
    <t>4615</t>
  </si>
  <si>
    <t>Birhane Eneyew Mesele /Ato/</t>
  </si>
  <si>
    <t>ብርሃነ እነየው መሰለ /አቶ/</t>
  </si>
  <si>
    <t>4616</t>
  </si>
  <si>
    <t xml:space="preserve">Birhane Kassahun Shewangzaw </t>
  </si>
  <si>
    <t xml:space="preserve">ብርሃኔ ካሳሁን ሸዋንግዛው </t>
  </si>
  <si>
    <t>0943-842298</t>
  </si>
  <si>
    <t>ncrusier@gmail.com</t>
  </si>
  <si>
    <t>4617</t>
  </si>
  <si>
    <t>Birhane Telahun Tagele /Ato/</t>
  </si>
  <si>
    <t>ብርሀኔ ጥላሁን ታገለ /አቶ/</t>
  </si>
  <si>
    <t>0918-397226</t>
  </si>
  <si>
    <t>4618</t>
  </si>
  <si>
    <t>Birhane Wondimagegnehu /W/o/</t>
  </si>
  <si>
    <t>ብርሃኔ  ወንድማገኘሁ በላይነህ /ወ/ሮ/</t>
  </si>
  <si>
    <t>0923-936312
0911-459862</t>
  </si>
  <si>
    <t>4619</t>
  </si>
  <si>
    <t>Birhane Worke W/Giyorgis /Ato/</t>
  </si>
  <si>
    <t>ብርሀሃኔ ወርቄ ወልደጊዮርጊሰ /አቶ/</t>
  </si>
  <si>
    <t>4620</t>
  </si>
  <si>
    <t>Birhanesh Birhanu /W/O/</t>
  </si>
  <si>
    <t>ብርሃኔሸ ብርሃኑ /ወ/ሮ/</t>
  </si>
  <si>
    <t>4621</t>
  </si>
  <si>
    <t>Birhanesh Demisse Dantie /W/o/</t>
  </si>
  <si>
    <t xml:space="preserve"> ብርሀነሽ ደምሴ ዳምቴ /ወ/ሮ/</t>
  </si>
  <si>
    <t>4622</t>
  </si>
  <si>
    <t>Birhani Dumo Fifa /W/o/</t>
  </si>
  <si>
    <t>ብርሀኔ ዱሞ  ፊፋ /ወ/ሮ/</t>
  </si>
  <si>
    <t>4623</t>
  </si>
  <si>
    <t>Birhanie Assefa Achewach /Ato/</t>
  </si>
  <si>
    <t>ብርሐኔ አሰፋ አጨዋች /አቶ/</t>
  </si>
  <si>
    <t>0922-521220</t>
  </si>
  <si>
    <t>4624</t>
  </si>
  <si>
    <t>Birhanie Estifanos /W/o/</t>
  </si>
  <si>
    <t>ብርሃኔ እስጢፋኖስ ጨፋቅ /ወ/ሮ/</t>
  </si>
  <si>
    <t>0910-195520
011-3482727</t>
  </si>
  <si>
    <t>4625</t>
  </si>
  <si>
    <t>Birhanu Abebaw Meselu /Ato/</t>
  </si>
  <si>
    <t>ብርሃኑ አበባው መሰሉ /አቶ/</t>
  </si>
  <si>
    <t>4626</t>
  </si>
  <si>
    <t>Birhanu Abebe Duge /Ato/</t>
  </si>
  <si>
    <t>ብርሃኑ አበበ ዱጌ /አቶ/</t>
  </si>
  <si>
    <t>4627</t>
  </si>
  <si>
    <t>Birhanu Abera Dadi /Ato/</t>
  </si>
  <si>
    <t>ብርሃኑ አበራ ዳዲ /አቶ/</t>
  </si>
  <si>
    <t>0924-027432
0913-781433</t>
  </si>
  <si>
    <t>4628</t>
  </si>
  <si>
    <t>Birhanu Abera Kasse /Ato/</t>
  </si>
  <si>
    <t>ብርሃኑ አበራ ካሴ /አቶ/</t>
  </si>
  <si>
    <t>4629</t>
  </si>
  <si>
    <t>Birhanu Addiss /Ato/</t>
  </si>
  <si>
    <t>ብርሃኑ አዲስ /አቶ/</t>
  </si>
  <si>
    <t>4630</t>
  </si>
  <si>
    <t>Birhanu Admas Awoke /Ato/</t>
  </si>
  <si>
    <t>ብርሃኑ አድማሱ አወቀ /አቶ/</t>
  </si>
  <si>
    <t>0962-018516</t>
  </si>
  <si>
    <t>4631</t>
  </si>
  <si>
    <t>Birhanu Ajamo Ourgo /Ato/</t>
  </si>
  <si>
    <t>ብርሃኑ ሀጃሞ ኡርጎ /አቶ/</t>
  </si>
  <si>
    <t>4632</t>
  </si>
  <si>
    <t>Birhanu Alehgne Eshetie /Ato/</t>
  </si>
  <si>
    <t xml:space="preserve">ብርሃኑ አለኳኝ እሸቴ /አቶ/ </t>
  </si>
  <si>
    <t>4633</t>
  </si>
  <si>
    <t>Birhanu Andarege Werke /Ato/</t>
  </si>
  <si>
    <t>ብርሀኑ አንዳርጌ ወርቄ /አቶ/</t>
  </si>
  <si>
    <t>0945-270266</t>
  </si>
  <si>
    <t>4634</t>
  </si>
  <si>
    <t>Birhanu Aschalew Zeleke /Ato/</t>
  </si>
  <si>
    <t>ብርሃኑ አስቻለው ዘለቀ /አቶ/</t>
  </si>
  <si>
    <t>0913-456317</t>
  </si>
  <si>
    <t>sandraabate66@gmail.com</t>
  </si>
  <si>
    <t>4635</t>
  </si>
  <si>
    <t>Birhanu Asegu Enyew /Ato/</t>
  </si>
  <si>
    <t>ብርሃኑ አሠጉ እንየው /አቶ/</t>
  </si>
  <si>
    <t>4636</t>
  </si>
  <si>
    <t>Birhanu Ashebir Sako /Ato/</t>
  </si>
  <si>
    <t>ብርሃኑ አሸብር ሳቆ /አቶ/</t>
  </si>
  <si>
    <t>0926-160700</t>
  </si>
  <si>
    <t>4637</t>
  </si>
  <si>
    <t>Birhanu Ayalew Temesgen /Ato/</t>
  </si>
  <si>
    <t>ብርሀኑ አያሌው ተመሰጌን /አቶ/</t>
  </si>
  <si>
    <t>4638</t>
  </si>
  <si>
    <t>Birhanu Ayele /Ato/</t>
  </si>
  <si>
    <t>ብርሃኑ አየለ /አቶ/</t>
  </si>
  <si>
    <t>0911-349812</t>
  </si>
  <si>
    <t>4639</t>
  </si>
  <si>
    <t>Birhanu Bacho /Ato/</t>
  </si>
  <si>
    <t>ብርሃኑ ባቾ /አቶ/</t>
  </si>
  <si>
    <t>0953-929715</t>
  </si>
  <si>
    <t>4640</t>
  </si>
  <si>
    <t>Birhanu Balecha /Ato/</t>
  </si>
  <si>
    <t>ብርሃኑ ባለቻ /አቶ/</t>
  </si>
  <si>
    <t>4641</t>
  </si>
  <si>
    <t>Birhanu Bayu geremew /Ato/</t>
  </si>
  <si>
    <t>ብርሃኑ ባዩ ገረመው /አቶ/</t>
  </si>
  <si>
    <t>4642</t>
  </si>
  <si>
    <t>Birhanu Bekele Robelie /Ato/</t>
  </si>
  <si>
    <t>ብርሃኑ በቀለ ሮበሌ /አቶ/</t>
  </si>
  <si>
    <t>4643</t>
  </si>
  <si>
    <t>Birhanu Biserat W/tinsae /Ato/</t>
  </si>
  <si>
    <t>ብርሃኑ ብሰራት ወ/ትንሳኤ /አቶ/</t>
  </si>
  <si>
    <t>4644</t>
  </si>
  <si>
    <t>Birhanu Burika /Ato/</t>
  </si>
  <si>
    <t>ብርሃኑ ቡርቀ /አቶ/</t>
  </si>
  <si>
    <t>0976-070712</t>
  </si>
  <si>
    <t>4645</t>
  </si>
  <si>
    <t xml:space="preserve">Birhanu Daniel Tasew /Ato/ </t>
  </si>
  <si>
    <t>ብርሃኑ ዳንኤል ጣሰዉ /አቶ/</t>
  </si>
  <si>
    <t>4646</t>
  </si>
  <si>
    <t>Birhanu Daya /Ato/</t>
  </si>
  <si>
    <t>ብራኑ ዳያ /አቶ/</t>
  </si>
  <si>
    <t>4647</t>
  </si>
  <si>
    <t>Birhanu Debeb Ewenete  /memher/</t>
  </si>
  <si>
    <t>ብርሃኑ ደበበ እውነት /መምህር/</t>
  </si>
  <si>
    <t>4648</t>
  </si>
  <si>
    <t>Birhanu Dejene Megersa /Ato/</t>
  </si>
  <si>
    <t>ብርሃኑ ደጀኔ መገርሳ /አቶ/</t>
  </si>
  <si>
    <t>4649</t>
  </si>
  <si>
    <t>Birhanu Dereso Fenta /Ato/</t>
  </si>
  <si>
    <t>ብርሃኑ ደረሶ ፈንታ /አቶ/</t>
  </si>
  <si>
    <t>4650</t>
  </si>
  <si>
    <t>Birhanu Destaw Melese /Ato/</t>
  </si>
  <si>
    <t>በርሃኑ ደስታዉ መለሰ /አቶ/</t>
  </si>
  <si>
    <t>4651</t>
  </si>
  <si>
    <t>Birhanu Endalamaw /Ato/</t>
  </si>
  <si>
    <t>ብርሃኑ እንዳላማው /አቶ/</t>
  </si>
  <si>
    <t>4652</t>
  </si>
  <si>
    <t xml:space="preserve">Birhanu Engida Asefa /Ato/ </t>
  </si>
  <si>
    <t>ብርሃኑ እንግዳ አሰፋ  /አቶ/</t>
  </si>
  <si>
    <t>4653</t>
  </si>
  <si>
    <t>Birhanu Esayas /Ato/</t>
  </si>
  <si>
    <t>ብራሃኑ እሳያስ /አቶ/</t>
  </si>
  <si>
    <t>0964-524141</t>
  </si>
  <si>
    <t>4654</t>
  </si>
  <si>
    <t>4655</t>
  </si>
  <si>
    <t>Birhanu Ewunete Abate /Ato/</t>
  </si>
  <si>
    <t>ብርሀኑ እውነቴ አባቴ /አቶ/</t>
  </si>
  <si>
    <t>0922-276770</t>
  </si>
  <si>
    <t>4656</t>
  </si>
  <si>
    <t>Birhanu Getahun Chekol /Ato/</t>
  </si>
  <si>
    <t>ብርሃኑ ጌታሁን ቸኮል /አቶ/</t>
  </si>
  <si>
    <t>0921-291452</t>
  </si>
  <si>
    <t>4657</t>
  </si>
  <si>
    <t>Birhanu Gete Beyene /Ato/</t>
  </si>
  <si>
    <t>ብርሃኑ ጌቴ በየነ /አቶ/</t>
  </si>
  <si>
    <t>0940-658985</t>
  </si>
  <si>
    <t>4658</t>
  </si>
  <si>
    <t>Birhanu Gite Engeda /Ato/</t>
  </si>
  <si>
    <t>ብርሃኑ ጌቴ እንግዳ /አቶ/</t>
  </si>
  <si>
    <t>4659</t>
  </si>
  <si>
    <t>Birhanu Guadie Getnet /Ato/</t>
  </si>
  <si>
    <t>ብርሃኑ ጓዴ ሄትነት /አቶ/</t>
  </si>
  <si>
    <t>0908-953059</t>
  </si>
  <si>
    <t>4660</t>
  </si>
  <si>
    <t>Birhanu Gujo Yeta /Ato/</t>
  </si>
  <si>
    <t>ብርሃኑ ጉጆ ዬታ /አቶ/</t>
  </si>
  <si>
    <t>0904-417234</t>
  </si>
  <si>
    <t>4661</t>
  </si>
  <si>
    <t>Birhanu Hariso /Ato/</t>
  </si>
  <si>
    <t>ብርሃኑ ሀርሶ /አቶ/</t>
  </si>
  <si>
    <t>0919-516271</t>
  </si>
  <si>
    <t>4662</t>
  </si>
  <si>
    <t>Birhanu Heyeso Dumo /Ato/</t>
  </si>
  <si>
    <t>ብርሀኑ ሀዬሶ ዱሞ /አቶ/</t>
  </si>
  <si>
    <t>4663</t>
  </si>
  <si>
    <t>Birhanu Kebede Etana /Ato/</t>
  </si>
  <si>
    <t>ብርሃኑ ከበደ ኢታና /አቶ/</t>
  </si>
  <si>
    <t>0911-468093</t>
  </si>
  <si>
    <t>4664</t>
  </si>
  <si>
    <t>Birhanu Kinfe Gebre /Ato/ and/or Emebet Abebe Demissie /W/o/</t>
  </si>
  <si>
    <t>ብርሃኑ ክንፈ ገብሬ /አቶ/ እና/ወይም እመቤት አበበ ደምሴ  /ወ/ሮ/</t>
  </si>
  <si>
    <t>0913-262321
0911-708140</t>
  </si>
  <si>
    <t>Brouk.est75@gmail.com</t>
  </si>
  <si>
    <t>4665</t>
  </si>
  <si>
    <t>Birhanu Kuta Kunke /Ato/</t>
  </si>
  <si>
    <t>ብርሃኑ ኩታ ኩንኬ /አቶ/</t>
  </si>
  <si>
    <t>4666</t>
  </si>
  <si>
    <t>Birhanu Lasha /Ato/</t>
  </si>
  <si>
    <t>ብርሃኑ ላሻ /አቶ/</t>
  </si>
  <si>
    <t>4667</t>
  </si>
  <si>
    <t>Birhanu Lema Debele /Ato/</t>
  </si>
  <si>
    <t>ብረሃኑ ለማ ደበሌ /አቶ/</t>
  </si>
  <si>
    <t>4668</t>
  </si>
  <si>
    <t>Birhanu Mekuria Mengesha /Ato/</t>
  </si>
  <si>
    <t>ብርሃኑ መኩሪያ መንገሻ /አቶ/</t>
  </si>
  <si>
    <t>0910-799543</t>
  </si>
  <si>
    <t>4669</t>
  </si>
  <si>
    <t>Birhanu Melaku Walle /Ato/</t>
  </si>
  <si>
    <t xml:space="preserve">ብርሃኑ መላኩ ዋለ /አቶ/ </t>
  </si>
  <si>
    <t>4670</t>
  </si>
  <si>
    <t>Birhanu Melese Baruda /Ato/</t>
  </si>
  <si>
    <t>ብርሃኑ መለሰ ባሩዳ /አቶ/</t>
  </si>
  <si>
    <t>0912-014803/0911-008469</t>
  </si>
  <si>
    <t>Ashenafimendera1992@gmail.com</t>
  </si>
  <si>
    <t>4671</t>
  </si>
  <si>
    <t>Birhanu Melese Meshesha /Ato/</t>
  </si>
  <si>
    <t>ብረሃኑ መለሰ መሸሻ /አቶ/</t>
  </si>
  <si>
    <t>0938-325110</t>
  </si>
  <si>
    <t>4672</t>
  </si>
  <si>
    <t>Birhanu Munaye Kebebewe /Ato/</t>
  </si>
  <si>
    <t>ብርሃኑ ሙንየ ከበበው /አቶ/</t>
  </si>
  <si>
    <t>4673</t>
  </si>
  <si>
    <t>Birhanu Nega Fenta /Ato/</t>
  </si>
  <si>
    <t>ብርሃኑ ነጋ ፈንታ /አቶ/</t>
  </si>
  <si>
    <t>4674</t>
  </si>
  <si>
    <t>Birhanu Sebsibe Yimer /Ato/</t>
  </si>
  <si>
    <t>ብርሃኑ ሰብስቤ ይመር /አቶ</t>
  </si>
  <si>
    <t>4675</t>
  </si>
  <si>
    <t>Birhanu Shefera H/Giwergis /Ato/</t>
  </si>
  <si>
    <t>ብርሀኔ ሽፈራ ሀ/ጊወርጊስ /አቶ/</t>
  </si>
  <si>
    <t>4676</t>
  </si>
  <si>
    <t>Birhanu Shibabe Tesfa /Ato/</t>
  </si>
  <si>
    <t>ብርሃኑ ሸባቤ ተሰፋ /አቶ/</t>
  </si>
  <si>
    <t>4677</t>
  </si>
  <si>
    <t>Birhanu Shimels Metaferia /Ato/</t>
  </si>
  <si>
    <t>ብርሀኑ ሽመልስ መታፈሪያ /አቶ/</t>
  </si>
  <si>
    <t>4678</t>
  </si>
  <si>
    <t>Birhanu Sime Asefa /Ato/</t>
  </si>
  <si>
    <t xml:space="preserve">ብርሀኑ ስሜ አሰፋ /አቶ/ </t>
  </si>
  <si>
    <t>4679</t>
  </si>
  <si>
    <t>Birhanu Sime Asefa /Ato/ And/or Sntayew Sime Asefa /Ato/</t>
  </si>
  <si>
    <t>ብርሀኑ ስሜ አሰፋ /አቶ/ ለ ስንታየሁ ስሜ አሰፋ /ህፃን/</t>
  </si>
  <si>
    <t>4680</t>
  </si>
  <si>
    <t>Birhanu Sintayehu Admas /Ato/</t>
  </si>
  <si>
    <t>ብርሃኑ ሰንታየሁ አድማሱ /አቶ/</t>
  </si>
  <si>
    <t>4681</t>
  </si>
  <si>
    <t>Birhanu Sunsa Tulich  /Ato/</t>
  </si>
  <si>
    <t>ብርሃኑ ሱንሳ ቱልች /አቶ/</t>
  </si>
  <si>
    <t>4682</t>
  </si>
  <si>
    <t>Birhanu Tarekegn Tegegn /Ato/</t>
  </si>
  <si>
    <t>ብርሃኑ ታረቀኝ ተገኝ /አቶ/</t>
  </si>
  <si>
    <t>4683</t>
  </si>
  <si>
    <t>Birhanu Tebeb Teka /Ato/</t>
  </si>
  <si>
    <t>ብርሀኑ ጥበበ ተካ /አቶ/</t>
  </si>
  <si>
    <t>0985-956373</t>
  </si>
  <si>
    <t>4684</t>
  </si>
  <si>
    <t>Birhanu Tefera H/silassie /Ato/</t>
  </si>
  <si>
    <t>ብርሀኑ ተፈራ ሀ/ስላሴ /አቶ/</t>
  </si>
  <si>
    <t>4685</t>
  </si>
  <si>
    <t>Birhanu Teka Delele /Ato/</t>
  </si>
  <si>
    <t>ብርሃኑ ተካ ደለለ</t>
  </si>
  <si>
    <t>4686</t>
  </si>
  <si>
    <t>Birhanu Tesfahun Demeke /Ato/</t>
  </si>
  <si>
    <t>ብርሃኑ ተስፋሁን ደመቀ /አቶ/</t>
  </si>
  <si>
    <t>362-040-31748</t>
  </si>
  <si>
    <t>watnafseged@gmail.com</t>
  </si>
  <si>
    <t>4687</t>
  </si>
  <si>
    <t>Birhanu Tigabu Abebe /Ato/</t>
  </si>
  <si>
    <t>ብርሃኑ ጥጋቡ አበበ /አቶ/</t>
  </si>
  <si>
    <t>4688</t>
  </si>
  <si>
    <t>Birhanu Tilaye Tegegn /Ato/</t>
  </si>
  <si>
    <t>ብርሃኑ ጥላየ ተገኘ /አቶ/</t>
  </si>
  <si>
    <t>4689</t>
  </si>
  <si>
    <t>Birhanu Tirkasso Joffe /Ato/</t>
  </si>
  <si>
    <t>ብርሃኑ ቲርከሶ ጆፌ /አቶ/</t>
  </si>
  <si>
    <t>0911-764734</t>
  </si>
  <si>
    <t>4690</t>
  </si>
  <si>
    <t>Birhanu Wolde Ashebo /Ato/</t>
  </si>
  <si>
    <t>ብርሃኑ ወልዴ አሼቦ /አቶ/</t>
  </si>
  <si>
    <t>4691</t>
  </si>
  <si>
    <t>Birhanu Zeleke Alamrew /Ato/</t>
  </si>
  <si>
    <t>ብርሃኑ ዘለቀ አላምረው /አቶ/</t>
  </si>
  <si>
    <t>0912-610772</t>
  </si>
  <si>
    <t>4692</t>
  </si>
  <si>
    <t>Birhene Asfaw Zenebe /Ato/</t>
  </si>
  <si>
    <t>ብርሀኑ አስፋው ዘነበ /አቶ/</t>
  </si>
  <si>
    <t>4693</t>
  </si>
  <si>
    <t>Birie  Binor Tamirat /Ato/</t>
  </si>
  <si>
    <t>ብሬ ቢኖር ታምራት    /አቶ/</t>
  </si>
  <si>
    <t>4694</t>
  </si>
  <si>
    <t>Birie Kefie Nigatu /Ato/</t>
  </si>
  <si>
    <t>ብሬ ከፌ ንጋቱ /አቶ/</t>
  </si>
  <si>
    <t>0943-498916</t>
  </si>
  <si>
    <t>4695</t>
  </si>
  <si>
    <t>Birie Melaku Delele /Ato/</t>
  </si>
  <si>
    <t>ብሬ መለኩ ደለል /አቶ/</t>
  </si>
  <si>
    <t>4696</t>
  </si>
  <si>
    <t>Birie Shiferaw Wondie /Ato/</t>
  </si>
  <si>
    <t>ብሬ ሸፈርው ወንዴ /አቶ/</t>
  </si>
  <si>
    <t>4697</t>
  </si>
  <si>
    <t>Birihan Dagne Gatenet /Ato/</t>
  </si>
  <si>
    <t xml:space="preserve">ብርሃን ዳኛ ጌትነት /አቶ/ </t>
  </si>
  <si>
    <t>4698</t>
  </si>
  <si>
    <t>Birikie Binalif Birhane /W/o/</t>
  </si>
  <si>
    <t>ብርቄ ብናልፍ ብርሃኑ /ወ/ሮ/</t>
  </si>
  <si>
    <t>4699</t>
  </si>
  <si>
    <t>Birkalem  Manaye Tebebu /W/O</t>
  </si>
  <si>
    <t>ብርቃለም ማናየ ጥበቡ /አቶ/</t>
  </si>
  <si>
    <t>4700</t>
  </si>
  <si>
    <t>Birke Abera Tola /W/o/</t>
  </si>
  <si>
    <t>ብርቄ አበራ ቶላ /ወ/ሮ/</t>
  </si>
  <si>
    <t>4701</t>
  </si>
  <si>
    <t>Birke Bogale Lema /W/o/</t>
  </si>
  <si>
    <t>ብርቄ ቦጋለ ለማ /ወ/ሮ/</t>
  </si>
  <si>
    <t>0911-940760
0911-087275</t>
  </si>
  <si>
    <t>4702</t>
  </si>
  <si>
    <t>Birke Girma Gofa /W/o/</t>
  </si>
  <si>
    <t>ብርቄ ግርማ ጎፋ /ወ/ሮ/</t>
  </si>
  <si>
    <t xml:space="preserve">
0963-457906</t>
  </si>
  <si>
    <t>4703</t>
  </si>
  <si>
    <t>Birke Leka Lentiro /Ato/</t>
  </si>
  <si>
    <t>ብርቄ ለካ ለንቶሮ /ወ/ሮ/</t>
  </si>
  <si>
    <t>0913-881786</t>
  </si>
  <si>
    <t>4704</t>
  </si>
  <si>
    <t>Birke Tsehay Abebe /W/O/</t>
  </si>
  <si>
    <t>ብርቄ ፀሀይ አበበ /ወ/ሮ/</t>
  </si>
  <si>
    <t>4705</t>
  </si>
  <si>
    <t xml:space="preserve">Birkeneh Kassa Wudu /Ato/ </t>
  </si>
  <si>
    <t>ብርቄነህ ካሳ ዉዱ /አቶ/</t>
  </si>
  <si>
    <t>4706</t>
  </si>
  <si>
    <t>Birkie Belayneh Damtew</t>
  </si>
  <si>
    <t>ብርቄ በላይነህ ዳምጠው</t>
  </si>
  <si>
    <t>4707</t>
  </si>
  <si>
    <t>Birkie Bogal Ksersie /W/O/</t>
  </si>
  <si>
    <t>ብርቄ ቦጋለ ከሰርሴ /ወ/ሮ/</t>
  </si>
  <si>
    <t>0972-822543</t>
  </si>
  <si>
    <t>4708</t>
  </si>
  <si>
    <t>Birkie Yeshah Sereya /W/O/</t>
  </si>
  <si>
    <t>ብርቄ የሻህ ስርያ /ወ/ሮ/</t>
  </si>
  <si>
    <t>0972-518954</t>
  </si>
  <si>
    <t>4709</t>
  </si>
  <si>
    <t>Birkinesh Kama /Ato/</t>
  </si>
  <si>
    <t>ብርቅነሸ ካማ /አቶ/</t>
  </si>
  <si>
    <t>4710</t>
  </si>
  <si>
    <t>Birkinesh Sheto Gmichael /W/o/</t>
  </si>
  <si>
    <t>ብርቅነሽ ሽቶ ገ/ሚካኤል /ወ/ሮ/</t>
  </si>
  <si>
    <t>4711</t>
  </si>
  <si>
    <t>Birknesh Delelegne Sahilu /Ato/</t>
  </si>
  <si>
    <t>ብርቅነሸ ደሳለኝ ሳህሉ /አቶ/</t>
  </si>
  <si>
    <t>4712</t>
  </si>
  <si>
    <t>Birkti G/Egziabire /W/o/</t>
  </si>
  <si>
    <t>ብርክቲ ገ/እግዚአብሄር ተ/ብርሀን /ወ/ሮ/</t>
  </si>
  <si>
    <t>4713</t>
  </si>
  <si>
    <t>Birkti Wondimu W/silassie /W/o/</t>
  </si>
  <si>
    <t>ብርክቲ ወንድሙ ወ/ስላሴ /ወ/ሮ/</t>
  </si>
  <si>
    <t>0940-538255</t>
  </si>
  <si>
    <t>4714</t>
  </si>
  <si>
    <t>4715</t>
  </si>
  <si>
    <t>Birku Ayalew Aderaw  /Ato/</t>
  </si>
  <si>
    <t>ብርቁ አያሌው አደራው /አቶ/</t>
  </si>
  <si>
    <t>0936-935984</t>
  </si>
  <si>
    <t>4716</t>
  </si>
  <si>
    <t>Birku Belay Arega /Ato</t>
  </si>
  <si>
    <t>ብርቁ በላይ አረጋ  /አቶ/</t>
  </si>
  <si>
    <t>4717</t>
  </si>
  <si>
    <t>Birku Dessie Ayele /Ato/</t>
  </si>
  <si>
    <t>ብርቁ ደሴ አየለ /አቶ/</t>
  </si>
  <si>
    <t>4718</t>
  </si>
  <si>
    <t>Birku Enalamaw Falie /Ato/</t>
  </si>
  <si>
    <t>ብሩክ እናላማው ፍሲል /አቶ</t>
  </si>
  <si>
    <t>4719</t>
  </si>
  <si>
    <t>Birkua Kassaye /W/o/</t>
  </si>
  <si>
    <t>ብርቋ ካሳዬ /ወ/ሮ/</t>
  </si>
  <si>
    <t>0938-392346</t>
  </si>
  <si>
    <t>4720</t>
  </si>
  <si>
    <t>Birlew Alemineh Gelaw /Ato/</t>
  </si>
  <si>
    <t>ብርሌው አለምነህ ገላው /አቶ/</t>
  </si>
  <si>
    <t>4721</t>
  </si>
  <si>
    <t>Birtalu Anidarge Bogale /W/o/</t>
  </si>
  <si>
    <t>ብርጣሉ አንዳርጌ ቦጋለ /ወ/ሮ/</t>
  </si>
  <si>
    <t>4722</t>
  </si>
  <si>
    <t>Birtualem Abe Mitiku /Ato/</t>
  </si>
  <si>
    <t>ብርቱካን አቤ ምትኩ /አቶ/</t>
  </si>
  <si>
    <t>4723</t>
  </si>
  <si>
    <t>Birtualem Yaregal /Ato/</t>
  </si>
  <si>
    <t>ብርቱአለም ይርጋል /አቶ/</t>
  </si>
  <si>
    <t>4724</t>
  </si>
  <si>
    <t>Birtukan A/Jihad  A/Gunbul  /W/O/</t>
  </si>
  <si>
    <t>ብርቱካን አ/ጅሃድ አ/ጉንቡል /ወ/ሮ/</t>
  </si>
  <si>
    <t>4725</t>
  </si>
  <si>
    <t>Birtukan Ageregezh Adugna /W/o/</t>
  </si>
  <si>
    <t>ብርቱካን አገረገዥ አዱኛ /ወ/ሮ/</t>
  </si>
  <si>
    <t>4726</t>
  </si>
  <si>
    <t>4727</t>
  </si>
  <si>
    <t>Birtukan Birnheh Melke  / W/O/</t>
  </si>
  <si>
    <t>ብርቱካን ብርነህ መልኬ /ወ/ሮ/</t>
  </si>
  <si>
    <t>4728</t>
  </si>
  <si>
    <t>Birtukan Bogale Bedada /W/t/</t>
  </si>
  <si>
    <t>ብርቱካን ቦጋለ በዳዳ /ወ/ት/</t>
  </si>
  <si>
    <t>4729</t>
  </si>
  <si>
    <t>Birtukan Buasho  /W/O/</t>
  </si>
  <si>
    <t>ብርቱካን ቡእሻ /ወ/ሮ</t>
  </si>
  <si>
    <t>4730</t>
  </si>
  <si>
    <t>Birtukan Dabi Bedada /Ato/</t>
  </si>
  <si>
    <t>ብርቱካን ዳቢ በዳዳ /አቶ/</t>
  </si>
  <si>
    <t>4731</t>
  </si>
  <si>
    <t>Birtukan Dana /Ato/</t>
  </si>
  <si>
    <t>ብርቱካን ዳና /አቶ/</t>
  </si>
  <si>
    <t>4732</t>
  </si>
  <si>
    <t>Birtukan Dora Doda /Ato/</t>
  </si>
  <si>
    <t>ብርቱካን ዶራ ዶዳ /አቶ/</t>
  </si>
  <si>
    <t>4733</t>
  </si>
  <si>
    <t>Birtukan G/Tinsea Tedla /W/o/</t>
  </si>
  <si>
    <t>ብርቱካን ገ/ትንሳኤ ተድላ /ወ/ት/</t>
  </si>
  <si>
    <t>0911-622442</t>
  </si>
  <si>
    <t>4734</t>
  </si>
  <si>
    <t>Birtukan Gera /W/o/</t>
  </si>
  <si>
    <t>ብርቱካን ጌራ /ወ/ኦ/</t>
  </si>
  <si>
    <t>0970-378985</t>
  </si>
  <si>
    <t>4735</t>
  </si>
  <si>
    <t>Birtukan Gudeta Dube /W/o/</t>
  </si>
  <si>
    <t>ብርትኳን ጉደታ ዱቤ /ወ/ሮ/</t>
  </si>
  <si>
    <t>0911-909898
0911-370469</t>
  </si>
  <si>
    <t>firewzerihun9@gmail.com</t>
  </si>
  <si>
    <t>4736</t>
  </si>
  <si>
    <t>Birtukan Guduno Wodebo /W/O</t>
  </si>
  <si>
    <t>ብርቱካን ጉዱኖ ወደቦ /ወ/ሮ</t>
  </si>
  <si>
    <t>4737</t>
  </si>
  <si>
    <t>4738</t>
  </si>
  <si>
    <t>Birtukan Kabicho /W/O/</t>
  </si>
  <si>
    <t xml:space="preserve"> ብርቱካን ካብቾ /ወ/ሮ/</t>
  </si>
  <si>
    <t>4739</t>
  </si>
  <si>
    <t>4740</t>
  </si>
  <si>
    <t>Birtukan Mekonnen Hasen /W/o/</t>
  </si>
  <si>
    <t>ብርቱካን መኮንን ሀሰን /ወ/ሮ/</t>
  </si>
  <si>
    <t>0911-400281</t>
  </si>
  <si>
    <t>girmaselamawit3@gmail.com</t>
  </si>
  <si>
    <t>4741</t>
  </si>
  <si>
    <t>Birtukan Mitiku Kebede /W/o/</t>
  </si>
  <si>
    <t>ብርቱካን ምትኩ /ወ/ሮ/</t>
  </si>
  <si>
    <t>4742</t>
  </si>
  <si>
    <t>Birtukan Rashid G/yesus /W/o/</t>
  </si>
  <si>
    <t>ብርቱካን ራሺድ ገ/እየሱስ /ወ/ኦ/</t>
  </si>
  <si>
    <t>0974-794656</t>
  </si>
  <si>
    <t>4743</t>
  </si>
  <si>
    <t>Birtukan Redi Bedane /W/o/</t>
  </si>
  <si>
    <t>ብርቱካን ረዲ በዳኔ /ወ/ሮ/</t>
  </si>
  <si>
    <t>0974-022583</t>
  </si>
  <si>
    <t>eleshadayofradina@gmail.com</t>
  </si>
  <si>
    <t>4744</t>
  </si>
  <si>
    <t>Birtukan Solomon Mergia /W/o/</t>
  </si>
  <si>
    <t>ብርቱካን ሰለሞን መርጊያ /ወ/ሮ/</t>
  </si>
  <si>
    <t>4745</t>
  </si>
  <si>
    <t>Birtukan Taha Hassen /W/o/</t>
  </si>
  <si>
    <t>ብርቱካን ጣሃ ሐሰን /ወ/ሮ/</t>
  </si>
  <si>
    <t>4746</t>
  </si>
  <si>
    <t>Birtukan Tamirat Geta /W/t/</t>
  </si>
  <si>
    <t>ቡርቱካን ታምራት ጌታ /ወ/ት/</t>
  </si>
  <si>
    <t>4747</t>
  </si>
  <si>
    <t>Birtukan Tefera Teklesemayat /W/o/</t>
  </si>
  <si>
    <t xml:space="preserve"> ብርቱካን ተፈራ ተክለሰማያት /ወ/ሮ/</t>
  </si>
  <si>
    <t>4748</t>
  </si>
  <si>
    <t>Birtukan Teha Hassen /W/t/</t>
  </si>
  <si>
    <t>ብርቱካን ጣሃ ሐሰን /ወ/ት/</t>
  </si>
  <si>
    <t>0911-624746</t>
  </si>
  <si>
    <t>4749</t>
  </si>
  <si>
    <t>Birtukan Telila Denboba /W/o/</t>
  </si>
  <si>
    <t>ብርቱካን ተሊላ ደንቦባ /ወ/ሮ/</t>
  </si>
  <si>
    <t>4750</t>
  </si>
  <si>
    <t>Birtukan Terefe Bedassa /W/o/</t>
  </si>
  <si>
    <t>ብርቱካን ተረፈ በዳሳ /ወ/ሮ/</t>
  </si>
  <si>
    <t>0977-878413</t>
  </si>
  <si>
    <t>4751</t>
  </si>
  <si>
    <t>Birtukan Tesfaye Mukshe /W/o/</t>
  </si>
  <si>
    <t>ብርቱካን ተስፋዬ ሙክሼ /ወ/ሮ/</t>
  </si>
  <si>
    <t>0911-631447</t>
  </si>
  <si>
    <t>aditesfaye123@gmail.com</t>
  </si>
  <si>
    <t>4752</t>
  </si>
  <si>
    <t>Birtukane Hanfato /Ato/</t>
  </si>
  <si>
    <t>ብረርቱካን ሐንፍቶ /አቶ/</t>
  </si>
  <si>
    <t>4753</t>
  </si>
  <si>
    <t>Birtuwork Zikadrge Beyene /W/o/</t>
  </si>
  <si>
    <t>ብርቱወርቅ ዝቅአድርጌ በየነ /ወ/ሮ/</t>
  </si>
  <si>
    <t>4754</t>
  </si>
  <si>
    <t>Biru Gobaro Garecha /Ato/</t>
  </si>
  <si>
    <t>ብሩ ጎባሮ ጋርቻ /አቶ/</t>
  </si>
  <si>
    <t>0941-382717</t>
  </si>
  <si>
    <t>4755</t>
  </si>
  <si>
    <t>Biru Kanbacha Yuta /Ato/</t>
  </si>
  <si>
    <t>ብሩ ቃንቦቻ ዮታ /አቶ/</t>
  </si>
  <si>
    <t>0949-666175</t>
  </si>
  <si>
    <t>4756</t>
  </si>
  <si>
    <t>Biru Samso  (Ato)</t>
  </si>
  <si>
    <t>ብሩ ሰርምሶ /አቶ/</t>
  </si>
  <si>
    <t>4757</t>
  </si>
  <si>
    <t>Biruh Alebachew Ayalew /Ato/</t>
  </si>
  <si>
    <t>ብሩህ አለባቸው አያሌው /አቶ/</t>
  </si>
  <si>
    <t>0939-939288</t>
  </si>
  <si>
    <t>4758</t>
  </si>
  <si>
    <t>Biruh Alemayehu Sebsbe /W/o/</t>
  </si>
  <si>
    <t xml:space="preserve"> ብሩህ አለማየሁ ሰብስቤ /ወ/ሮ/</t>
  </si>
  <si>
    <t>0911-103377</t>
  </si>
  <si>
    <t>solomon1981teshome@gmail.com</t>
  </si>
  <si>
    <t>4759</t>
  </si>
  <si>
    <t>Biruh Sintayehu Abebe /Ato/</t>
  </si>
  <si>
    <t>ብሩህ ስንታየሁ አበበ /አቶ/</t>
  </si>
  <si>
    <t>0912-158265</t>
  </si>
  <si>
    <t>4760</t>
  </si>
  <si>
    <t>Biruhalem Assefa Gebre /W/o/</t>
  </si>
  <si>
    <t>ብሩህአለም አሰፋ ገብሬ /ወ/ሮ/</t>
  </si>
  <si>
    <t>0913-208497</t>
  </si>
  <si>
    <t>msissay@gmail.com</t>
  </si>
  <si>
    <t>4761</t>
  </si>
  <si>
    <t>Biruk Abiey Degafe /Ato/</t>
  </si>
  <si>
    <t>ብሩክ አብይ ድጋፌ /አቶ/</t>
  </si>
  <si>
    <t>4762</t>
  </si>
  <si>
    <t>Biruk Agonafir Lakew /Ato/</t>
  </si>
  <si>
    <t>ብሩክ አጎናፍር ላቀው /አቶ/</t>
  </si>
  <si>
    <t>4763</t>
  </si>
  <si>
    <t>Biruk Alemayehu Goshu /Ato/</t>
  </si>
  <si>
    <t>ብሩክ አለማየሁ ጎሹ /አቶ/</t>
  </si>
  <si>
    <t>0913-380376</t>
  </si>
  <si>
    <t>4764</t>
  </si>
  <si>
    <t>Biruk Alemayehu Mugoro /Ato/</t>
  </si>
  <si>
    <t>ብሩክ አለማየሁ ሙጎሮ /አቶ/</t>
  </si>
  <si>
    <t>0922-451573</t>
  </si>
  <si>
    <t>4765</t>
  </si>
  <si>
    <t>Biruk Bira Maru /Ato/</t>
  </si>
  <si>
    <t>ብሩክ ብራ ማሩ /አቶ/</t>
  </si>
  <si>
    <t>0991-577165</t>
  </si>
  <si>
    <t>bbira7878@gmail.com</t>
  </si>
  <si>
    <t>4766</t>
  </si>
  <si>
    <t>Biruk Bundalo /Ato/</t>
  </si>
  <si>
    <t>ብሩክ ቡንዳሌ /አቶ/</t>
  </si>
  <si>
    <t>0916-733264</t>
  </si>
  <si>
    <t>4767</t>
  </si>
  <si>
    <t>Biruk Burjo /Ato/</t>
  </si>
  <si>
    <t>ቡርክ ብሩጆ /አቶ/</t>
  </si>
  <si>
    <t>4768</t>
  </si>
  <si>
    <t>Biruk Chala Gutema /Ato/</t>
  </si>
  <si>
    <t>ብሩክ ጫላ ጉተማ /አቶ/</t>
  </si>
  <si>
    <t>4769</t>
  </si>
  <si>
    <t>Biruk Dagnachew Haile /Ato/</t>
  </si>
  <si>
    <t>ብሩክ ዳኛቸው ኃይሌ /አቶ/</t>
  </si>
  <si>
    <t>4770</t>
  </si>
  <si>
    <t>Biruk Dejene Mamo /Ato/</t>
  </si>
  <si>
    <t>ብሩክ ደጀኔ ማሞ /አቶ/</t>
  </si>
  <si>
    <t>4771</t>
  </si>
  <si>
    <t>Biruk Demesse Getahun /Ato/</t>
  </si>
  <si>
    <t>ብሩክ ደምሴ ጌታሁን /አቶ/</t>
  </si>
  <si>
    <t>0945-764378</t>
  </si>
  <si>
    <t>4772</t>
  </si>
  <si>
    <t>Biruk Derisa /Ato/</t>
  </si>
  <si>
    <t>ብሩክ ደሬሳ /አቶ/</t>
  </si>
  <si>
    <t>0915-839617</t>
  </si>
  <si>
    <t>4773</t>
  </si>
  <si>
    <t>Biruk Endeshaw Mekonnen /Ato/</t>
  </si>
  <si>
    <t>ብሩክ እንደሻው መኮንን /አቶ/</t>
  </si>
  <si>
    <t>4774</t>
  </si>
  <si>
    <t>Biruk Estifanos Teshome /Ato/</t>
  </si>
  <si>
    <t>ብሩክ እስጢፋኖስ ተሾመ/አቶ/</t>
  </si>
  <si>
    <t>0911-470504</t>
  </si>
  <si>
    <t>tutushtutush@gmail.com</t>
  </si>
  <si>
    <t>4775</t>
  </si>
  <si>
    <t>Biruk Fasil Chekol /Ato/</t>
  </si>
  <si>
    <t>ብሩክ ፋሲል ቸኮል /አቶ/</t>
  </si>
  <si>
    <t>0920-234571</t>
  </si>
  <si>
    <t>4776</t>
  </si>
  <si>
    <t>Biruk Getachew Hailu /Ato/</t>
  </si>
  <si>
    <t>ብሩክ ጌታቸው ሃይሉ /አቶ/</t>
  </si>
  <si>
    <t>0920-025858
0966-734093</t>
  </si>
  <si>
    <t>4777</t>
  </si>
  <si>
    <t>Biruk Getachewu /Ato/</t>
  </si>
  <si>
    <t>ብሩክ ጌታቸው /አቶ/</t>
  </si>
  <si>
    <t>D/D</t>
  </si>
  <si>
    <t>4778</t>
  </si>
  <si>
    <t>Biruk Girma Degu /Ato/</t>
  </si>
  <si>
    <t>ብሩክ ግርማ ደጉ /አቶ/</t>
  </si>
  <si>
    <t>0930-703028</t>
  </si>
  <si>
    <t>4779</t>
  </si>
  <si>
    <t>Biruk Girma Mengesha /Ato/</t>
  </si>
  <si>
    <t>ብሩክ ግርማ መንገሻ /አቶ/</t>
  </si>
  <si>
    <t>0924-467310</t>
  </si>
  <si>
    <t>4780</t>
  </si>
  <si>
    <t>Biruk Gudata Telila /Ato/</t>
  </si>
  <si>
    <t>ብሩክ ጉደታ ተሊላ /አቶ/</t>
  </si>
  <si>
    <t>0923-504270</t>
  </si>
  <si>
    <t>4781</t>
  </si>
  <si>
    <t>Biruk H/Maraiam Gebeyehu /Ato/</t>
  </si>
  <si>
    <t>ብሩክ ሀ/ማርያም ገበየሁ /አቶ/</t>
  </si>
  <si>
    <t>0918-764043
0910-290510</t>
  </si>
  <si>
    <t>4782</t>
  </si>
  <si>
    <t>Biruk H/Mareyam Denbel /Ato/</t>
  </si>
  <si>
    <t>ብሩክ ኃ/ማሪያም ደንበል /አቶ/</t>
  </si>
  <si>
    <t>4783</t>
  </si>
  <si>
    <t>Biruk Habtegebriel Damte /Ato/</t>
  </si>
  <si>
    <t>ብሩክ ሀብተገብርኤል ዳምጤ /አቶ/</t>
  </si>
  <si>
    <t>0911-663458</t>
  </si>
  <si>
    <t>kebededawit@gmail.com</t>
  </si>
  <si>
    <t>4784</t>
  </si>
  <si>
    <t>Biruk Kebede Gimja /Ato/</t>
  </si>
  <si>
    <t>ብሩክ  ከበደ ግምጃ  /አቶ/</t>
  </si>
  <si>
    <t>4785</t>
  </si>
  <si>
    <t>Biruk Kesho Dangiso /Ato/</t>
  </si>
  <si>
    <t>ብሩክ ኬሾ ዳንጊሶ /አቶ/</t>
  </si>
  <si>
    <t>0975-526260</t>
  </si>
  <si>
    <t>4786</t>
  </si>
  <si>
    <t>Biruk Lema Abera /Ato/</t>
  </si>
  <si>
    <t>ብሩክ ለማ አበራ /አቶ/</t>
  </si>
  <si>
    <t>4787</t>
  </si>
  <si>
    <t>Biruk Mamo Fantahun /Ato/</t>
  </si>
  <si>
    <t>ብሩክ ማሞ ፋንታሁን /አቶ/</t>
  </si>
  <si>
    <t>4788</t>
  </si>
  <si>
    <t>Biruk Manasbo Jenber /Ato/</t>
  </si>
  <si>
    <t>ብሩክ ማንአስቦ ጀንበር /አቶ/</t>
  </si>
  <si>
    <t>4789</t>
  </si>
  <si>
    <t>Biruk Meseret Adinew /Ato/</t>
  </si>
  <si>
    <t>ብሩክ መሰረት አዲነው /አቶ/</t>
  </si>
  <si>
    <t>0934-396072</t>
  </si>
  <si>
    <t>4790</t>
  </si>
  <si>
    <t>Biruk Shewayirga Firedie /Ato/</t>
  </si>
  <si>
    <t>ብሩክ ሸዋይርጋ ፍርዴ /አቶ/</t>
  </si>
  <si>
    <t>4791</t>
  </si>
  <si>
    <t>Biruk Shiberu Abebe /Ato/</t>
  </si>
  <si>
    <t>ብሩክ ሽብሩ አበበ /አቶ/</t>
  </si>
  <si>
    <t>0921-316102</t>
  </si>
  <si>
    <t>4792</t>
  </si>
  <si>
    <t>Biruk Sibhatu Mekonnen /Ato/</t>
  </si>
  <si>
    <t>ብሩክ ስብሃቱ መኮንን /አቶ/</t>
  </si>
  <si>
    <t>4793</t>
  </si>
  <si>
    <t>4794</t>
  </si>
  <si>
    <t>Biruk Tamene Gadissa /Ato/</t>
  </si>
  <si>
    <t>ብሩክ ታመነ ጋዲሳ /አቶ/</t>
  </si>
  <si>
    <t>4795</t>
  </si>
  <si>
    <t>4796</t>
  </si>
  <si>
    <t>Biruk Tasew Ashine /Ato/</t>
  </si>
  <si>
    <t>ብሩክ ጣሰው አሸኔ /አቶ/</t>
  </si>
  <si>
    <t>4797</t>
  </si>
  <si>
    <t>Biruk Taye Bezawork /Ato/</t>
  </si>
  <si>
    <t>ብሩክ ታዬ በዛወርቅ /አቶ/</t>
  </si>
  <si>
    <t>4798</t>
  </si>
  <si>
    <t>Biruk Tegegene Asmamaw /Ato/</t>
  </si>
  <si>
    <t>ብሩክ ተገኘ አስማማው /አቶ/</t>
  </si>
  <si>
    <t>0911-220974</t>
  </si>
  <si>
    <t>4799</t>
  </si>
  <si>
    <t>Biruk Teklie Chareka /Ato/</t>
  </si>
  <si>
    <t>ብሩክ ተክሌ ጫረቃ /አቶ/</t>
  </si>
  <si>
    <t>4800</t>
  </si>
  <si>
    <t>4801</t>
  </si>
  <si>
    <t>Biruk Tesfaye Asefa /Ato/</t>
  </si>
  <si>
    <t>ብሩክ ተስፋዬ አሰፋ /አቶ/</t>
  </si>
  <si>
    <t>4802</t>
  </si>
  <si>
    <t>Biruk Tsegaye Bekele /Ato/</t>
  </si>
  <si>
    <t>ብሩክ ፀጋዬ በቀለ /አቶ/</t>
  </si>
  <si>
    <t>0930-124444</t>
  </si>
  <si>
    <t>4803</t>
  </si>
  <si>
    <t>Biruk Weyissa /Ato/</t>
  </si>
  <si>
    <t>ብሩክ ወየሳ /አቶ/</t>
  </si>
  <si>
    <t>0911-164899</t>
  </si>
  <si>
    <t>bruketh@gmail.com</t>
  </si>
  <si>
    <t>4804</t>
  </si>
  <si>
    <t>Biruk Worku Degaga /Ato/</t>
  </si>
  <si>
    <t>ብሩክ ወርቁ ደጋጋ /አቶ/</t>
  </si>
  <si>
    <t>0904-102201</t>
  </si>
  <si>
    <t>4805</t>
  </si>
  <si>
    <t>Biruk Yegnaneh Analey /Ato/</t>
  </si>
  <si>
    <t>ብሩክ የኛነህ አንለይ /አቶ/</t>
  </si>
  <si>
    <t>4806</t>
  </si>
  <si>
    <t>Biruk Yemane  /Ato/ For Yemaryam Biruk  /Minor/</t>
  </si>
  <si>
    <t>ብሩክ የማነ /አቶ/ ለየማርያም ብሩክ የማነ /ህፃን/</t>
  </si>
  <si>
    <t>4807</t>
  </si>
  <si>
    <t>Biruk Yemane Girma /Ato/</t>
  </si>
  <si>
    <t>ብሩክ የማነ ግርማ /አቶ/</t>
  </si>
  <si>
    <t>0913-096634</t>
  </si>
  <si>
    <t>4808</t>
  </si>
  <si>
    <t>4809</t>
  </si>
  <si>
    <t>Biruke Fikere Sahile /Ato/</t>
  </si>
  <si>
    <t>ብሩክ ፍቅሬ ሳህሌ /አቶ/</t>
  </si>
  <si>
    <t>0910-106342</t>
  </si>
  <si>
    <t>4810</t>
  </si>
  <si>
    <t>Biruke Kassa Bulecha /Ato/</t>
  </si>
  <si>
    <t>ብሩክ ካሳ ቡልቻ /አቶ/</t>
  </si>
  <si>
    <t>0916-375550</t>
  </si>
  <si>
    <t>4811</t>
  </si>
  <si>
    <t>Biruke Teshale  /Ato/</t>
  </si>
  <si>
    <t>ብሩክ ተሻለ /አቶ/</t>
  </si>
  <si>
    <t>0916-370561</t>
  </si>
  <si>
    <t>4812</t>
  </si>
  <si>
    <t>4813</t>
  </si>
  <si>
    <t>4814</t>
  </si>
  <si>
    <t>Biruktawit Demisse H/Maryam /W/o/</t>
  </si>
  <si>
    <t>ብሩክታዊት ደምሴ ሀ/ማርያም /ወ/ሮ/</t>
  </si>
  <si>
    <t>0911-893347</t>
  </si>
  <si>
    <t>4815</t>
  </si>
  <si>
    <t>Biruktawit Segoye Shelo /Ato/</t>
  </si>
  <si>
    <t>ብሩክታዊት ሰጎዬ ሶሎ /ወ/ሮ/</t>
  </si>
  <si>
    <t>4816</t>
  </si>
  <si>
    <t>Biruktawit Teshome Begashaw /W/o/</t>
  </si>
  <si>
    <t>ብሩክታዊት ተሾመ በጋሻው /ወ/ሮ/</t>
  </si>
  <si>
    <t>0911-478225
0913-757452</t>
  </si>
  <si>
    <t>4817</t>
  </si>
  <si>
    <t>Biruktawit Tibebe /W/t/</t>
  </si>
  <si>
    <t>ብሩክታዊት ጥበበ /ወ/ት/</t>
  </si>
  <si>
    <t>0924-894930</t>
  </si>
  <si>
    <t>4818</t>
  </si>
  <si>
    <t>Biruktawit Tsegaye /W/O/</t>
  </si>
  <si>
    <t>ብሩክታዊት ፀጋዬ /ወ/ሮ/</t>
  </si>
  <si>
    <t>0973-023987</t>
  </si>
  <si>
    <t>4819</t>
  </si>
  <si>
    <t>Birutayit Belihu Assemu /W/o/</t>
  </si>
  <si>
    <t xml:space="preserve"> ብሩክታይት በለሁ አስሙ /ወ/ሮ/</t>
  </si>
  <si>
    <t>0911-175311</t>
  </si>
  <si>
    <t>4820</t>
  </si>
  <si>
    <t>Birute Sewagegn Ateneh /Ato/</t>
  </si>
  <si>
    <t>ብሩተ ሰዋገኝ አተነህ  /አቶ/</t>
  </si>
  <si>
    <t>4821</t>
  </si>
  <si>
    <t>Birznesh W/Gebriel G/Mariam /W/o/</t>
  </si>
  <si>
    <t>ብርዝነሽ ወ/ገብርኤል ገ/ማርያም /ወ/ሮ/</t>
  </si>
  <si>
    <t>0968-243300</t>
  </si>
  <si>
    <t>4822</t>
  </si>
  <si>
    <t>Bisemagn Feru Belay /Ato/</t>
  </si>
  <si>
    <t>ቢሰማኝ ፌሩ በላይ /አቶ/</t>
  </si>
  <si>
    <t>4823</t>
  </si>
  <si>
    <t>Bisemagn Tafere Mekonnen /Ato/</t>
  </si>
  <si>
    <t>ቢሰማኝ ታፈራ መኮንን /አቶ/</t>
  </si>
  <si>
    <t>4824</t>
  </si>
  <si>
    <t>Bisenebit Yesene /Ato/</t>
  </si>
  <si>
    <t>ብሰነብት የሰኔ /አቶ/</t>
  </si>
  <si>
    <t>4825</t>
  </si>
  <si>
    <t>Biset Fekadu Zegeye /Ato/</t>
  </si>
  <si>
    <t>ቢሰጥ ፍቃዱ ዘገየ /አቶ/</t>
  </si>
  <si>
    <t>4826</t>
  </si>
  <si>
    <t>Bisgaw Bekele Afework /Ato/</t>
  </si>
  <si>
    <t>b7tedib7ledi@gmail.com</t>
  </si>
  <si>
    <t>4827</t>
  </si>
  <si>
    <t>Bishaw Taddse Jemberie /Ato/</t>
  </si>
  <si>
    <t>በሻው ታደስ ጀበሬ /አቶ/</t>
  </si>
  <si>
    <t>4828</t>
  </si>
  <si>
    <t>Bisirat Bekele Dubale /Ato/ and/or Hirut Alemu Tolera /W/o/</t>
  </si>
  <si>
    <t xml:space="preserve">ብስራት በቀለ ዱባለ /አቶ/ እና/ወይም ሂሩት አለሙ ቶሌራ /ወ/ሮ/ </t>
  </si>
  <si>
    <t>0911-648528/0923-132205</t>
  </si>
  <si>
    <t>4829</t>
  </si>
  <si>
    <t>4830</t>
  </si>
  <si>
    <t>Bisrat Abebayehu /Ato/</t>
  </si>
  <si>
    <t>ብስራት አበባየሁ /አቶ/</t>
  </si>
  <si>
    <t>0912-401996</t>
  </si>
  <si>
    <t>4831</t>
  </si>
  <si>
    <t>Bisrat Amare Tsegaye /Ato/</t>
  </si>
  <si>
    <t>ብስራት አማረ ፀጋዬ /አቶ/</t>
  </si>
  <si>
    <t>4832</t>
  </si>
  <si>
    <t>Bisrat Atilaw /Megabe Tebebat/</t>
  </si>
  <si>
    <t>ብስራት አጥላው /መጋቢ ጥበባት/</t>
  </si>
  <si>
    <t>eprta45@gmail.com</t>
  </si>
  <si>
    <t>4833</t>
  </si>
  <si>
    <t>Bisrat Ayele W/giorgis /Ato/</t>
  </si>
  <si>
    <t>ብስራት አየለ ወ/ጊዮርጊስ /አቶ/</t>
  </si>
  <si>
    <t>4834</t>
  </si>
  <si>
    <t>Bisrat Bekele Dubale /Ato/ And/Or Hirut Alemu Tolera /W/o/</t>
  </si>
  <si>
    <t>ብስራት በቀለ ዱባለ /አቶ/ እና/ወይም ሒሩት አለሙ ቶሌራ /ወ/ሮ/</t>
  </si>
  <si>
    <t>4835</t>
  </si>
  <si>
    <t>Bisrat Daniel Mengistu /Ato/</t>
  </si>
  <si>
    <t>ብስራት ዳንኤል መንግስቱ /አቶ/</t>
  </si>
  <si>
    <t>bisratdaniel6@gmail.com</t>
  </si>
  <si>
    <t>4836</t>
  </si>
  <si>
    <t>Bisrat Delele Yirdaw /Ato/</t>
  </si>
  <si>
    <t>ብስራት ደለለ ይረዳዉ /አቶ/</t>
  </si>
  <si>
    <t>0912-679844</t>
  </si>
  <si>
    <t>import617895@gmail.com</t>
  </si>
  <si>
    <t>4837</t>
  </si>
  <si>
    <t>Bisrat Demesachew /Ato/</t>
  </si>
  <si>
    <t>ብስራት ደምሳቸው /አቶ/</t>
  </si>
  <si>
    <t>0928-543237</t>
  </si>
  <si>
    <t>4838</t>
  </si>
  <si>
    <t>Bisrat Girma Abebe /Ato/</t>
  </si>
  <si>
    <t>ብስራት ግርማ አበበ /አቶ/</t>
  </si>
  <si>
    <t>0912-608026</t>
  </si>
  <si>
    <t>4839</t>
  </si>
  <si>
    <t xml:space="preserve">Bisrat Girma Yemanebrihan /Ato/ </t>
  </si>
  <si>
    <t xml:space="preserve">ብስራት ግርማ የማነብርሃን/አቶ/ </t>
  </si>
  <si>
    <t>0912-650021</t>
  </si>
  <si>
    <t>gebremihretinca@gmail.com</t>
  </si>
  <si>
    <t>4840</t>
  </si>
  <si>
    <t>Bisrat Kayila Kale /W/o/</t>
  </si>
  <si>
    <t>ብሰራት ካይላ ካሌ /ወ/ሮ/</t>
  </si>
  <si>
    <t>4841</t>
  </si>
  <si>
    <t>4842</t>
  </si>
  <si>
    <t>Bisrat Mekonnen /Ato/</t>
  </si>
  <si>
    <t>ብስራት መኮንን /አቶ/</t>
  </si>
  <si>
    <t>0929-436267</t>
  </si>
  <si>
    <t>4843</t>
  </si>
  <si>
    <t>Bisrat Tewehab W/Michael /Ato/</t>
  </si>
  <si>
    <t xml:space="preserve">ብስራት ተወህበ ወ/ሚካኤል /አቶ/ </t>
  </si>
  <si>
    <t>0934-208342</t>
  </si>
  <si>
    <t>4844</t>
  </si>
  <si>
    <t>Bisrat Walelgne Mekonnen /Ato/</t>
  </si>
  <si>
    <t>ብስራት ዋለልኝ መኮንን /አቶ/</t>
  </si>
  <si>
    <t>4845</t>
  </si>
  <si>
    <t>Bita Tonasa Weshk /Ato/</t>
  </si>
  <si>
    <t>ቢታ ጦኖሳ ወሸከ /አቶ/</t>
  </si>
  <si>
    <t>4846</t>
  </si>
  <si>
    <t>Bitaniya Tizazu Mengistu /Dr/</t>
  </si>
  <si>
    <t>ቢታኒያ ትዕዛዙ መንግስቱ /ዶ/ር/</t>
  </si>
  <si>
    <t>4847</t>
  </si>
  <si>
    <t>Bitew Abebe Desyalew /Ato/</t>
  </si>
  <si>
    <t>ቢተው አበበ ደስያለው /አቶ/</t>
  </si>
  <si>
    <t>4848</t>
  </si>
  <si>
    <t xml:space="preserve">Bitew Abite Adise /Ato/ </t>
  </si>
  <si>
    <t xml:space="preserve">ቢተው አብቴ አድሴ /አቶ/ </t>
  </si>
  <si>
    <t>4849</t>
  </si>
  <si>
    <t>Bitew Asefa Ayenew /Ato/</t>
  </si>
  <si>
    <t>ቢተው አሰፋ አየነው /አቶ/</t>
  </si>
  <si>
    <t>4850</t>
  </si>
  <si>
    <t>Bitew Asnake Mekeru /Ato/</t>
  </si>
  <si>
    <t>ቢተው አስናቀ መከሩ /አቶ/</t>
  </si>
  <si>
    <t>4851</t>
  </si>
  <si>
    <t>Bitew Azene Kass  /Ato/</t>
  </si>
  <si>
    <t>ቢተው አዘነ ካሴ /አቶ/</t>
  </si>
  <si>
    <t>0978-485135</t>
  </si>
  <si>
    <t>4852</t>
  </si>
  <si>
    <t>Bitew Chekol /Ato/</t>
  </si>
  <si>
    <t>ቢተው ቸኮል /አቶ/</t>
  </si>
  <si>
    <t>4853</t>
  </si>
  <si>
    <t>Bitew Kasse Aweke /Ato/</t>
  </si>
  <si>
    <t>ቢተው ካሴ አወቀ /አቶ/</t>
  </si>
  <si>
    <t>4854</t>
  </si>
  <si>
    <t>Bitew Kebede Emeru  /Ato/</t>
  </si>
  <si>
    <t>ቢተው ከበደ እምሩ /አቶ/</t>
  </si>
  <si>
    <t>0912-358660</t>
  </si>
  <si>
    <t>4855</t>
  </si>
  <si>
    <t>Bitew Mekonen Tegegn</t>
  </si>
  <si>
    <t>4856</t>
  </si>
  <si>
    <t>Bitew Mekonnen /Ato/</t>
  </si>
  <si>
    <t>ቢተው መኮንን /አቶ/</t>
  </si>
  <si>
    <t>4857</t>
  </si>
  <si>
    <t>Bitew Melaku Nway /Kis/</t>
  </si>
  <si>
    <t>ቤተው መላኩ ንዋይ /አቶ/</t>
  </si>
  <si>
    <t>4858</t>
  </si>
  <si>
    <t>Bitew Muniye Beyen /Ato/</t>
  </si>
  <si>
    <t>ቢተው ሙንዬ በየነ /አቶ/</t>
  </si>
  <si>
    <t>0974-4445--</t>
  </si>
  <si>
    <t>4859</t>
  </si>
  <si>
    <t>Bitew Tena /Ato/</t>
  </si>
  <si>
    <t>ቢተው ጠና /አቶ/</t>
  </si>
  <si>
    <t>4860</t>
  </si>
  <si>
    <t>Bitew Wale Berhan /Ato/</t>
  </si>
  <si>
    <t>ቢተው ዋለ ብርሃን /አቶ/</t>
  </si>
  <si>
    <t>4861</t>
  </si>
  <si>
    <t>Bitew Workaw Wonidimagegn /Ato/</t>
  </si>
  <si>
    <t>ቢተው ወርክው ወንድምአገኝ /አቶ/</t>
  </si>
  <si>
    <t>0920-514874</t>
  </si>
  <si>
    <t>4862</t>
  </si>
  <si>
    <t>Bitew Yayeh Alemayehu (Ato)</t>
  </si>
  <si>
    <t>ቢተው ያየህ አለማየሁ /አቶ/</t>
  </si>
  <si>
    <t>0938056554</t>
  </si>
  <si>
    <t>4863</t>
  </si>
  <si>
    <t>Bitew Yayeh Ayalew / Ato/</t>
  </si>
  <si>
    <t>ቢተው ያየህ አያሌው /አቶ/</t>
  </si>
  <si>
    <t>4864</t>
  </si>
  <si>
    <t>Bitew Yeshiwas Abate /Ato/</t>
  </si>
  <si>
    <t>ቢተው የሸዋስ አባተ /አቶ/</t>
  </si>
  <si>
    <t>4865</t>
  </si>
  <si>
    <t>Bitew Ytay Kassie /Ato/</t>
  </si>
  <si>
    <t>ቢተው ይታይ ካሴ /አቶ/</t>
  </si>
  <si>
    <t>4866</t>
  </si>
  <si>
    <t>Bitewsh Yesigat Abi /W/O/</t>
  </si>
  <si>
    <t>ቢተውሸ የሰጋት አቤ /ወ/ሮ/</t>
  </si>
  <si>
    <t>4867</t>
  </si>
  <si>
    <t>Bitnya Seifu Ahmed /W/t/</t>
  </si>
  <si>
    <t>ቢታኒያ ሰይፉ አህመድ /ወ/ት/</t>
  </si>
  <si>
    <t>0911-417048</t>
  </si>
  <si>
    <t>4868</t>
  </si>
  <si>
    <t>Bitseat Kibret Getaneh /W/t/</t>
  </si>
  <si>
    <t>ብፅአት ክብረት ጌታነሕ /ወ/ት/</t>
  </si>
  <si>
    <t>0911-659395</t>
  </si>
  <si>
    <t>SID</t>
  </si>
  <si>
    <t>FID</t>
  </si>
  <si>
    <t>share type</t>
  </si>
  <si>
    <t>No of 
Shares</t>
  </si>
  <si>
    <t>Amount 
Subscribed</t>
  </si>
  <si>
    <t>ordinary</t>
  </si>
  <si>
    <t>Ordinary</t>
  </si>
  <si>
    <t>Agriculture</t>
  </si>
  <si>
    <t>TSM</t>
  </si>
  <si>
    <t>Agro-processing</t>
  </si>
  <si>
    <t xml:space="preserve"> ,mohamud erat</t>
  </si>
  <si>
    <t>SID(FK)</t>
  </si>
  <si>
    <t>sholderiD(FK)</t>
  </si>
  <si>
    <t>Amount
 Paid in Cash</t>
  </si>
  <si>
    <t>Un-paid Balance</t>
  </si>
  <si>
    <t>Premium</t>
  </si>
  <si>
    <t>Date</t>
  </si>
  <si>
    <t>14-Mar-'2022</t>
  </si>
  <si>
    <t>no premium</t>
  </si>
  <si>
    <t>17/10/2022</t>
  </si>
  <si>
    <t>22/11/2022</t>
  </si>
  <si>
    <t>13-Aug-'2021</t>
  </si>
  <si>
    <t>Dec-13-22</t>
  </si>
  <si>
    <t>05-Jan-'2022</t>
  </si>
  <si>
    <t>10-Oct-'2021</t>
  </si>
  <si>
    <t>11-Apr-'2022</t>
  </si>
  <si>
    <t>21-Apr-'2022</t>
  </si>
  <si>
    <t>22-Feb-'2022</t>
  </si>
  <si>
    <t>31-Dec-'2021</t>
  </si>
  <si>
    <t>12-Jan-'2022</t>
  </si>
  <si>
    <t>18-Nov-'2021</t>
  </si>
  <si>
    <t>30-Sep-'2021</t>
  </si>
  <si>
    <t>16-Nov-'2021</t>
  </si>
  <si>
    <t>08-Sep-'2021</t>
  </si>
  <si>
    <t xml:space="preserve">
22/7/2022
30/11/2022</t>
  </si>
  <si>
    <t>16-Aug-22/7-Sep-22</t>
  </si>
  <si>
    <t>21-Dec-'2021</t>
  </si>
  <si>
    <t>21-12-2022</t>
  </si>
  <si>
    <t>22-Mar-'2022</t>
  </si>
  <si>
    <t>31/12/2022</t>
  </si>
  <si>
    <t>29-Dec-'2021</t>
  </si>
  <si>
    <t>18-Jan-'2022</t>
  </si>
  <si>
    <t>12-Mar-'2022</t>
  </si>
  <si>
    <t>20/12/2022</t>
  </si>
  <si>
    <t>`12/10/22</t>
  </si>
  <si>
    <t>26/07/15</t>
  </si>
  <si>
    <t>1/17/2023
3/17/2023</t>
  </si>
  <si>
    <t>03-Sep-'2021</t>
  </si>
  <si>
    <t>14/6/2022</t>
  </si>
  <si>
    <t>28-Jun-'2022</t>
  </si>
  <si>
    <t>15/7/2022</t>
  </si>
  <si>
    <t xml:space="preserve"> 17 -Oct-22</t>
  </si>
  <si>
    <t>26-Jan-'2022</t>
  </si>
  <si>
    <t>11-Jan-'2022</t>
  </si>
  <si>
    <t>2/20/2023 and 11/07/2023</t>
  </si>
  <si>
    <t>21-Mar-'2022</t>
  </si>
  <si>
    <t>22-Sep-'2021</t>
  </si>
  <si>
    <t>24-Aug-'2021</t>
  </si>
  <si>
    <t>02-Dec-'2021</t>
  </si>
  <si>
    <t>25-Apr-'2022</t>
  </si>
  <si>
    <t>25-Sep-'2021</t>
  </si>
  <si>
    <t>04-Nov-'2021</t>
  </si>
  <si>
    <t>02-Nov-'2021</t>
  </si>
  <si>
    <t>24-Dec-'2021</t>
  </si>
  <si>
    <t>11-May-'2022</t>
  </si>
  <si>
    <t>1/5/2023
10/10/2023</t>
  </si>
  <si>
    <t>26-Apr-'2022</t>
  </si>
  <si>
    <t>07-Mar-'2022</t>
  </si>
  <si>
    <t>05-Dec-'2021</t>
  </si>
  <si>
    <t>11-Mar-'2022</t>
  </si>
  <si>
    <t>08-Nov-'2021</t>
  </si>
  <si>
    <t>27-Oct-'2021</t>
  </si>
  <si>
    <t>06-Dec-'2021</t>
  </si>
  <si>
    <t>12-Apr-'2022</t>
  </si>
  <si>
    <t>08-Oct-'2021</t>
  </si>
  <si>
    <t>12-May-'2022</t>
  </si>
  <si>
    <t>17-Nov-'2021</t>
  </si>
  <si>
    <t>05-June-'2022</t>
  </si>
  <si>
    <t>30-July-'2021</t>
  </si>
  <si>
    <t>10-Dec-'2021</t>
  </si>
  <si>
    <t>20-Apr-'2022</t>
  </si>
  <si>
    <t>30-Jun-'2022</t>
  </si>
  <si>
    <t>23-Mar-'2022</t>
  </si>
  <si>
    <t>16-Mar-'2022</t>
  </si>
  <si>
    <t>23-Jun-'2022</t>
  </si>
  <si>
    <t>20-Jan-'2021</t>
  </si>
  <si>
    <t>03-Jan-'2022</t>
  </si>
  <si>
    <t>31/12/22</t>
  </si>
  <si>
    <t xml:space="preserve">14-Jul-22/ 11-Jul-22 </t>
  </si>
  <si>
    <t>12/20/2022
5/3/2023</t>
  </si>
  <si>
    <t>10/19/2022
October 24/2023</t>
  </si>
  <si>
    <t>13-Jan-'2022</t>
  </si>
  <si>
    <t>10-Jan-'2022</t>
  </si>
  <si>
    <t>08-Feb-'2022</t>
  </si>
  <si>
    <t>19-May-'2022</t>
  </si>
  <si>
    <t>27-Nov-'2021</t>
  </si>
  <si>
    <t>07-Jun-'2022</t>
  </si>
  <si>
    <t>28/11/222</t>
  </si>
  <si>
    <t>03-May-'2022</t>
  </si>
  <si>
    <t>09-Feb-'2022</t>
  </si>
  <si>
    <t>01-Jan-'2022</t>
  </si>
  <si>
    <t>04-Aug-'2021</t>
  </si>
  <si>
    <t>29-Nov-'2021</t>
  </si>
  <si>
    <t>12/23/2022/06-07-2023</t>
  </si>
  <si>
    <t>07-Aug-'2021
September 9, 2023</t>
  </si>
  <si>
    <t>31/Apr/2023</t>
  </si>
  <si>
    <t>31 Des/22</t>
  </si>
  <si>
    <t>17-10-22</t>
  </si>
  <si>
    <t>12/15/2022 and 02feb2023</t>
  </si>
  <si>
    <t>21-Nov-'2021</t>
  </si>
  <si>
    <t>11/3/202210/14/2022</t>
  </si>
  <si>
    <t>30-May-'2022</t>
  </si>
  <si>
    <t>28-Mar-'2022</t>
  </si>
  <si>
    <t>31-May-'2022</t>
  </si>
  <si>
    <t>25-Nov-'2021</t>
  </si>
  <si>
    <t>27-Dec-'2021</t>
  </si>
  <si>
    <t>02-Apr-'2022</t>
  </si>
  <si>
    <t>02-Feb-'2022</t>
  </si>
  <si>
    <t>04-Mar-'2022</t>
  </si>
  <si>
    <t>02-Mar-'2022</t>
  </si>
  <si>
    <t>31/01/2023</t>
  </si>
  <si>
    <t>06-Sep-'2021</t>
  </si>
  <si>
    <t>22-Dec-'2021</t>
  </si>
  <si>
    <t>16-Sep-'2021</t>
  </si>
  <si>
    <t>09-Apr-'2022</t>
  </si>
  <si>
    <t>18-Aug-'2021</t>
  </si>
  <si>
    <t>10-Nov-'2021</t>
  </si>
  <si>
    <t>24-Jul-'2021</t>
  </si>
  <si>
    <t>27/12/2022</t>
  </si>
  <si>
    <t>11-Oct--22</t>
  </si>
  <si>
    <t>29/7/2021</t>
  </si>
  <si>
    <t>31-Mar-'2022</t>
  </si>
  <si>
    <t>13-Oct-'2021</t>
  </si>
  <si>
    <t>24-Nov-'2021</t>
  </si>
  <si>
    <t>13-Jun-'2022</t>
  </si>
  <si>
    <t>Jan-02-2023</t>
  </si>
  <si>
    <t>20-Nov-'2021</t>
  </si>
  <si>
    <t>Dec-08-22</t>
  </si>
  <si>
    <t>08-Mar-'2022</t>
  </si>
  <si>
    <t>25-Mar-'2022</t>
  </si>
  <si>
    <t>26-Mar-'2022</t>
  </si>
  <si>
    <t>24-Sep-'2021</t>
  </si>
  <si>
    <t>24-Jan-'2022</t>
  </si>
  <si>
    <t>21-Jan-'2022</t>
  </si>
  <si>
    <t>14-May-'2022</t>
  </si>
  <si>
    <t>17-Mar-'2022</t>
  </si>
  <si>
    <t>27-Jun-'2022</t>
  </si>
  <si>
    <t>06-Apr-'2022</t>
  </si>
  <si>
    <t>24-Mar-'2022</t>
  </si>
  <si>
    <t>08-Jun-'2022</t>
  </si>
  <si>
    <t>13-Nov-'2021</t>
  </si>
  <si>
    <t>06-Mar-'2022</t>
  </si>
  <si>
    <t>30/12/2022</t>
  </si>
  <si>
    <t>04-Jan-'2022</t>
  </si>
  <si>
    <t>29-Mar-'2022</t>
  </si>
  <si>
    <t>04-Augst-'2021</t>
  </si>
  <si>
    <t>06-Jan-'2022</t>
  </si>
  <si>
    <t>17-Sep-'2021</t>
  </si>
  <si>
    <t>20-Oct-'2021</t>
  </si>
  <si>
    <t>11-Jun-'2022</t>
  </si>
  <si>
    <t>14-Oct-'2021</t>
  </si>
  <si>
    <t>17/10/2021</t>
  </si>
  <si>
    <t>20/12/2020</t>
  </si>
  <si>
    <t>12-Nov-'2021</t>
  </si>
  <si>
    <t>13/7/2022</t>
  </si>
  <si>
    <t>30-Sep-'2022</t>
  </si>
  <si>
    <t>Nov -24-2022</t>
  </si>
  <si>
    <t>22-Jul-22/29-Jul-22</t>
  </si>
  <si>
    <t>25-Aug022</t>
  </si>
  <si>
    <t>04-Dec-'2021</t>
  </si>
  <si>
    <t>04-July-'2022</t>
  </si>
  <si>
    <t>4-Nov-22/5-Nov-22</t>
  </si>
  <si>
    <t>17/10/22</t>
  </si>
  <si>
    <t>15-Jan-'2022</t>
  </si>
  <si>
    <t>22/12/2022</t>
  </si>
  <si>
    <t>31-Aug-'2021</t>
  </si>
  <si>
    <t>30/05/2023</t>
  </si>
  <si>
    <t>23-Feb-'2022</t>
  </si>
  <si>
    <t>30-Mar-'2022</t>
  </si>
  <si>
    <t>25-Dec-'2021</t>
  </si>
  <si>
    <t>19-Nov-'2021</t>
  </si>
  <si>
    <t>05-Jan-'2021</t>
  </si>
  <si>
    <t>24-Jun-'2022</t>
  </si>
  <si>
    <t>7/26/2022 and 13june 2023</t>
  </si>
  <si>
    <t>14-Augst-'2021</t>
  </si>
  <si>
    <t>04-May-'2022</t>
  </si>
  <si>
    <t>03-Feb-'2022</t>
  </si>
  <si>
    <t>12/16/2022
5/10/2023</t>
  </si>
  <si>
    <t>28-Apr-'2022</t>
  </si>
  <si>
    <t>21-Sep-'2021</t>
  </si>
  <si>
    <t>19-Mar-'2022</t>
  </si>
  <si>
    <t>Dec-01-22</t>
  </si>
  <si>
    <t>Oct-26-22</t>
  </si>
  <si>
    <t>24-Sep-22/26-Sep-22</t>
  </si>
  <si>
    <t>18-Sep-'2021</t>
  </si>
  <si>
    <t>29-Jun-'2022</t>
  </si>
  <si>
    <t>03-Dec-'2022</t>
  </si>
  <si>
    <t>28-Aug-'2021</t>
  </si>
  <si>
    <t>30-July-'2022</t>
  </si>
  <si>
    <t>Dec-16-22</t>
  </si>
  <si>
    <t>28-Dec-'2021</t>
  </si>
  <si>
    <t>22/9/2023</t>
  </si>
  <si>
    <t>15-Sep-'2021</t>
  </si>
  <si>
    <t>25-Jun-'2022</t>
  </si>
  <si>
    <t>01-Oct-'2021</t>
  </si>
  <si>
    <t>10-Jun-'2022</t>
  </si>
  <si>
    <t>25-May-'2022</t>
  </si>
  <si>
    <t>2/1/222</t>
  </si>
  <si>
    <t>13/6/2023</t>
  </si>
  <si>
    <t>07-May-'2022</t>
  </si>
  <si>
    <t>15-Oct-'2021</t>
  </si>
  <si>
    <t>11/11/2022
1/9/2023</t>
  </si>
  <si>
    <t>07-Dec-'2021</t>
  </si>
  <si>
    <t>17-Feb-'2022</t>
  </si>
  <si>
    <t>21/10/22</t>
  </si>
  <si>
    <t>18-Jun-22/ 24-Jun-22</t>
  </si>
  <si>
    <t>29-Jul-22/ 30-Jul-22</t>
  </si>
  <si>
    <t>04-Apr-'2022</t>
  </si>
  <si>
    <t>08-Apr-'2022</t>
  </si>
  <si>
    <t>30-Nov-'2021</t>
  </si>
  <si>
    <t>25/10/2022</t>
  </si>
  <si>
    <t>26-Jul-2022/27-Jul-22</t>
  </si>
  <si>
    <t>15/10/2020</t>
  </si>
  <si>
    <t>19/11/22</t>
  </si>
  <si>
    <t>21-Dec-21/5-Sep-22</t>
  </si>
  <si>
    <t>17-Dec-'2021</t>
  </si>
  <si>
    <t>29/10/2022</t>
  </si>
  <si>
    <t>18-May-'2022</t>
  </si>
  <si>
    <t>19-Apr-'2022</t>
  </si>
  <si>
    <t>27-Apr-'2022</t>
  </si>
  <si>
    <t>1-Sep-22/2-Sep-22</t>
  </si>
  <si>
    <t>1/17/2023
1/24/2023</t>
  </si>
  <si>
    <t>10-Mar-'2022</t>
  </si>
  <si>
    <t>9/16/2022
1/5/2023</t>
  </si>
  <si>
    <t>05-Mar-'2022</t>
  </si>
  <si>
    <t>08-Dec-'2021</t>
  </si>
  <si>
    <t>07-Aug-'2021</t>
  </si>
  <si>
    <t>09-Nov-'2021</t>
  </si>
  <si>
    <t>03-Agust-'2021</t>
  </si>
  <si>
    <t>01-Mar-'2022</t>
  </si>
  <si>
    <t>16-Augst-'2021</t>
  </si>
  <si>
    <t>23-Aug-'2021</t>
  </si>
  <si>
    <t>11-Oct-'2021</t>
  </si>
  <si>
    <t>2/15/2023
August 1, 2023</t>
  </si>
  <si>
    <t>13-Mar-'2022</t>
  </si>
  <si>
    <t>07-Feb-'2022</t>
  </si>
  <si>
    <t>14-Dec-'2021</t>
  </si>
  <si>
    <t>22-Jan-'2022</t>
  </si>
  <si>
    <t>10-May-'2022</t>
  </si>
  <si>
    <t xml:space="preserve">
September 21, 2023</t>
  </si>
  <si>
    <t>23-Dec-'2021</t>
  </si>
  <si>
    <t>14-Jan-'2022</t>
  </si>
  <si>
    <t>15-Mar-'2022</t>
  </si>
  <si>
    <t>20-May-'2022</t>
  </si>
  <si>
    <t>18-Apr-22/7-Sep-22</t>
  </si>
  <si>
    <t>26-Sep-'2021</t>
  </si>
  <si>
    <t>24-May-'2022</t>
  </si>
  <si>
    <t>26-Jan--2023</t>
  </si>
  <si>
    <t>01-Dec-'2021</t>
  </si>
  <si>
    <t>09-Mar-'2022</t>
  </si>
  <si>
    <t>2/1/2023
5/2/2023</t>
  </si>
  <si>
    <t>2/3/2023
2/27/2023</t>
  </si>
  <si>
    <t>27-May-'2022</t>
  </si>
  <si>
    <t>Dec-05-22</t>
  </si>
  <si>
    <t>25-Oct-'2021</t>
  </si>
  <si>
    <t>12-Dec-'2021</t>
  </si>
  <si>
    <t>Agent</t>
  </si>
  <si>
    <t>Agent.pho</t>
  </si>
  <si>
    <t xml:space="preserve">Tseganesh Natan </t>
  </si>
  <si>
    <t>mesegan asefa</t>
  </si>
  <si>
    <t>0921-302374</t>
  </si>
  <si>
    <t>Habtamu Tekalegn</t>
  </si>
  <si>
    <t>Tamene Alemu
Committement</t>
  </si>
  <si>
    <t>Bereket Beleha</t>
  </si>
  <si>
    <t>Dawit Maledaye</t>
  </si>
  <si>
    <t>hana Tesafye
Committement</t>
  </si>
  <si>
    <t>0933-702759</t>
  </si>
  <si>
    <t>PB
Committement</t>
  </si>
  <si>
    <t>Zelalem Temesgen</t>
  </si>
  <si>
    <t>Mahlet Tarekegn</t>
  </si>
  <si>
    <t>0935088015/0940204935</t>
  </si>
  <si>
    <t>Tamene Alemu</t>
  </si>
  <si>
    <t>Dagem Menistu</t>
  </si>
  <si>
    <t>Workie Mokonnen</t>
  </si>
  <si>
    <t>0900047909</t>
  </si>
  <si>
    <t>Hiowt Kilil</t>
  </si>
  <si>
    <t xml:space="preserve">Alemtsehay Asheni
</t>
  </si>
  <si>
    <t>Kintibibu</t>
  </si>
  <si>
    <t xml:space="preserve">Genet Wondemu </t>
  </si>
  <si>
    <t>Dr. Erimyas Birhanu</t>
  </si>
  <si>
    <t xml:space="preserve">Sebelewerk Melekam </t>
  </si>
  <si>
    <r>
      <rPr>
        <sz val="12"/>
        <color theme="1"/>
        <rFont val="Berlin Sans FB"/>
        <charset val="134"/>
      </rPr>
      <t xml:space="preserve">Tigistu Muluatu
</t>
    </r>
    <r>
      <rPr>
        <sz val="12"/>
        <color rgb="FFFF0000"/>
        <rFont val="Berlin Sans FB"/>
        <charset val="134"/>
      </rPr>
      <t>Commitement</t>
    </r>
  </si>
  <si>
    <t>Mulat welede</t>
  </si>
  <si>
    <t>0913-032875</t>
  </si>
  <si>
    <t>Birhanu wada</t>
  </si>
  <si>
    <t>Bizawit Mamushet
Committement</t>
  </si>
  <si>
    <t>Bizawit Asrat
Committement</t>
  </si>
  <si>
    <t>Tagaye Mengistu</t>
  </si>
  <si>
    <t>0924-607886</t>
  </si>
  <si>
    <t>Sofiya Nigashe</t>
  </si>
  <si>
    <t>Sophia Negash</t>
  </si>
  <si>
    <t>Misrak Befekadu</t>
  </si>
  <si>
    <t>Mahelt Gashaw</t>
  </si>
  <si>
    <t>Hana Zena alemu</t>
  </si>
  <si>
    <t>Akalu Abriham
Committement</t>
  </si>
  <si>
    <t>Beakal Yalew</t>
  </si>
  <si>
    <t>0911-901815</t>
  </si>
  <si>
    <t>Sheleme Qabeta</t>
  </si>
  <si>
    <t>0911-874534</t>
  </si>
  <si>
    <t>ኃ/ሚካኤል ካህሳይ
Commitement</t>
  </si>
  <si>
    <t>Arbin Erven</t>
  </si>
  <si>
    <t>0912-984294</t>
  </si>
  <si>
    <t>Eshetu Petros</t>
  </si>
  <si>
    <t>0916-378057</t>
  </si>
  <si>
    <t xml:space="preserve">Natan Tadele Eshetu
</t>
  </si>
  <si>
    <t>0910675014/0915794992</t>
  </si>
  <si>
    <t>0911-600498</t>
  </si>
  <si>
    <t>Semahagn Desalegn</t>
  </si>
  <si>
    <t>0911-313139</t>
  </si>
  <si>
    <t>Bezawit Esubalw</t>
  </si>
  <si>
    <t>0921-388216</t>
  </si>
  <si>
    <t xml:space="preserve">Kabod </t>
  </si>
  <si>
    <t>0911-645989</t>
  </si>
  <si>
    <t>Tesfye Tadesse</t>
  </si>
  <si>
    <t>Adnew Tesfaw</t>
  </si>
  <si>
    <t>0921-015876</t>
  </si>
  <si>
    <t>SHId(fk)</t>
  </si>
  <si>
    <t>rep</t>
  </si>
  <si>
    <t>no rep</t>
  </si>
  <si>
    <t>Mr.Dubale Befikadu</t>
  </si>
  <si>
    <t>Mr.Mohammed Asfaw</t>
  </si>
  <si>
    <t>Mr.Abel Gezahagn</t>
  </si>
  <si>
    <t>Mrs.Helen Zewude</t>
  </si>
  <si>
    <t>Mrs.Etagegn G/tsadik</t>
  </si>
  <si>
    <t>Mrs.Ehitagegn Sahlu</t>
  </si>
  <si>
    <t>Mr.Adonay eyesus</t>
  </si>
  <si>
    <t>Hilena Addisu</t>
  </si>
  <si>
    <t>Mr.Ayalew Lingerh</t>
  </si>
  <si>
    <t>Ayub Abdela</t>
  </si>
  <si>
    <t>Tewodros Kebede</t>
  </si>
  <si>
    <t>Mr.Mekonnen Asnake</t>
  </si>
  <si>
    <t>Mr.Dereje Mengistu</t>
  </si>
  <si>
    <t>Mrs.Feben Lemma</t>
  </si>
  <si>
    <t>Mr.H/Melekot Awogzachew</t>
  </si>
  <si>
    <t>Mr.Tewoderos G/Tinsaea</t>
  </si>
  <si>
    <t>Mr.luel tadele</t>
  </si>
  <si>
    <t>Mr.Daneal Fikre</t>
  </si>
  <si>
    <t>Mrs.Serkalem Adamu</t>
  </si>
  <si>
    <t>Mr.Habtamu Gebrie</t>
  </si>
  <si>
    <t>Mr.Binyam Zerihun</t>
  </si>
  <si>
    <t>Mr.Yigeremu Goshu</t>
  </si>
  <si>
    <t>Mr.Ashenafi Gemechu</t>
  </si>
  <si>
    <t>Ms.Munit Bekele</t>
  </si>
  <si>
    <t>Mr.Antneh Damtew</t>
  </si>
  <si>
    <t>mrs.Elsabet Tadesse</t>
  </si>
  <si>
    <t>Mr.Tarekegn Andargi</t>
  </si>
  <si>
    <t>Mr.Worku Slesh</t>
  </si>
  <si>
    <t>Mr.Yohannis Tesfahun</t>
  </si>
  <si>
    <t>Mrs.Roman Tesfaye</t>
  </si>
  <si>
    <t>Mrs.Woyneshet Asmare</t>
  </si>
  <si>
    <t>Mrs.Hana Bekele Tesema</t>
  </si>
  <si>
    <t>Mr.Asnake Aregay</t>
  </si>
  <si>
    <t>Mrs.Abebech Bayuh</t>
  </si>
  <si>
    <t>Mr. seifu</t>
  </si>
  <si>
    <t>Mr.Binyam Legesse</t>
  </si>
  <si>
    <t>Mrs.Gete Bekele Debebe</t>
  </si>
  <si>
    <t>Mrs.elsabet Teshome</t>
  </si>
  <si>
    <t>Mrs.Haregewoyn Tamiru</t>
  </si>
  <si>
    <t xml:space="preserve">Nigussu Legsse </t>
  </si>
  <si>
    <t>Mrs.Genet T/Birhana</t>
  </si>
  <si>
    <t xml:space="preserve">Mrs.Konjit Negash </t>
  </si>
  <si>
    <t>Mr.Taye Tadesse</t>
  </si>
  <si>
    <t>Mrs.Fikirte tadesse</t>
  </si>
  <si>
    <t>Mr.Tadesse Kassay</t>
  </si>
  <si>
    <t>Mr.Alemseged Balkew</t>
  </si>
  <si>
    <t>Mrs.Azeb Asirat</t>
  </si>
  <si>
    <t xml:space="preserve">Mrs.Abeba Fissiha </t>
  </si>
  <si>
    <t>Mrs.Sisaynesh Yemaneh</t>
  </si>
  <si>
    <t>Mr.Eshete Teshale</t>
  </si>
  <si>
    <t>Ms.Mekdes Alemayehu</t>
  </si>
  <si>
    <t>17/1/1975</t>
  </si>
  <si>
    <t>Mr.Tewoderos mulugeta</t>
  </si>
  <si>
    <t>Mr.Roza Mogesse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</si>
</sst>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* #,##0.00_-;\-* #,##0.00_-;_-* &quot;-&quot;??_-;_-@_-"/>
    <numFmt numFmtId="178" formatCode="[$-409]d\-mmm\-yyyy;@"/>
    <numFmt numFmtId="179" formatCode="[$-409]d\-mmm\-yy;@"/>
    <numFmt numFmtId="180" formatCode="m/d/yyyy;@"/>
  </numFmts>
  <fonts count="69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Bell MT"/>
      <charset val="134"/>
    </font>
    <font>
      <b/>
      <sz val="12"/>
      <color theme="1"/>
      <name val="Baskerville Old Face"/>
      <charset val="134"/>
    </font>
    <font>
      <sz val="12"/>
      <color theme="1"/>
      <name val="Calibri"/>
      <charset val="134"/>
      <scheme val="minor"/>
    </font>
    <font>
      <sz val="12"/>
      <color theme="1"/>
      <name val="Berlin Sans FB"/>
      <charset val="134"/>
    </font>
    <font>
      <sz val="12"/>
      <color theme="1"/>
      <name val="Arial"/>
      <charset val="134"/>
    </font>
    <font>
      <b/>
      <sz val="20"/>
      <color theme="1"/>
      <name val="Calibri"/>
      <charset val="134"/>
      <scheme val="minor"/>
    </font>
    <font>
      <b/>
      <sz val="14"/>
      <color rgb="FF000000"/>
      <name val="Arial"/>
      <charset val="134"/>
    </font>
    <font>
      <b/>
      <sz val="14"/>
      <color theme="1"/>
      <name val="Calibri"/>
      <charset val="134"/>
      <scheme val="minor"/>
    </font>
    <font>
      <b/>
      <sz val="16"/>
      <color theme="1"/>
      <name val="Bell MT"/>
      <charset val="134"/>
    </font>
    <font>
      <sz val="14"/>
      <color theme="1"/>
      <name val="Calibri"/>
      <charset val="134"/>
      <scheme val="minor"/>
    </font>
    <font>
      <sz val="14"/>
      <color theme="1"/>
      <name val="Arial"/>
      <charset val="134"/>
    </font>
    <font>
      <sz val="14"/>
      <color rgb="FF000000"/>
      <name val="Arial"/>
      <charset val="134"/>
    </font>
    <font>
      <sz val="11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theme="1"/>
      <name val="Baskerville Old Face"/>
      <charset val="134"/>
    </font>
    <font>
      <sz val="12"/>
      <color theme="1"/>
      <name val="Times New Roman"/>
      <charset val="134"/>
    </font>
    <font>
      <sz val="12"/>
      <name val="Baskerville Old Face"/>
      <charset val="134"/>
    </font>
    <font>
      <sz val="12"/>
      <color rgb="FFFF0000"/>
      <name val="Berlin Sans FB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Bell MT"/>
      <charset val="134"/>
    </font>
    <font>
      <b/>
      <sz val="12"/>
      <color theme="1"/>
      <name val="Times New Roman"/>
      <charset val="134"/>
    </font>
    <font>
      <sz val="12"/>
      <color theme="1"/>
      <name val="Overlock"/>
      <charset val="134"/>
    </font>
    <font>
      <b/>
      <sz val="12"/>
      <color theme="1"/>
      <name val="Agency FB"/>
      <charset val="134"/>
    </font>
    <font>
      <b/>
      <sz val="12"/>
      <color rgb="FF0070C0"/>
      <name val="Berlin Sans FB"/>
      <charset val="134"/>
    </font>
    <font>
      <b/>
      <sz val="12"/>
      <color rgb="FFFF0000"/>
      <name val="Berlin Sans FB"/>
      <charset val="134"/>
    </font>
    <font>
      <sz val="12"/>
      <color rgb="FFFF0000"/>
      <name val="Overlock"/>
      <charset val="134"/>
    </font>
    <font>
      <b/>
      <sz val="12"/>
      <color theme="1"/>
      <name val="Candara"/>
      <charset val="134"/>
    </font>
    <font>
      <u/>
      <sz val="12"/>
      <color theme="10"/>
      <name val="Berlin Sans FB"/>
      <charset val="134"/>
    </font>
    <font>
      <sz val="12"/>
      <color rgb="FF202124"/>
      <name val="Inherit"/>
      <charset val="134"/>
    </font>
    <font>
      <u/>
      <sz val="12"/>
      <color theme="10"/>
      <name val="Calibri"/>
      <charset val="134"/>
      <scheme val="minor"/>
    </font>
    <font>
      <sz val="12"/>
      <color rgb="FF0000CC"/>
      <name val="Baskerville Old Face"/>
      <charset val="134"/>
    </font>
    <font>
      <b/>
      <sz val="12"/>
      <color theme="1"/>
      <name val="Bahnschrift SemiBold"/>
      <charset val="134"/>
    </font>
    <font>
      <b/>
      <u/>
      <sz val="12"/>
      <color theme="1"/>
      <name val="Bahnschrift SemiBold"/>
      <charset val="134"/>
    </font>
    <font>
      <b/>
      <sz val="12"/>
      <color theme="1"/>
      <name val="Berlin Sans FB"/>
      <charset val="134"/>
    </font>
    <font>
      <u/>
      <sz val="12"/>
      <color theme="1"/>
      <name val="Calibri"/>
      <charset val="134"/>
      <scheme val="minor"/>
    </font>
    <font>
      <b/>
      <u/>
      <sz val="12"/>
      <color theme="10"/>
      <name val="Bahnschrift SemiBold"/>
      <charset val="134"/>
    </font>
    <font>
      <b/>
      <u/>
      <sz val="12"/>
      <color theme="10"/>
      <name val="Calibri"/>
      <charset val="134"/>
      <scheme val="minor"/>
    </font>
    <font>
      <u/>
      <sz val="12"/>
      <color theme="10"/>
      <name val="Baskerville Old Face"/>
      <charset val="134"/>
    </font>
    <font>
      <b/>
      <sz val="12"/>
      <name val="Baskerville Old Face"/>
      <charset val="134"/>
    </font>
    <font>
      <b/>
      <sz val="12"/>
      <color theme="1"/>
      <name val="Libre Baskerville"/>
      <charset val="134"/>
    </font>
    <font>
      <sz val="12"/>
      <name val="Berlin Sans FB"/>
      <charset val="134"/>
    </font>
    <font>
      <b/>
      <sz val="12"/>
      <color rgb="FFFF0000"/>
      <name val="Agency FB"/>
      <charset val="134"/>
    </font>
    <font>
      <b/>
      <sz val="12"/>
      <color theme="1"/>
      <name val="Cambria"/>
      <charset val="134"/>
      <scheme val="major"/>
    </font>
    <font>
      <b/>
      <sz val="12"/>
      <color theme="1"/>
      <name val="Power Geez Unicode1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134"/>
      <scheme val="minor"/>
    </font>
    <font>
      <sz val="12"/>
      <color rgb="FF000000"/>
      <name val="Calibri"/>
      <charset val="134"/>
    </font>
    <font>
      <b/>
      <sz val="12"/>
      <color theme="1"/>
      <name val="Addis98"/>
      <charset val="134"/>
    </font>
  </fonts>
  <fills count="6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rgb="FF00FF00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FF00"/>
        <bgColor theme="4" tint="0.799951170384838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theme="4" tint="0.799951170384838"/>
      </patternFill>
    </fill>
    <fill>
      <patternFill patternType="solid">
        <fgColor rgb="FFF8F9FA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6AA84F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3" fontId="15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0" fillId="30" borderId="3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31" borderId="6" applyNumberFormat="0" applyAlignment="0" applyProtection="0">
      <alignment vertical="center"/>
    </xf>
    <xf numFmtId="0" fontId="56" fillId="32" borderId="7" applyNumberFormat="0" applyAlignment="0" applyProtection="0">
      <alignment vertical="center"/>
    </xf>
    <xf numFmtId="0" fontId="57" fillId="32" borderId="6" applyNumberFormat="0" applyAlignment="0" applyProtection="0">
      <alignment vertical="center"/>
    </xf>
    <xf numFmtId="0" fontId="58" fillId="33" borderId="8" applyNumberFormat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60" fillId="0" borderId="10" applyNumberFormat="0" applyFill="0" applyAlignment="0" applyProtection="0">
      <alignment vertical="center"/>
    </xf>
    <xf numFmtId="0" fontId="61" fillId="34" borderId="0" applyNumberFormat="0" applyBorder="0" applyAlignment="0" applyProtection="0"/>
    <xf numFmtId="0" fontId="62" fillId="35" borderId="0" applyNumberFormat="0" applyBorder="0" applyAlignment="0" applyProtection="0"/>
    <xf numFmtId="0" fontId="63" fillId="36" borderId="0" applyNumberFormat="0" applyBorder="0" applyAlignment="0" applyProtection="0"/>
    <xf numFmtId="0" fontId="64" fillId="37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5" fillId="46" borderId="0" applyNumberFormat="0" applyBorder="0" applyAlignment="0" applyProtection="0">
      <alignment vertical="center"/>
    </xf>
    <xf numFmtId="0" fontId="65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5" fillId="50" borderId="0" applyNumberFormat="0" applyBorder="0" applyAlignment="0" applyProtection="0">
      <alignment vertical="center"/>
    </xf>
    <xf numFmtId="0" fontId="65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5" fillId="54" borderId="0" applyNumberFormat="0" applyBorder="0" applyAlignment="0" applyProtection="0">
      <alignment vertical="center"/>
    </xf>
    <xf numFmtId="0" fontId="65" fillId="55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6" fillId="57" borderId="0" applyNumberFormat="0" applyBorder="0" applyAlignment="0" applyProtection="0"/>
    <xf numFmtId="0" fontId="65" fillId="58" borderId="0" applyNumberFormat="0" applyBorder="0" applyAlignment="0" applyProtection="0">
      <alignment vertical="center"/>
    </xf>
    <xf numFmtId="0" fontId="65" fillId="59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67" fillId="0" borderId="0"/>
  </cellStyleXfs>
  <cellXfs count="341">
    <xf numFmtId="0" fontId="0" fillId="0" borderId="0" xfId="0"/>
    <xf numFmtId="0" fontId="0" fillId="2" borderId="0" xfId="0" applyFill="1"/>
    <xf numFmtId="49" fontId="1" fillId="3" borderId="1" xfId="0" applyNumberFormat="1" applyFont="1" applyFill="1" applyBorder="1"/>
    <xf numFmtId="0" fontId="2" fillId="3" borderId="2" xfId="0" applyFont="1" applyFill="1" applyBorder="1" applyAlignment="1">
      <alignment wrapText="1"/>
    </xf>
    <xf numFmtId="49" fontId="3" fillId="0" borderId="1" xfId="0" applyNumberFormat="1" applyFont="1" applyBorder="1" applyAlignment="1">
      <alignment vertical="center"/>
    </xf>
    <xf numFmtId="0" fontId="4" fillId="0" borderId="2" xfId="0" applyFont="1" applyBorder="1"/>
    <xf numFmtId="49" fontId="3" fillId="2" borderId="1" xfId="0" applyNumberFormat="1" applyFont="1" applyFill="1" applyBorder="1" applyAlignment="1">
      <alignment vertical="center"/>
    </xf>
    <xf numFmtId="0" fontId="4" fillId="2" borderId="2" xfId="0" applyFont="1" applyFill="1" applyBorder="1"/>
    <xf numFmtId="0" fontId="5" fillId="0" borderId="2" xfId="0" applyFont="1" applyBorder="1" applyAlignment="1">
      <alignment wrapText="1"/>
    </xf>
    <xf numFmtId="49" fontId="3" fillId="4" borderId="1" xfId="0" applyNumberFormat="1" applyFont="1" applyFill="1" applyBorder="1" applyAlignment="1">
      <alignment vertical="center"/>
    </xf>
    <xf numFmtId="0" fontId="4" fillId="4" borderId="2" xfId="0" applyFont="1" applyFill="1" applyBorder="1"/>
    <xf numFmtId="0" fontId="5" fillId="2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3" fontId="6" fillId="2" borderId="2" xfId="1" applyFont="1" applyFill="1" applyBorder="1" applyAlignment="1">
      <alignment vertical="center" wrapText="1"/>
    </xf>
    <xf numFmtId="43" fontId="6" fillId="4" borderId="2" xfId="1" applyFont="1" applyFill="1" applyBorder="1" applyAlignment="1">
      <alignment vertical="center" wrapText="1"/>
    </xf>
    <xf numFmtId="0" fontId="5" fillId="5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5" fillId="0" borderId="2" xfId="0" applyFont="1" applyBorder="1"/>
    <xf numFmtId="0" fontId="5" fillId="6" borderId="2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58" fontId="5" fillId="0" borderId="2" xfId="0" applyNumberFormat="1" applyFont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8" fillId="0" borderId="0" xfId="0" applyFont="1"/>
    <xf numFmtId="0" fontId="9" fillId="3" borderId="1" xfId="0" applyFont="1" applyFill="1" applyBorder="1"/>
    <xf numFmtId="0" fontId="10" fillId="3" borderId="1" xfId="0" applyFont="1" applyFill="1" applyBorder="1"/>
    <xf numFmtId="0" fontId="11" fillId="0" borderId="1" xfId="0" applyFont="1" applyBorder="1"/>
    <xf numFmtId="0" fontId="4" fillId="0" borderId="1" xfId="0" applyFont="1" applyBorder="1"/>
    <xf numFmtId="0" fontId="11" fillId="9" borderId="1" xfId="0" applyFont="1" applyFill="1" applyBorder="1"/>
    <xf numFmtId="0" fontId="11" fillId="10" borderId="1" xfId="0" applyFont="1" applyFill="1" applyBorder="1"/>
    <xf numFmtId="0" fontId="4" fillId="4" borderId="1" xfId="0" applyFont="1" applyFill="1" applyBorder="1"/>
    <xf numFmtId="0" fontId="12" fillId="0" borderId="1" xfId="0" applyFont="1" applyBorder="1"/>
    <xf numFmtId="0" fontId="13" fillId="0" borderId="1" xfId="0" applyFont="1" applyBorder="1"/>
    <xf numFmtId="0" fontId="13" fillId="2" borderId="1" xfId="0" applyFont="1" applyFill="1" applyBorder="1"/>
    <xf numFmtId="0" fontId="12" fillId="2" borderId="1" xfId="0" applyFont="1" applyFill="1" applyBorder="1"/>
    <xf numFmtId="0" fontId="12" fillId="4" borderId="1" xfId="0" applyFont="1" applyFill="1" applyBorder="1"/>
    <xf numFmtId="43" fontId="6" fillId="11" borderId="1" xfId="1" applyFont="1" applyFill="1" applyBorder="1" applyAlignment="1">
      <alignment vertical="center" wrapText="1"/>
    </xf>
    <xf numFmtId="0" fontId="6" fillId="2" borderId="1" xfId="1" applyNumberFormat="1" applyFont="1" applyFill="1" applyBorder="1" applyAlignment="1">
      <alignment vertical="center" wrapText="1"/>
    </xf>
    <xf numFmtId="43" fontId="6" fillId="4" borderId="1" xfId="1" applyFont="1" applyFill="1" applyBorder="1" applyAlignment="1">
      <alignment vertical="center" wrapText="1"/>
    </xf>
    <xf numFmtId="0" fontId="6" fillId="4" borderId="1" xfId="1" applyNumberFormat="1" applyFont="1" applyFill="1" applyBorder="1" applyAlignment="1">
      <alignment vertical="center" wrapText="1"/>
    </xf>
    <xf numFmtId="0" fontId="13" fillId="4" borderId="1" xfId="0" applyFont="1" applyFill="1" applyBorder="1"/>
    <xf numFmtId="0" fontId="11" fillId="2" borderId="1" xfId="0" applyFont="1" applyFill="1" applyBorder="1"/>
    <xf numFmtId="0" fontId="4" fillId="2" borderId="1" xfId="0" applyFont="1" applyFill="1" applyBorder="1"/>
    <xf numFmtId="0" fontId="13" fillId="5" borderId="1" xfId="0" applyFont="1" applyFill="1" applyBorder="1"/>
    <xf numFmtId="43" fontId="6" fillId="12" borderId="1" xfId="1" applyFont="1" applyFill="1" applyBorder="1" applyAlignment="1">
      <alignment vertical="center" wrapText="1"/>
    </xf>
    <xf numFmtId="0" fontId="11" fillId="4" borderId="1" xfId="0" applyFont="1" applyFill="1" applyBorder="1"/>
    <xf numFmtId="43" fontId="6" fillId="2" borderId="1" xfId="1" applyFont="1" applyFill="1" applyBorder="1" applyAlignment="1">
      <alignment vertical="center" wrapText="1"/>
    </xf>
    <xf numFmtId="0" fontId="13" fillId="4" borderId="1" xfId="0" applyFont="1" applyFill="1" applyBorder="1" applyAlignment="1">
      <alignment wrapText="1"/>
    </xf>
    <xf numFmtId="0" fontId="14" fillId="0" borderId="1" xfId="0" applyFont="1" applyBorder="1"/>
    <xf numFmtId="0" fontId="13" fillId="6" borderId="1" xfId="0" applyFont="1" applyFill="1" applyBorder="1"/>
    <xf numFmtId="43" fontId="6" fillId="13" borderId="1" xfId="1" applyFont="1" applyFill="1" applyBorder="1" applyAlignment="1">
      <alignment vertical="center" wrapText="1"/>
    </xf>
    <xf numFmtId="0" fontId="13" fillId="7" borderId="1" xfId="0" applyFont="1" applyFill="1" applyBorder="1"/>
    <xf numFmtId="43" fontId="6" fillId="14" borderId="1" xfId="1" applyFont="1" applyFill="1" applyBorder="1" applyAlignment="1">
      <alignment vertical="center" wrapText="1"/>
    </xf>
    <xf numFmtId="0" fontId="6" fillId="1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4" fillId="8" borderId="1" xfId="0" applyFont="1" applyFill="1" applyBorder="1"/>
    <xf numFmtId="0" fontId="12" fillId="8" borderId="1" xfId="0" applyFont="1" applyFill="1" applyBorder="1"/>
    <xf numFmtId="0" fontId="13" fillId="8" borderId="1" xfId="0" applyFont="1" applyFill="1" applyBorder="1"/>
    <xf numFmtId="0" fontId="3" fillId="0" borderId="0" xfId="0" applyFont="1" applyAlignment="1">
      <alignment horizontal="left"/>
    </xf>
    <xf numFmtId="0" fontId="15" fillId="0" borderId="0" xfId="0" applyFont="1"/>
    <xf numFmtId="0" fontId="16" fillId="3" borderId="0" xfId="0" applyFont="1" applyFill="1"/>
    <xf numFmtId="15" fontId="3" fillId="0" borderId="0" xfId="0" applyNumberFormat="1" applyFont="1" applyAlignment="1">
      <alignment vertical="center"/>
    </xf>
    <xf numFmtId="15" fontId="3" fillId="9" borderId="0" xfId="0" applyNumberFormat="1" applyFont="1" applyFill="1" applyAlignment="1">
      <alignment vertical="center"/>
    </xf>
    <xf numFmtId="15" fontId="3" fillId="10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0" fontId="17" fillId="2" borderId="0" xfId="0" applyFont="1" applyFill="1"/>
    <xf numFmtId="58" fontId="17" fillId="2" borderId="0" xfId="0" applyNumberFormat="1" applyFont="1" applyFill="1"/>
    <xf numFmtId="43" fontId="18" fillId="0" borderId="0" xfId="1" applyFont="1" applyBorder="1" applyAlignment="1">
      <alignment vertical="center" wrapText="1"/>
    </xf>
    <xf numFmtId="178" fontId="17" fillId="0" borderId="0" xfId="0" applyNumberFormat="1" applyFont="1" applyAlignment="1">
      <alignment wrapText="1"/>
    </xf>
    <xf numFmtId="0" fontId="3" fillId="2" borderId="0" xfId="0" applyFont="1" applyFill="1" applyAlignment="1">
      <alignment vertical="center"/>
    </xf>
    <xf numFmtId="179" fontId="3" fillId="9" borderId="0" xfId="0" applyNumberFormat="1" applyFont="1" applyFill="1"/>
    <xf numFmtId="15" fontId="3" fillId="0" borderId="0" xfId="0" applyNumberFormat="1" applyFont="1"/>
    <xf numFmtId="15" fontId="3" fillId="16" borderId="0" xfId="0" applyNumberFormat="1" applyFont="1" applyFill="1" applyAlignment="1">
      <alignment wrapText="1"/>
    </xf>
    <xf numFmtId="15" fontId="3" fillId="9" borderId="0" xfId="0" applyNumberFormat="1" applyFont="1" applyFill="1"/>
    <xf numFmtId="179" fontId="3" fillId="0" borderId="0" xfId="0" applyNumberFormat="1" applyFont="1"/>
    <xf numFmtId="178" fontId="17" fillId="2" borderId="0" xfId="0" applyNumberFormat="1" applyFont="1" applyFill="1"/>
    <xf numFmtId="15" fontId="3" fillId="2" borderId="0" xfId="0" applyNumberFormat="1" applyFont="1" applyFill="1" applyAlignment="1">
      <alignment vertical="center"/>
    </xf>
    <xf numFmtId="15" fontId="18" fillId="0" borderId="0" xfId="1" applyNumberFormat="1" applyFont="1" applyBorder="1" applyAlignment="1">
      <alignment vertical="center" wrapText="1"/>
    </xf>
    <xf numFmtId="15" fontId="17" fillId="0" borderId="0" xfId="0" applyNumberFormat="1" applyFont="1" applyAlignment="1">
      <alignment wrapText="1"/>
    </xf>
    <xf numFmtId="179" fontId="3" fillId="2" borderId="0" xfId="0" applyNumberFormat="1" applyFont="1" applyFill="1"/>
    <xf numFmtId="178" fontId="17" fillId="0" borderId="0" xfId="0" applyNumberFormat="1" applyFont="1"/>
    <xf numFmtId="58" fontId="5" fillId="0" borderId="0" xfId="0" applyNumberFormat="1" applyFont="1"/>
    <xf numFmtId="58" fontId="7" fillId="0" borderId="0" xfId="0" applyNumberFormat="1" applyFont="1"/>
    <xf numFmtId="15" fontId="18" fillId="0" borderId="0" xfId="0" applyNumberFormat="1" applyFont="1" applyAlignment="1">
      <alignment vertical="center" wrapText="1"/>
    </xf>
    <xf numFmtId="58" fontId="17" fillId="4" borderId="0" xfId="0" applyNumberFormat="1" applyFont="1" applyFill="1"/>
    <xf numFmtId="43" fontId="18" fillId="4" borderId="0" xfId="1" applyFont="1" applyFill="1" applyBorder="1" applyAlignment="1"/>
    <xf numFmtId="0" fontId="3" fillId="4" borderId="0" xfId="0" applyFont="1" applyFill="1"/>
    <xf numFmtId="15" fontId="18" fillId="2" borderId="0" xfId="0" applyNumberFormat="1" applyFont="1" applyFill="1" applyAlignment="1">
      <alignment vertical="center" wrapText="1"/>
    </xf>
    <xf numFmtId="0" fontId="3" fillId="2" borderId="0" xfId="0" applyFont="1" applyFill="1"/>
    <xf numFmtId="58" fontId="7" fillId="2" borderId="0" xfId="0" applyNumberFormat="1" applyFont="1" applyFill="1"/>
    <xf numFmtId="43" fontId="18" fillId="4" borderId="0" xfId="1" applyFont="1" applyFill="1" applyBorder="1" applyAlignment="1">
      <alignment vertical="center" wrapText="1"/>
    </xf>
    <xf numFmtId="58" fontId="5" fillId="4" borderId="0" xfId="0" applyNumberFormat="1" applyFont="1" applyFill="1"/>
    <xf numFmtId="0" fontId="17" fillId="4" borderId="0" xfId="0" applyFont="1" applyFill="1"/>
    <xf numFmtId="58" fontId="6" fillId="2" borderId="0" xfId="1" applyNumberFormat="1" applyFont="1" applyFill="1" applyBorder="1" applyAlignment="1">
      <alignment vertical="center" wrapText="1"/>
    </xf>
    <xf numFmtId="15" fontId="6" fillId="2" borderId="0" xfId="0" applyNumberFormat="1" applyFont="1" applyFill="1"/>
    <xf numFmtId="43" fontId="18" fillId="4" borderId="0" xfId="1" applyFont="1" applyFill="1" applyBorder="1" applyAlignment="1">
      <alignment wrapText="1"/>
    </xf>
    <xf numFmtId="15" fontId="17" fillId="2" borderId="0" xfId="0" applyNumberFormat="1" applyFont="1" applyFill="1" applyAlignment="1">
      <alignment wrapText="1"/>
    </xf>
    <xf numFmtId="15" fontId="18" fillId="4" borderId="0" xfId="1" applyNumberFormat="1" applyFont="1" applyFill="1" applyBorder="1" applyAlignment="1">
      <alignment vertical="center" wrapText="1"/>
    </xf>
    <xf numFmtId="58" fontId="6" fillId="4" borderId="0" xfId="1" applyNumberFormat="1" applyFont="1" applyFill="1" applyBorder="1" applyAlignment="1">
      <alignment vertical="center" wrapText="1"/>
    </xf>
    <xf numFmtId="58" fontId="7" fillId="4" borderId="0" xfId="0" applyNumberFormat="1" applyFont="1" applyFill="1"/>
    <xf numFmtId="15" fontId="3" fillId="2" borderId="0" xfId="0" applyNumberFormat="1" applyFont="1" applyFill="1" applyAlignment="1">
      <alignment wrapText="1"/>
    </xf>
    <xf numFmtId="0" fontId="3" fillId="0" borderId="0" xfId="0" applyFont="1"/>
    <xf numFmtId="15" fontId="17" fillId="0" borderId="0" xfId="0" applyNumberFormat="1" applyFont="1"/>
    <xf numFmtId="178" fontId="17" fillId="2" borderId="0" xfId="0" applyNumberFormat="1" applyFont="1" applyFill="1" applyAlignment="1">
      <alignment wrapText="1"/>
    </xf>
    <xf numFmtId="15" fontId="17" fillId="4" borderId="0" xfId="0" applyNumberFormat="1" applyFont="1" applyFill="1"/>
    <xf numFmtId="43" fontId="18" fillId="0" borderId="0" xfId="1" applyFont="1" applyBorder="1" applyAlignment="1"/>
    <xf numFmtId="58" fontId="18" fillId="4" borderId="0" xfId="0" applyNumberFormat="1" applyFont="1" applyFill="1" applyAlignment="1">
      <alignment vertical="center" wrapText="1"/>
    </xf>
    <xf numFmtId="178" fontId="19" fillId="0" borderId="0" xfId="0" applyNumberFormat="1" applyFont="1" applyAlignment="1">
      <alignment wrapText="1"/>
    </xf>
    <xf numFmtId="15" fontId="18" fillId="4" borderId="0" xfId="0" applyNumberFormat="1" applyFont="1" applyFill="1" applyAlignment="1">
      <alignment vertical="center" wrapText="1"/>
    </xf>
    <xf numFmtId="58" fontId="7" fillId="5" borderId="0" xfId="0" applyNumberFormat="1" applyFont="1" applyFill="1"/>
    <xf numFmtId="178" fontId="19" fillId="0" borderId="0" xfId="0" applyNumberFormat="1" applyFont="1"/>
    <xf numFmtId="15" fontId="17" fillId="2" borderId="0" xfId="0" applyNumberFormat="1" applyFont="1" applyFill="1"/>
    <xf numFmtId="179" fontId="17" fillId="0" borderId="0" xfId="0" applyNumberFormat="1" applyFont="1"/>
    <xf numFmtId="179" fontId="17" fillId="0" borderId="0" xfId="0" applyNumberFormat="1" applyFont="1" applyAlignment="1">
      <alignment wrapText="1"/>
    </xf>
    <xf numFmtId="58" fontId="18" fillId="0" borderId="0" xfId="1" applyNumberFormat="1" applyFont="1" applyBorder="1" applyAlignment="1">
      <alignment vertical="center" wrapText="1"/>
    </xf>
    <xf numFmtId="49" fontId="15" fillId="0" borderId="0" xfId="0" applyNumberFormat="1" applyFont="1" applyAlignment="1">
      <alignment horizontal="left"/>
    </xf>
    <xf numFmtId="178" fontId="17" fillId="17" borderId="0" xfId="0" applyNumberFormat="1" applyFont="1" applyFill="1" applyAlignment="1">
      <alignment wrapText="1"/>
    </xf>
    <xf numFmtId="0" fontId="17" fillId="2" borderId="0" xfId="0" applyFont="1" applyFill="1" applyAlignment="1">
      <alignment wrapText="1"/>
    </xf>
    <xf numFmtId="0" fontId="3" fillId="9" borderId="0" xfId="0" applyFont="1" applyFill="1"/>
    <xf numFmtId="15" fontId="17" fillId="0" borderId="0" xfId="1" applyNumberFormat="1" applyFont="1" applyBorder="1" applyAlignment="1"/>
    <xf numFmtId="15" fontId="17" fillId="4" borderId="0" xfId="0" applyNumberFormat="1" applyFont="1" applyFill="1" applyAlignment="1">
      <alignment wrapText="1"/>
    </xf>
    <xf numFmtId="15" fontId="3" fillId="4" borderId="0" xfId="0" applyNumberFormat="1" applyFont="1" applyFill="1" applyAlignment="1">
      <alignment vertical="center"/>
    </xf>
    <xf numFmtId="179" fontId="3" fillId="10" borderId="0" xfId="0" applyNumberFormat="1" applyFont="1" applyFill="1"/>
    <xf numFmtId="15" fontId="3" fillId="0" borderId="0" xfId="0" applyNumberFormat="1" applyFont="1" applyAlignment="1">
      <alignment vertical="center" wrapText="1"/>
    </xf>
    <xf numFmtId="180" fontId="17" fillId="0" borderId="0" xfId="0" applyNumberFormat="1" applyFont="1" applyAlignment="1">
      <alignment wrapText="1"/>
    </xf>
    <xf numFmtId="179" fontId="17" fillId="2" borderId="0" xfId="0" applyNumberFormat="1" applyFont="1" applyFill="1"/>
    <xf numFmtId="15" fontId="17" fillId="17" borderId="0" xfId="0" applyNumberFormat="1" applyFont="1" applyFill="1"/>
    <xf numFmtId="179" fontId="3" fillId="18" borderId="0" xfId="0" applyNumberFormat="1" applyFont="1" applyFill="1"/>
    <xf numFmtId="178" fontId="17" fillId="4" borderId="0" xfId="0" applyNumberFormat="1" applyFont="1" applyFill="1" applyAlignment="1">
      <alignment wrapText="1"/>
    </xf>
    <xf numFmtId="0" fontId="3" fillId="2" borderId="0" xfId="24" applyFont="1" applyFill="1" applyBorder="1" applyAlignment="1"/>
    <xf numFmtId="58" fontId="16" fillId="0" borderId="0" xfId="0" applyNumberFormat="1" applyFont="1"/>
    <xf numFmtId="178" fontId="19" fillId="2" borderId="0" xfId="0" applyNumberFormat="1" applyFont="1" applyFill="1"/>
    <xf numFmtId="43" fontId="18" fillId="19" borderId="0" xfId="1" applyFont="1" applyFill="1" applyBorder="1" applyAlignment="1">
      <alignment vertical="center" wrapText="1"/>
    </xf>
    <xf numFmtId="58" fontId="7" fillId="6" borderId="0" xfId="0" applyNumberFormat="1" applyFont="1" applyFill="1"/>
    <xf numFmtId="15" fontId="3" fillId="9" borderId="0" xfId="0" applyNumberFormat="1" applyFont="1" applyFill="1" applyAlignment="1">
      <alignment vertical="center" wrapText="1"/>
    </xf>
    <xf numFmtId="15" fontId="3" fillId="2" borderId="0" xfId="0" applyNumberFormat="1" applyFont="1" applyFill="1" applyAlignment="1">
      <alignment vertical="center" wrapText="1"/>
    </xf>
    <xf numFmtId="15" fontId="17" fillId="17" borderId="0" xfId="0" applyNumberFormat="1" applyFont="1" applyFill="1" applyAlignment="1">
      <alignment wrapText="1"/>
    </xf>
    <xf numFmtId="58" fontId="7" fillId="7" borderId="0" xfId="0" applyNumberFormat="1" applyFont="1" applyFill="1"/>
    <xf numFmtId="58" fontId="3" fillId="9" borderId="0" xfId="0" applyNumberFormat="1" applyFont="1" applyFill="1" applyAlignment="1">
      <alignment vertical="center"/>
    </xf>
    <xf numFmtId="15" fontId="3" fillId="2" borderId="0" xfId="0" applyNumberFormat="1" applyFont="1" applyFill="1"/>
    <xf numFmtId="49" fontId="0" fillId="0" borderId="0" xfId="0" applyNumberFormat="1"/>
    <xf numFmtId="0" fontId="6" fillId="0" borderId="0" xfId="0" applyFont="1" applyAlignment="1">
      <alignment vertical="center"/>
    </xf>
    <xf numFmtId="178" fontId="17" fillId="4" borderId="0" xfId="0" applyNumberFormat="1" applyFont="1" applyFill="1"/>
    <xf numFmtId="15" fontId="20" fillId="0" borderId="0" xfId="1" applyNumberFormat="1" applyFont="1" applyBorder="1" applyAlignment="1"/>
    <xf numFmtId="15" fontId="6" fillId="4" borderId="0" xfId="0" applyNumberFormat="1" applyFont="1" applyFill="1"/>
    <xf numFmtId="58" fontId="16" fillId="8" borderId="0" xfId="0" applyNumberFormat="1" applyFont="1" applyFill="1"/>
    <xf numFmtId="58" fontId="7" fillId="8" borderId="0" xfId="0" applyNumberFormat="1" applyFont="1" applyFill="1"/>
    <xf numFmtId="58" fontId="3" fillId="0" borderId="0" xfId="0" applyNumberFormat="1" applyFont="1" applyAlignment="1">
      <alignment vertical="center"/>
    </xf>
    <xf numFmtId="0" fontId="21" fillId="0" borderId="0" xfId="0" applyFont="1"/>
    <xf numFmtId="0" fontId="2" fillId="2" borderId="1" xfId="0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5" fillId="2" borderId="1" xfId="0" applyFont="1" applyFill="1" applyBorder="1"/>
    <xf numFmtId="49" fontId="22" fillId="2" borderId="1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wrapText="1"/>
    </xf>
    <xf numFmtId="0" fontId="22" fillId="2" borderId="1" xfId="0" applyFont="1" applyFill="1" applyBorder="1" applyAlignment="1">
      <alignment vertical="center"/>
    </xf>
    <xf numFmtId="43" fontId="22" fillId="2" borderId="1" xfId="1" applyFont="1" applyFill="1" applyBorder="1" applyAlignment="1">
      <alignment vertical="center"/>
    </xf>
    <xf numFmtId="0" fontId="22" fillId="20" borderId="1" xfId="0" applyFont="1" applyFill="1" applyBorder="1" applyAlignment="1">
      <alignment wrapText="1"/>
    </xf>
    <xf numFmtId="0" fontId="22" fillId="20" borderId="1" xfId="0" applyFont="1" applyFill="1" applyBorder="1"/>
    <xf numFmtId="0" fontId="22" fillId="2" borderId="1" xfId="0" applyFont="1" applyFill="1" applyBorder="1"/>
    <xf numFmtId="0" fontId="22" fillId="2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wrapText="1"/>
    </xf>
    <xf numFmtId="43" fontId="6" fillId="2" borderId="1" xfId="1" applyFont="1" applyFill="1" applyBorder="1" applyAlignment="1">
      <alignment wrapText="1"/>
    </xf>
    <xf numFmtId="0" fontId="23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6" fillId="2" borderId="1" xfId="0" applyFont="1" applyFill="1" applyBorder="1"/>
    <xf numFmtId="0" fontId="17" fillId="2" borderId="1" xfId="0" applyFont="1" applyFill="1" applyBorder="1"/>
    <xf numFmtId="0" fontId="7" fillId="2" borderId="1" xfId="0" applyFont="1" applyFill="1" applyBorder="1"/>
    <xf numFmtId="4" fontId="5" fillId="2" borderId="1" xfId="0" applyNumberFormat="1" applyFont="1" applyFill="1" applyBorder="1"/>
    <xf numFmtId="4" fontId="7" fillId="2" borderId="1" xfId="0" applyNumberFormat="1" applyFont="1" applyFill="1" applyBorder="1"/>
    <xf numFmtId="0" fontId="23" fillId="2" borderId="1" xfId="0" applyFont="1" applyFill="1" applyBorder="1" applyAlignment="1">
      <alignment wrapText="1"/>
    </xf>
    <xf numFmtId="43" fontId="23" fillId="2" borderId="1" xfId="0" applyNumberFormat="1" applyFont="1" applyFill="1" applyBorder="1" applyAlignment="1">
      <alignment wrapText="1"/>
    </xf>
    <xf numFmtId="43" fontId="22" fillId="2" borderId="1" xfId="1" applyFont="1" applyFill="1" applyBorder="1" applyAlignment="1"/>
    <xf numFmtId="0" fontId="24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wrapText="1"/>
    </xf>
    <xf numFmtId="0" fontId="26" fillId="2" borderId="1" xfId="1" applyNumberFormat="1" applyFont="1" applyFill="1" applyBorder="1" applyAlignment="1">
      <alignment vertical="center" wrapText="1"/>
    </xf>
    <xf numFmtId="0" fontId="7" fillId="6" borderId="1" xfId="0" applyFont="1" applyFill="1" applyBorder="1"/>
    <xf numFmtId="4" fontId="7" fillId="6" borderId="1" xfId="0" applyNumberFormat="1" applyFont="1" applyFill="1" applyBorder="1"/>
    <xf numFmtId="43" fontId="22" fillId="20" borderId="1" xfId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0" fontId="4" fillId="2" borderId="1" xfId="1" applyNumberFormat="1" applyFont="1" applyFill="1" applyBorder="1" applyAlignment="1">
      <alignment wrapText="1"/>
    </xf>
    <xf numFmtId="0" fontId="7" fillId="7" borderId="1" xfId="0" applyFont="1" applyFill="1" applyBorder="1"/>
    <xf numFmtId="4" fontId="7" fillId="7" borderId="1" xfId="0" applyNumberFormat="1" applyFont="1" applyFill="1" applyBorder="1"/>
    <xf numFmtId="0" fontId="27" fillId="2" borderId="1" xfId="1" applyNumberFormat="1" applyFont="1" applyFill="1" applyBorder="1" applyAlignment="1">
      <alignment vertical="center" wrapText="1"/>
    </xf>
    <xf numFmtId="0" fontId="28" fillId="2" borderId="1" xfId="0" applyFont="1" applyFill="1" applyBorder="1" applyAlignment="1">
      <alignment wrapText="1"/>
    </xf>
    <xf numFmtId="0" fontId="16" fillId="7" borderId="1" xfId="0" applyFont="1" applyFill="1" applyBorder="1"/>
    <xf numFmtId="4" fontId="16" fillId="7" borderId="1" xfId="0" applyNumberFormat="1" applyFont="1" applyFill="1" applyBorder="1"/>
    <xf numFmtId="0" fontId="12" fillId="0" borderId="0" xfId="0" applyFont="1"/>
    <xf numFmtId="0" fontId="1" fillId="3" borderId="1" xfId="0" applyFont="1" applyFill="1" applyBorder="1"/>
    <xf numFmtId="0" fontId="2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/>
    <xf numFmtId="0" fontId="22" fillId="9" borderId="1" xfId="0" applyFont="1" applyFill="1" applyBorder="1" applyAlignment="1">
      <alignment wrapText="1"/>
    </xf>
    <xf numFmtId="0" fontId="3" fillId="9" borderId="1" xfId="0" applyFont="1" applyFill="1" applyBorder="1" applyAlignment="1">
      <alignment vertical="center"/>
    </xf>
    <xf numFmtId="0" fontId="22" fillId="9" borderId="1" xfId="0" applyFont="1" applyFill="1" applyBorder="1"/>
    <xf numFmtId="0" fontId="22" fillId="9" borderId="1" xfId="0" applyFont="1" applyFill="1" applyBorder="1" applyAlignment="1">
      <alignment vertical="center"/>
    </xf>
    <xf numFmtId="0" fontId="22" fillId="9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wrapText="1"/>
    </xf>
    <xf numFmtId="0" fontId="22" fillId="16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6" fillId="0" borderId="1" xfId="0" applyFont="1" applyBorder="1"/>
    <xf numFmtId="0" fontId="23" fillId="0" borderId="1" xfId="0" applyFont="1" applyBorder="1" applyAlignment="1">
      <alignment vertical="center" wrapText="1"/>
    </xf>
    <xf numFmtId="0" fontId="29" fillId="0" borderId="1" xfId="0" applyFont="1" applyBorder="1" applyAlignment="1">
      <alignment wrapText="1"/>
    </xf>
    <xf numFmtId="0" fontId="30" fillId="0" borderId="1" xfId="6" applyFont="1" applyBorder="1" applyAlignment="1"/>
    <xf numFmtId="0" fontId="4" fillId="2" borderId="1" xfId="0" applyFont="1" applyFill="1" applyBorder="1" applyAlignment="1">
      <alignment wrapText="1"/>
    </xf>
    <xf numFmtId="0" fontId="3" fillId="21" borderId="1" xfId="0" applyFont="1" applyFill="1" applyBorder="1" applyAlignment="1">
      <alignment vertical="center"/>
    </xf>
    <xf numFmtId="15" fontId="22" fillId="2" borderId="1" xfId="0" applyNumberFormat="1" applyFont="1" applyFill="1" applyBorder="1" applyAlignment="1">
      <alignment vertical="center"/>
    </xf>
    <xf numFmtId="15" fontId="22" fillId="2" borderId="1" xfId="0" applyNumberFormat="1" applyFont="1" applyFill="1" applyBorder="1" applyAlignment="1">
      <alignment vertical="center" wrapText="1"/>
    </xf>
    <xf numFmtId="0" fontId="3" fillId="9" borderId="1" xfId="0" applyFont="1" applyFill="1" applyBorder="1" applyAlignment="1">
      <alignment wrapText="1"/>
    </xf>
    <xf numFmtId="0" fontId="31" fillId="9" borderId="1" xfId="0" applyFont="1" applyFill="1" applyBorder="1" applyAlignment="1">
      <alignment vertical="center"/>
    </xf>
    <xf numFmtId="43" fontId="4" fillId="2" borderId="1" xfId="1" applyFont="1" applyFill="1" applyBorder="1" applyAlignment="1">
      <alignment wrapText="1"/>
    </xf>
    <xf numFmtId="0" fontId="18" fillId="0" borderId="1" xfId="0" applyFont="1" applyBorder="1" applyAlignment="1">
      <alignment vertical="center" wrapText="1"/>
    </xf>
    <xf numFmtId="0" fontId="32" fillId="0" borderId="1" xfId="6" applyFont="1" applyBorder="1" applyAlignment="1">
      <alignment vertical="center"/>
    </xf>
    <xf numFmtId="43" fontId="22" fillId="2" borderId="1" xfId="1" applyFont="1" applyFill="1" applyBorder="1" applyAlignment="1">
      <alignment wrapText="1"/>
    </xf>
    <xf numFmtId="43" fontId="3" fillId="2" borderId="1" xfId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32" fillId="0" borderId="1" xfId="6" applyFont="1" applyBorder="1" applyAlignment="1"/>
    <xf numFmtId="0" fontId="7" fillId="0" borderId="1" xfId="0" applyFont="1" applyBorder="1"/>
    <xf numFmtId="0" fontId="6" fillId="0" borderId="1" xfId="0" applyFont="1" applyBorder="1" applyAlignment="1">
      <alignment wrapText="1"/>
    </xf>
    <xf numFmtId="0" fontId="18" fillId="4" borderId="1" xfId="0" applyFont="1" applyFill="1" applyBorder="1" applyAlignment="1">
      <alignment vertical="center" wrapText="1"/>
    </xf>
    <xf numFmtId="0" fontId="23" fillId="4" borderId="1" xfId="0" applyFont="1" applyFill="1" applyBorder="1" applyAlignment="1">
      <alignment vertical="center" wrapText="1"/>
    </xf>
    <xf numFmtId="0" fontId="23" fillId="4" borderId="1" xfId="0" applyFont="1" applyFill="1" applyBorder="1"/>
    <xf numFmtId="0" fontId="29" fillId="0" borderId="1" xfId="0" applyFont="1" applyBorder="1" applyAlignment="1">
      <alignment vertical="center" wrapText="1"/>
    </xf>
    <xf numFmtId="0" fontId="29" fillId="4" borderId="1" xfId="0" applyFont="1" applyFill="1" applyBorder="1" applyAlignment="1">
      <alignment wrapText="1"/>
    </xf>
    <xf numFmtId="0" fontId="22" fillId="4" borderId="1" xfId="0" applyFont="1" applyFill="1" applyBorder="1" applyAlignment="1">
      <alignment vertical="center"/>
    </xf>
    <xf numFmtId="0" fontId="32" fillId="4" borderId="1" xfId="6" applyFont="1" applyFill="1" applyBorder="1" applyAlignment="1"/>
    <xf numFmtId="0" fontId="5" fillId="4" borderId="1" xfId="0" applyFont="1" applyFill="1" applyBorder="1"/>
    <xf numFmtId="0" fontId="6" fillId="17" borderId="1" xfId="0" applyFont="1" applyFill="1" applyBorder="1"/>
    <xf numFmtId="0" fontId="6" fillId="15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3" fillId="0" borderId="1" xfId="0" applyFont="1" applyBorder="1" applyAlignment="1">
      <alignment wrapText="1"/>
    </xf>
    <xf numFmtId="0" fontId="22" fillId="22" borderId="1" xfId="0" applyFont="1" applyFill="1" applyBorder="1" applyAlignment="1">
      <alignment wrapText="1"/>
    </xf>
    <xf numFmtId="0" fontId="32" fillId="0" borderId="1" xfId="6" applyFont="1" applyBorder="1" applyAlignment="1">
      <alignment wrapText="1"/>
    </xf>
    <xf numFmtId="0" fontId="6" fillId="4" borderId="1" xfId="0" applyFont="1" applyFill="1" applyBorder="1"/>
    <xf numFmtId="0" fontId="6" fillId="4" borderId="1" xfId="0" applyFont="1" applyFill="1" applyBorder="1" applyAlignment="1">
      <alignment vertical="center" wrapText="1"/>
    </xf>
    <xf numFmtId="0" fontId="25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3" fillId="0" borderId="1" xfId="0" applyFont="1" applyBorder="1"/>
    <xf numFmtId="0" fontId="31" fillId="2" borderId="1" xfId="0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4" borderId="1" xfId="6" applyFont="1" applyFill="1" applyBorder="1" applyAlignment="1">
      <alignment wrapText="1"/>
    </xf>
    <xf numFmtId="49" fontId="22" fillId="2" borderId="1" xfId="0" applyNumberFormat="1" applyFont="1" applyFill="1" applyBorder="1"/>
    <xf numFmtId="43" fontId="4" fillId="2" borderId="1" xfId="1" applyFont="1" applyFill="1" applyBorder="1" applyAlignment="1">
      <alignment vertical="center" wrapText="1"/>
    </xf>
    <xf numFmtId="0" fontId="22" fillId="2" borderId="1" xfId="45" applyFont="1" applyFill="1" applyBorder="1" applyAlignment="1">
      <alignment vertical="center" wrapText="1"/>
    </xf>
    <xf numFmtId="0" fontId="29" fillId="4" borderId="1" xfId="0" applyFont="1" applyFill="1" applyBorder="1" applyAlignment="1">
      <alignment vertical="center" wrapText="1"/>
    </xf>
    <xf numFmtId="0" fontId="32" fillId="4" borderId="1" xfId="6" applyFont="1" applyFill="1" applyBorder="1" applyAlignment="1">
      <alignment vertical="center"/>
    </xf>
    <xf numFmtId="43" fontId="4" fillId="4" borderId="1" xfId="1" applyFont="1" applyFill="1" applyBorder="1" applyAlignment="1">
      <alignment wrapText="1"/>
    </xf>
    <xf numFmtId="0" fontId="3" fillId="9" borderId="1" xfId="0" applyFont="1" applyFill="1" applyBorder="1"/>
    <xf numFmtId="0" fontId="23" fillId="0" borderId="1" xfId="0" applyFont="1" applyBorder="1" applyAlignment="1">
      <alignment wrapText="1"/>
    </xf>
    <xf numFmtId="0" fontId="34" fillId="0" borderId="1" xfId="0" applyFont="1" applyBorder="1" applyAlignment="1">
      <alignment wrapText="1"/>
    </xf>
    <xf numFmtId="0" fontId="35" fillId="0" borderId="1" xfId="6" applyFont="1" applyBorder="1" applyAlignment="1"/>
    <xf numFmtId="0" fontId="6" fillId="4" borderId="1" xfId="0" applyFont="1" applyFill="1" applyBorder="1" applyAlignment="1">
      <alignment wrapText="1"/>
    </xf>
    <xf numFmtId="0" fontId="6" fillId="23" borderId="1" xfId="0" applyFont="1" applyFill="1" applyBorder="1" applyAlignment="1">
      <alignment wrapText="1"/>
    </xf>
    <xf numFmtId="0" fontId="22" fillId="16" borderId="1" xfId="0" applyFont="1" applyFill="1" applyBorder="1" applyAlignment="1">
      <alignment vertical="center" wrapText="1"/>
    </xf>
    <xf numFmtId="0" fontId="22" fillId="2" borderId="1" xfId="22" applyFont="1" applyFill="1" applyBorder="1" applyAlignment="1">
      <alignment vertical="center" wrapText="1"/>
    </xf>
    <xf numFmtId="0" fontId="32" fillId="0" borderId="1" xfId="6" applyFont="1" applyBorder="1" applyAlignment="1">
      <alignment vertical="center" wrapText="1"/>
    </xf>
    <xf numFmtId="0" fontId="34" fillId="0" borderId="1" xfId="0" applyFont="1" applyBorder="1"/>
    <xf numFmtId="0" fontId="3" fillId="0" borderId="1" xfId="0" applyFont="1" applyBorder="1"/>
    <xf numFmtId="0" fontId="7" fillId="5" borderId="1" xfId="0" applyFont="1" applyFill="1" applyBorder="1"/>
    <xf numFmtId="0" fontId="23" fillId="11" borderId="1" xfId="0" applyFont="1" applyFill="1" applyBorder="1" applyAlignment="1">
      <alignment wrapText="1"/>
    </xf>
    <xf numFmtId="0" fontId="36" fillId="0" borderId="1" xfId="0" applyFont="1" applyBorder="1"/>
    <xf numFmtId="43" fontId="32" fillId="2" borderId="1" xfId="6" applyNumberFormat="1" applyFont="1" applyFill="1" applyBorder="1" applyAlignment="1">
      <alignment vertical="center" wrapText="1"/>
    </xf>
    <xf numFmtId="0" fontId="4" fillId="12" borderId="1" xfId="0" applyFont="1" applyFill="1" applyBorder="1" applyAlignment="1">
      <alignment wrapText="1"/>
    </xf>
    <xf numFmtId="58" fontId="22" fillId="2" borderId="1" xfId="0" applyNumberFormat="1" applyFont="1" applyFill="1" applyBorder="1" applyAlignment="1">
      <alignment vertical="center"/>
    </xf>
    <xf numFmtId="0" fontId="23" fillId="4" borderId="1" xfId="0" applyFont="1" applyFill="1" applyBorder="1" applyAlignment="1">
      <alignment wrapText="1"/>
    </xf>
    <xf numFmtId="0" fontId="34" fillId="4" borderId="1" xfId="0" applyFont="1" applyFill="1" applyBorder="1" applyAlignment="1">
      <alignment wrapText="1"/>
    </xf>
    <xf numFmtId="0" fontId="34" fillId="4" borderId="1" xfId="0" applyFont="1" applyFill="1" applyBorder="1"/>
    <xf numFmtId="49" fontId="22" fillId="0" borderId="1" xfId="0" applyNumberFormat="1" applyFont="1" applyBorder="1" applyAlignment="1">
      <alignment vertical="center"/>
    </xf>
    <xf numFmtId="0" fontId="18" fillId="19" borderId="1" xfId="0" applyFont="1" applyFill="1" applyBorder="1" applyAlignment="1">
      <alignment vertical="center" wrapText="1"/>
    </xf>
    <xf numFmtId="0" fontId="7" fillId="4" borderId="1" xfId="0" applyFont="1" applyFill="1" applyBorder="1"/>
    <xf numFmtId="43" fontId="6" fillId="17" borderId="1" xfId="1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2" fillId="4" borderId="1" xfId="0" applyFont="1" applyFill="1" applyBorder="1"/>
    <xf numFmtId="0" fontId="22" fillId="16" borderId="1" xfId="0" applyFont="1" applyFill="1" applyBorder="1"/>
    <xf numFmtId="0" fontId="2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2" fillId="4" borderId="1" xfId="0" applyFont="1" applyFill="1" applyBorder="1" applyAlignment="1">
      <alignment vertical="center" wrapText="1"/>
    </xf>
    <xf numFmtId="0" fontId="22" fillId="10" borderId="1" xfId="0" applyFont="1" applyFill="1" applyBorder="1" applyAlignment="1">
      <alignment wrapText="1"/>
    </xf>
    <xf numFmtId="0" fontId="3" fillId="10" borderId="1" xfId="0" applyFont="1" applyFill="1" applyBorder="1" applyAlignment="1">
      <alignment vertical="center"/>
    </xf>
    <xf numFmtId="0" fontId="22" fillId="10" borderId="1" xfId="0" applyFont="1" applyFill="1" applyBorder="1"/>
    <xf numFmtId="43" fontId="22" fillId="22" borderId="1" xfId="1" applyFont="1" applyFill="1" applyBorder="1" applyAlignment="1">
      <alignment wrapText="1"/>
    </xf>
    <xf numFmtId="43" fontId="37" fillId="2" borderId="1" xfId="6" applyNumberFormat="1" applyFont="1" applyFill="1" applyBorder="1" applyAlignment="1">
      <alignment vertical="center" wrapText="1"/>
    </xf>
    <xf numFmtId="49" fontId="22" fillId="9" borderId="1" xfId="0" applyNumberFormat="1" applyFont="1" applyFill="1" applyBorder="1" applyAlignment="1">
      <alignment vertical="center"/>
    </xf>
    <xf numFmtId="0" fontId="38" fillId="0" borderId="1" xfId="6" applyFont="1" applyBorder="1" applyAlignment="1"/>
    <xf numFmtId="0" fontId="16" fillId="24" borderId="1" xfId="0" applyFont="1" applyFill="1" applyBorder="1"/>
    <xf numFmtId="0" fontId="23" fillId="25" borderId="1" xfId="0" applyFont="1" applyFill="1" applyBorder="1" applyAlignment="1">
      <alignment wrapText="1"/>
    </xf>
    <xf numFmtId="0" fontId="38" fillId="4" borderId="1" xfId="6" applyFont="1" applyFill="1" applyBorder="1" applyAlignment="1"/>
    <xf numFmtId="0" fontId="39" fillId="0" borderId="1" xfId="6" applyFont="1" applyBorder="1" applyAlignment="1"/>
    <xf numFmtId="43" fontId="4" fillId="26" borderId="1" xfId="1" applyFont="1" applyFill="1" applyBorder="1" applyAlignment="1">
      <alignment wrapText="1"/>
    </xf>
    <xf numFmtId="0" fontId="22" fillId="22" borderId="1" xfId="0" applyFont="1" applyFill="1" applyBorder="1" applyAlignment="1">
      <alignment vertical="center" wrapText="1"/>
    </xf>
    <xf numFmtId="0" fontId="6" fillId="17" borderId="1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0" fontId="22" fillId="18" borderId="1" xfId="0" applyFont="1" applyFill="1" applyBorder="1"/>
    <xf numFmtId="0" fontId="40" fillId="0" borderId="1" xfId="6" applyFont="1" applyBorder="1" applyAlignment="1"/>
    <xf numFmtId="0" fontId="31" fillId="21" borderId="1" xfId="0" applyFont="1" applyFill="1" applyBorder="1" applyAlignment="1">
      <alignment vertical="center"/>
    </xf>
    <xf numFmtId="0" fontId="6" fillId="26" borderId="1" xfId="0" applyFont="1" applyFill="1" applyBorder="1" applyAlignment="1">
      <alignment wrapText="1"/>
    </xf>
    <xf numFmtId="0" fontId="38" fillId="27" borderId="1" xfId="6" applyFont="1" applyFill="1" applyBorder="1" applyAlignment="1"/>
    <xf numFmtId="0" fontId="22" fillId="2" borderId="1" xfId="24" applyFont="1" applyFill="1" applyBorder="1" applyAlignment="1"/>
    <xf numFmtId="0" fontId="3" fillId="2" borderId="1" xfId="24" applyFont="1" applyFill="1" applyBorder="1" applyAlignment="1">
      <alignment wrapText="1"/>
    </xf>
    <xf numFmtId="0" fontId="22" fillId="2" borderId="1" xfId="24" applyFont="1" applyFill="1" applyBorder="1" applyAlignment="1">
      <alignment vertical="center"/>
    </xf>
    <xf numFmtId="0" fontId="22" fillId="2" borderId="1" xfId="24" applyFont="1" applyFill="1" applyBorder="1" applyAlignment="1">
      <alignment vertical="center" wrapText="1"/>
    </xf>
    <xf numFmtId="43" fontId="37" fillId="4" borderId="1" xfId="6" applyNumberFormat="1" applyFont="1" applyFill="1" applyBorder="1" applyAlignment="1">
      <alignment vertical="center" wrapText="1"/>
    </xf>
    <xf numFmtId="0" fontId="22" fillId="27" borderId="1" xfId="0" applyFont="1" applyFill="1" applyBorder="1"/>
    <xf numFmtId="43" fontId="41" fillId="2" borderId="1" xfId="1" applyFont="1" applyFill="1" applyBorder="1" applyAlignment="1">
      <alignment wrapText="1"/>
    </xf>
    <xf numFmtId="0" fontId="16" fillId="0" borderId="1" xfId="0" applyFont="1" applyBorder="1"/>
    <xf numFmtId="0" fontId="16" fillId="28" borderId="1" xfId="0" applyFont="1" applyFill="1" applyBorder="1"/>
    <xf numFmtId="49" fontId="22" fillId="2" borderId="1" xfId="1" applyNumberFormat="1" applyFont="1" applyFill="1" applyBorder="1" applyAlignment="1">
      <alignment vertical="center"/>
    </xf>
    <xf numFmtId="43" fontId="22" fillId="2" borderId="1" xfId="1" applyFont="1" applyFill="1" applyBorder="1" applyAlignment="1">
      <alignment vertical="center" wrapText="1"/>
    </xf>
    <xf numFmtId="15" fontId="22" fillId="9" borderId="1" xfId="0" applyNumberFormat="1" applyFont="1" applyFill="1" applyBorder="1" applyAlignment="1">
      <alignment vertical="center"/>
    </xf>
    <xf numFmtId="0" fontId="23" fillId="19" borderId="1" xfId="0" applyFont="1" applyFill="1" applyBorder="1" applyAlignment="1">
      <alignment vertical="center" wrapText="1"/>
    </xf>
    <xf numFmtId="0" fontId="22" fillId="26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22" fillId="10" borderId="1" xfId="0" applyFont="1" applyFill="1" applyBorder="1" applyAlignment="1">
      <alignment vertical="center"/>
    </xf>
    <xf numFmtId="0" fontId="22" fillId="10" borderId="1" xfId="0" applyFont="1" applyFill="1" applyBorder="1" applyAlignment="1">
      <alignment vertical="center" wrapText="1"/>
    </xf>
    <xf numFmtId="43" fontId="22" fillId="22" borderId="1" xfId="1" applyFont="1" applyFill="1" applyBorder="1" applyAlignment="1">
      <alignment vertical="center" wrapText="1"/>
    </xf>
    <xf numFmtId="0" fontId="42" fillId="16" borderId="1" xfId="0" applyFont="1" applyFill="1" applyBorder="1" applyAlignment="1">
      <alignment wrapText="1"/>
    </xf>
    <xf numFmtId="43" fontId="4" fillId="17" borderId="1" xfId="1" applyFont="1" applyFill="1" applyBorder="1" applyAlignment="1">
      <alignment wrapText="1"/>
    </xf>
    <xf numFmtId="49" fontId="22" fillId="2" borderId="1" xfId="0" applyNumberFormat="1" applyFont="1" applyFill="1" applyBorder="1" applyAlignment="1">
      <alignment vertical="center" wrapText="1"/>
    </xf>
    <xf numFmtId="0" fontId="23" fillId="17" borderId="1" xfId="0" applyFont="1" applyFill="1" applyBorder="1" applyAlignment="1">
      <alignment vertical="center" wrapText="1"/>
    </xf>
    <xf numFmtId="0" fontId="22" fillId="2" borderId="1" xfId="23" applyFont="1" applyFill="1" applyBorder="1" applyAlignment="1">
      <alignment wrapText="1"/>
    </xf>
    <xf numFmtId="0" fontId="43" fillId="26" borderId="1" xfId="0" applyFont="1" applyFill="1" applyBorder="1" applyAlignment="1">
      <alignment wrapText="1"/>
    </xf>
    <xf numFmtId="0" fontId="37" fillId="0" borderId="1" xfId="6" applyFont="1" applyBorder="1" applyAlignment="1">
      <alignment vertical="center"/>
    </xf>
    <xf numFmtId="43" fontId="6" fillId="4" borderId="1" xfId="1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35" fillId="4" borderId="1" xfId="6" applyFont="1" applyFill="1" applyBorder="1" applyAlignment="1"/>
    <xf numFmtId="0" fontId="20" fillId="0" borderId="1" xfId="0" applyFont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6" fillId="29" borderId="1" xfId="0" applyFont="1" applyFill="1" applyBorder="1" applyAlignment="1">
      <alignment vertical="center" wrapText="1"/>
    </xf>
    <xf numFmtId="0" fontId="25" fillId="29" borderId="1" xfId="0" applyFont="1" applyFill="1" applyBorder="1" applyAlignment="1">
      <alignment vertical="center" wrapText="1"/>
    </xf>
    <xf numFmtId="0" fontId="16" fillId="8" borderId="1" xfId="0" applyFont="1" applyFill="1" applyBorder="1"/>
    <xf numFmtId="0" fontId="45" fillId="0" borderId="1" xfId="0" applyFont="1" applyBorder="1" applyAlignment="1">
      <alignment wrapText="1"/>
    </xf>
    <xf numFmtId="43" fontId="22" fillId="2" borderId="1" xfId="0" applyNumberFormat="1" applyFont="1" applyFill="1" applyBorder="1" applyAlignment="1">
      <alignment vertical="center"/>
    </xf>
    <xf numFmtId="1" fontId="22" fillId="2" borderId="1" xfId="0" applyNumberFormat="1" applyFont="1" applyFill="1" applyBorder="1"/>
    <xf numFmtId="0" fontId="46" fillId="0" borderId="1" xfId="0" applyFont="1" applyBorder="1" applyAlignment="1">
      <alignment vertical="center" wrapText="1"/>
    </xf>
    <xf numFmtId="0" fontId="22" fillId="2" borderId="1" xfId="0" applyFont="1" applyFill="1" applyBorder="1" applyAlignment="1" quotePrefix="1">
      <alignment vertical="center"/>
    </xf>
    <xf numFmtId="0" fontId="29" fillId="0" borderId="1" xfId="0" applyFont="1" applyBorder="1" applyAlignment="1" quotePrefix="1">
      <alignment vertical="center" wrapText="1"/>
    </xf>
    <xf numFmtId="0" fontId="29" fillId="4" borderId="1" xfId="0" applyFont="1" applyFill="1" applyBorder="1" applyAlignment="1" quotePrefix="1">
      <alignment vertical="center" wrapText="1"/>
    </xf>
    <xf numFmtId="0" fontId="6" fillId="2" borderId="1" xfId="1" applyNumberFormat="1" applyFont="1" applyFill="1" applyBorder="1" applyAlignment="1" quotePrefix="1">
      <alignment vertical="center" wrapText="1"/>
    </xf>
    <xf numFmtId="0" fontId="22" fillId="2" borderId="1" xfId="0" applyFont="1" applyFill="1" applyBorder="1" applyAlignment="1" quotePrefix="1">
      <alignment vertical="center" wrapText="1"/>
    </xf>
  </cellXfs>
  <cellStyles count="6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0" xfId="49"/>
    <cellStyle name="Comma 11" xfId="50"/>
    <cellStyle name="Comma 12" xfId="51"/>
    <cellStyle name="Comma 13" xfId="52"/>
    <cellStyle name="Comma 14" xfId="53"/>
    <cellStyle name="Comma 15" xfId="54"/>
    <cellStyle name="Comma 2" xfId="55"/>
    <cellStyle name="Comma 2 2" xfId="56"/>
    <cellStyle name="Comma 3" xfId="57"/>
    <cellStyle name="Comma 3 2" xfId="58"/>
    <cellStyle name="Comma 4" xfId="59"/>
    <cellStyle name="Comma 5" xfId="60"/>
    <cellStyle name="Comma 6" xfId="61"/>
    <cellStyle name="Comma 7" xfId="62"/>
    <cellStyle name="Comma 8" xfId="63"/>
    <cellStyle name="Comma 9" xfId="64"/>
    <cellStyle name="Hyperlink 2" xfId="65"/>
    <cellStyle name="Normal 2" xfId="6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ethiobeti@yahoo.com" TargetMode="External"/><Relationship Id="rId98" Type="http://schemas.openxmlformats.org/officeDocument/2006/relationships/hyperlink" Target="mailto:BetelhemTegegne@gmail.com" TargetMode="External"/><Relationship Id="rId97" Type="http://schemas.openxmlformats.org/officeDocument/2006/relationships/hyperlink" Target="mailto:musalitena@gmail.com" TargetMode="External"/><Relationship Id="rId96" Type="http://schemas.openxmlformats.org/officeDocument/2006/relationships/hyperlink" Target="mailto:dagemfeleke2002@gmail.com" TargetMode="External"/><Relationship Id="rId95" Type="http://schemas.openxmlformats.org/officeDocument/2006/relationships/hyperlink" Target="mailto:tsertse@gmail.com" TargetMode="External"/><Relationship Id="rId94" Type="http://schemas.openxmlformats.org/officeDocument/2006/relationships/hyperlink" Target="mailto:andarge.seleshi@gmail.com" TargetMode="External"/><Relationship Id="rId93" Type="http://schemas.openxmlformats.org/officeDocument/2006/relationships/hyperlink" Target="mailto:addisu.tiruneh@gmail.com" TargetMode="External"/><Relationship Id="rId92" Type="http://schemas.openxmlformats.org/officeDocument/2006/relationships/hyperlink" Target="mailto:Henokagerea@gamil.com" TargetMode="External"/><Relationship Id="rId91" Type="http://schemas.openxmlformats.org/officeDocument/2006/relationships/hyperlink" Target="mailto:Yohannesk13@gmail.com" TargetMode="External"/><Relationship Id="rId90" Type="http://schemas.openxmlformats.org/officeDocument/2006/relationships/hyperlink" Target="mailto:weyni21@yahoo.com" TargetMode="External"/><Relationship Id="rId9" Type="http://schemas.openxmlformats.org/officeDocument/2006/relationships/hyperlink" Target="mailto:bisratdaniel6@gmail.com" TargetMode="External"/><Relationship Id="rId89" Type="http://schemas.openxmlformats.org/officeDocument/2006/relationships/hyperlink" Target="mailto:birhanumelese@gmail.com" TargetMode="External"/><Relationship Id="rId88" Type="http://schemas.openxmlformats.org/officeDocument/2006/relationships/hyperlink" Target="mailto:Kidanu.maregn@yahoo.com" TargetMode="External"/><Relationship Id="rId87" Type="http://schemas.openxmlformats.org/officeDocument/2006/relationships/hyperlink" Target="mailto:Ashenafimendera1992@gmail.com" TargetMode="External"/><Relationship Id="rId86" Type="http://schemas.openxmlformats.org/officeDocument/2006/relationships/hyperlink" Target="mailto:fasikfifi@gmail.com" TargetMode="External"/><Relationship Id="rId85" Type="http://schemas.openxmlformats.org/officeDocument/2006/relationships/hyperlink" Target="mailto:berhanu.tekle56@gmail.com" TargetMode="External"/><Relationship Id="rId84" Type="http://schemas.openxmlformats.org/officeDocument/2006/relationships/hyperlink" Target="mailto:ytohewow@gmail.com" TargetMode="External"/><Relationship Id="rId83" Type="http://schemas.openxmlformats.org/officeDocument/2006/relationships/hyperlink" Target="mailto:jraheltarekegne@gmail.com" TargetMode="External"/><Relationship Id="rId82" Type="http://schemas.openxmlformats.org/officeDocument/2006/relationships/hyperlink" Target="mailto:leulmekonnen7@gmail.com" TargetMode="External"/><Relationship Id="rId81" Type="http://schemas.openxmlformats.org/officeDocument/2006/relationships/hyperlink" Target="mailto:mitikug2021@gmail.com" TargetMode="External"/><Relationship Id="rId80" Type="http://schemas.openxmlformats.org/officeDocument/2006/relationships/hyperlink" Target="mailto:natan.mulugeta75@gmail.com" TargetMode="External"/><Relationship Id="rId8" Type="http://schemas.openxmlformats.org/officeDocument/2006/relationships/hyperlink" Target="mailto:okabiniam@gmail.com" TargetMode="External"/><Relationship Id="rId79" Type="http://schemas.openxmlformats.org/officeDocument/2006/relationships/hyperlink" Target="mailto:eyobkebe@yahoo.com" TargetMode="External"/><Relationship Id="rId78" Type="http://schemas.openxmlformats.org/officeDocument/2006/relationships/hyperlink" Target="mailto:adeniyasG75@gmail.com" TargetMode="External"/><Relationship Id="rId77" Type="http://schemas.openxmlformats.org/officeDocument/2006/relationships/hyperlink" Target="mailto:ahmedkassa@gmail.com" TargetMode="External"/><Relationship Id="rId76" Type="http://schemas.openxmlformats.org/officeDocument/2006/relationships/hyperlink" Target="mailto:sariaelsi@gmail.com" TargetMode="External"/><Relationship Id="rId75" Type="http://schemas.openxmlformats.org/officeDocument/2006/relationships/hyperlink" Target="mailto:ameleworktesfaye@yahoo.com" TargetMode="External"/><Relationship Id="rId74" Type="http://schemas.openxmlformats.org/officeDocument/2006/relationships/hyperlink" Target="mailto:mekuria40@gmail.com" TargetMode="External"/><Relationship Id="rId73" Type="http://schemas.openxmlformats.org/officeDocument/2006/relationships/hyperlink" Target="mailto:shey27@yahoo.com" TargetMode="External"/><Relationship Id="rId72" Type="http://schemas.openxmlformats.org/officeDocument/2006/relationships/hyperlink" Target="mailto:ntsuh17@gmail.com" TargetMode="External"/><Relationship Id="rId71" Type="http://schemas.openxmlformats.org/officeDocument/2006/relationships/hyperlink" Target="mailto:import617895@gmail.com" TargetMode="External"/><Relationship Id="rId70" Type="http://schemas.openxmlformats.org/officeDocument/2006/relationships/hyperlink" Target="mailto:blackdude2@yahoo.com" TargetMode="External"/><Relationship Id="rId7" Type="http://schemas.openxmlformats.org/officeDocument/2006/relationships/hyperlink" Target="mailto:awraris.girma@injera.ch" TargetMode="External"/><Relationship Id="rId69" Type="http://schemas.openxmlformats.org/officeDocument/2006/relationships/hyperlink" Target="mailto:obsa.2004@gmail.com" TargetMode="External"/><Relationship Id="rId68" Type="http://schemas.openxmlformats.org/officeDocument/2006/relationships/hyperlink" Target="mailto:kibitea@yahoo.com" TargetMode="External"/><Relationship Id="rId67" Type="http://schemas.openxmlformats.org/officeDocument/2006/relationships/hyperlink" Target="mailto:dagmawig89@gmail.com" TargetMode="External"/><Relationship Id="rId66" Type="http://schemas.openxmlformats.org/officeDocument/2006/relationships/hyperlink" Target="mailto:eprta45@gmail.com" TargetMode="External"/><Relationship Id="rId65" Type="http://schemas.openxmlformats.org/officeDocument/2006/relationships/hyperlink" Target="mailto:legessebenyam127@gmail.com" TargetMode="External"/><Relationship Id="rId64" Type="http://schemas.openxmlformats.org/officeDocument/2006/relationships/hyperlink" Target="mailto:Shiferawhirut@yahoo.com" TargetMode="External"/><Relationship Id="rId63" Type="http://schemas.openxmlformats.org/officeDocument/2006/relationships/hyperlink" Target="mailto:tketsela2@aol.com" TargetMode="External"/><Relationship Id="rId62" Type="http://schemas.openxmlformats.org/officeDocument/2006/relationships/hyperlink" Target="mailto:sezyoh102@gmail.com" TargetMode="External"/><Relationship Id="rId61" Type="http://schemas.openxmlformats.org/officeDocument/2006/relationships/hyperlink" Target="mailto:rojafun21@gmail.com" TargetMode="External"/><Relationship Id="rId60" Type="http://schemas.openxmlformats.org/officeDocument/2006/relationships/hyperlink" Target="mailto:elgezmu@gmail.com" TargetMode="External"/><Relationship Id="rId6" Type="http://schemas.openxmlformats.org/officeDocument/2006/relationships/hyperlink" Target="mailto:ambachew.Amare@yahoo.com" TargetMode="External"/><Relationship Id="rId59" Type="http://schemas.openxmlformats.org/officeDocument/2006/relationships/hyperlink" Target="mailto:samjointernational2@gmail.com" TargetMode="External"/><Relationship Id="rId58" Type="http://schemas.openxmlformats.org/officeDocument/2006/relationships/hyperlink" Target="mailto:suraemiru@gmail.com" TargetMode="External"/><Relationship Id="rId57" Type="http://schemas.openxmlformats.org/officeDocument/2006/relationships/hyperlink" Target="mailto:excelsourcingplc@gmail.com" TargetMode="External"/><Relationship Id="rId56" Type="http://schemas.openxmlformats.org/officeDocument/2006/relationships/hyperlink" Target="mailto:yabsrataye5@gmail.com" TargetMode="External"/><Relationship Id="rId55" Type="http://schemas.openxmlformats.org/officeDocument/2006/relationships/hyperlink" Target="mailto:yohannesberhanu76@gmail.com" TargetMode="External"/><Relationship Id="rId54" Type="http://schemas.openxmlformats.org/officeDocument/2006/relationships/hyperlink" Target="mailto:solomon1981teshome@gmail.com" TargetMode="External"/><Relationship Id="rId53" Type="http://schemas.openxmlformats.org/officeDocument/2006/relationships/hyperlink" Target="mailto:tinashka@gmail.com" TargetMode="External"/><Relationship Id="rId52" Type="http://schemas.openxmlformats.org/officeDocument/2006/relationships/hyperlink" Target="mailto:sarasanye02@gmail.com" TargetMode="External"/><Relationship Id="rId51" Type="http://schemas.openxmlformats.org/officeDocument/2006/relationships/hyperlink" Target="mailto:tadessewatola@gmail.comtadessawaro" TargetMode="External"/><Relationship Id="rId50" Type="http://schemas.openxmlformats.org/officeDocument/2006/relationships/hyperlink" Target="mailto:habtamewnetu7@gmail.com" TargetMode="External"/><Relationship Id="rId5" Type="http://schemas.openxmlformats.org/officeDocument/2006/relationships/hyperlink" Target="mailto:akaluw@att.net" TargetMode="External"/><Relationship Id="rId49" Type="http://schemas.openxmlformats.org/officeDocument/2006/relationships/hyperlink" Target="mailto:Brouk.est75@gmail.com" TargetMode="External"/><Relationship Id="rId48" Type="http://schemas.openxmlformats.org/officeDocument/2006/relationships/hyperlink" Target="mailto:tutushtutush@gmail.com" TargetMode="External"/><Relationship Id="rId47" Type="http://schemas.openxmlformats.org/officeDocument/2006/relationships/hyperlink" Target="mailto:josluth20@gmail.com" TargetMode="External"/><Relationship Id="rId46" Type="http://schemas.openxmlformats.org/officeDocument/2006/relationships/hyperlink" Target="mailto:tikwfikir1@gmail.com" TargetMode="External"/><Relationship Id="rId45" Type="http://schemas.openxmlformats.org/officeDocument/2006/relationships/hyperlink" Target="mailto:solomons743@gmail.com" TargetMode="External"/><Relationship Id="rId44" Type="http://schemas.openxmlformats.org/officeDocument/2006/relationships/hyperlink" Target="mailto:eyobgebre888@gmail.com" TargetMode="External"/><Relationship Id="rId43" Type="http://schemas.openxmlformats.org/officeDocument/2006/relationships/hyperlink" Target="mailto:nzewdie2000@yahoo.com" TargetMode="External"/><Relationship Id="rId42" Type="http://schemas.openxmlformats.org/officeDocument/2006/relationships/hyperlink" Target="mailto:biniamgirma@yahoo.com" TargetMode="External"/><Relationship Id="rId41" Type="http://schemas.openxmlformats.org/officeDocument/2006/relationships/hyperlink" Target="mailto:yedeneknig@gmail.com" TargetMode="External"/><Relationship Id="rId40" Type="http://schemas.openxmlformats.org/officeDocument/2006/relationships/hyperlink" Target="mailto:bihizewge36@gmail.com" TargetMode="External"/><Relationship Id="rId4" Type="http://schemas.openxmlformats.org/officeDocument/2006/relationships/hyperlink" Target="mailto:nebilhilina19@gmail.com" TargetMode="External"/><Relationship Id="rId39" Type="http://schemas.openxmlformats.org/officeDocument/2006/relationships/hyperlink" Target="mailto:senaywz2002@yahoo.com" TargetMode="External"/><Relationship Id="rId38" Type="http://schemas.openxmlformats.org/officeDocument/2006/relationships/hyperlink" Target="mailto:dagnachewmolla74@gmail.com" TargetMode="External"/><Relationship Id="rId37" Type="http://schemas.openxmlformats.org/officeDocument/2006/relationships/hyperlink" Target="mailto:awashriver@gol.com" TargetMode="External"/><Relationship Id="rId36" Type="http://schemas.openxmlformats.org/officeDocument/2006/relationships/hyperlink" Target="mailto:lidiabelay@gmail.com" TargetMode="External"/><Relationship Id="rId35" Type="http://schemas.openxmlformats.org/officeDocument/2006/relationships/hyperlink" Target="mailto:mieraf.zebra@gmail.com" TargetMode="External"/><Relationship Id="rId34" Type="http://schemas.openxmlformats.org/officeDocument/2006/relationships/hyperlink" Target="mailto:gebissao@gmail.com" TargetMode="External"/><Relationship Id="rId33" Type="http://schemas.openxmlformats.org/officeDocument/2006/relationships/hyperlink" Target="mailto:natnaelw5@gmail.com" TargetMode="External"/><Relationship Id="rId32" Type="http://schemas.openxmlformats.org/officeDocument/2006/relationships/hyperlink" Target="mailto:tinasharew@gmail.com" TargetMode="External"/><Relationship Id="rId31" Type="http://schemas.openxmlformats.org/officeDocument/2006/relationships/hyperlink" Target="mailto:mussemaabdo@gmail.com" TargetMode="External"/><Relationship Id="rId30" Type="http://schemas.openxmlformats.org/officeDocument/2006/relationships/hyperlink" Target="mailto:amirabom80@gmail.com" TargetMode="External"/><Relationship Id="rId3" Type="http://schemas.openxmlformats.org/officeDocument/2006/relationships/hyperlink" Target="mailto:berhanu628871@gmail.com" TargetMode="External"/><Relationship Id="rId29" Type="http://schemas.openxmlformats.org/officeDocument/2006/relationships/hyperlink" Target="mailto:gebeyehu.abebe@yahoo.com" TargetMode="External"/><Relationship Id="rId28" Type="http://schemas.openxmlformats.org/officeDocument/2006/relationships/hyperlink" Target="mailto:abay8kassa@gmail.com" TargetMode="External"/><Relationship Id="rId27" Type="http://schemas.openxmlformats.org/officeDocument/2006/relationships/hyperlink" Target="mailto:adashamen@yahoo.com" TargetMode="External"/><Relationship Id="rId26" Type="http://schemas.openxmlformats.org/officeDocument/2006/relationships/hyperlink" Target="mailto:1tiggy27@gmail.com" TargetMode="External"/><Relationship Id="rId25" Type="http://schemas.openxmlformats.org/officeDocument/2006/relationships/hyperlink" Target="mailto:fisseha.mengistu@yahoo.com" TargetMode="External"/><Relationship Id="rId24" Type="http://schemas.openxmlformats.org/officeDocument/2006/relationships/hyperlink" Target="mailto:nevay1972@gmail.com" TargetMode="External"/><Relationship Id="rId23" Type="http://schemas.openxmlformats.org/officeDocument/2006/relationships/hyperlink" Target="mailto:yenenehs@yahoo.com" TargetMode="External"/><Relationship Id="rId22" Type="http://schemas.openxmlformats.org/officeDocument/2006/relationships/hyperlink" Target="mailto:hana_tesgera@yahoo.com" TargetMode="External"/><Relationship Id="rId21" Type="http://schemas.openxmlformats.org/officeDocument/2006/relationships/hyperlink" Target="mailto:betegebriel@gmail.com" TargetMode="External"/><Relationship Id="rId20" Type="http://schemas.openxmlformats.org/officeDocument/2006/relationships/hyperlink" Target="mailto:berhanut5@gmail.com" TargetMode="External"/><Relationship Id="rId2" Type="http://schemas.openxmlformats.org/officeDocument/2006/relationships/hyperlink" Target="mailto:ajematolessa@gmail.com" TargetMode="External"/><Relationship Id="rId19" Type="http://schemas.openxmlformats.org/officeDocument/2006/relationships/hyperlink" Target="mailto:mulerbsada@gmail.com" TargetMode="External"/><Relationship Id="rId18" Type="http://schemas.openxmlformats.org/officeDocument/2006/relationships/hyperlink" Target="mailto:beimnetberhanu@yahoo.com" TargetMode="External"/><Relationship Id="rId173" Type="http://schemas.openxmlformats.org/officeDocument/2006/relationships/hyperlink" Target="mailto:betegebriel@gamil.com" TargetMode="External"/><Relationship Id="rId172" Type="http://schemas.openxmlformats.org/officeDocument/2006/relationships/hyperlink" Target="mailto:airmecho777@gmail.com" TargetMode="External"/><Relationship Id="rId171" Type="http://schemas.openxmlformats.org/officeDocument/2006/relationships/hyperlink" Target="mailto:daniabate4617@gmail.com" TargetMode="External"/><Relationship Id="rId170" Type="http://schemas.openxmlformats.org/officeDocument/2006/relationships/hyperlink" Target="mailto:tilahunayalew691@gmail.com" TargetMode="External"/><Relationship Id="rId17" Type="http://schemas.openxmlformats.org/officeDocument/2006/relationships/hyperlink" Target="mailto:addisukm@gmail.com" TargetMode="External"/><Relationship Id="rId169" Type="http://schemas.openxmlformats.org/officeDocument/2006/relationships/hyperlink" Target="mailto:idelawit1997@gmail.com" TargetMode="External"/><Relationship Id="rId168" Type="http://schemas.openxmlformats.org/officeDocument/2006/relationships/hyperlink" Target="mailto:amen.awaju@gmail.com" TargetMode="External"/><Relationship Id="rId167" Type="http://schemas.openxmlformats.org/officeDocument/2006/relationships/hyperlink" Target="mailto:gyisma@yahoo.com" TargetMode="External"/><Relationship Id="rId166" Type="http://schemas.openxmlformats.org/officeDocument/2006/relationships/hyperlink" Target="mailto:betelhemermias09@gmail.com" TargetMode="External"/><Relationship Id="rId165" Type="http://schemas.openxmlformats.org/officeDocument/2006/relationships/hyperlink" Target="mailto:negashosman@gmail.com" TargetMode="External"/><Relationship Id="rId164" Type="http://schemas.openxmlformats.org/officeDocument/2006/relationships/hyperlink" Target="mailto:kebededawit@gmail.com" TargetMode="External"/><Relationship Id="rId163" Type="http://schemas.openxmlformats.org/officeDocument/2006/relationships/hyperlink" Target="mailto:samsonbekele74@gmail.com" TargetMode="External"/><Relationship Id="rId162" Type="http://schemas.openxmlformats.org/officeDocument/2006/relationships/hyperlink" Target="mailto:merawitmedhin2@gmail.com" TargetMode="External"/><Relationship Id="rId161" Type="http://schemas.openxmlformats.org/officeDocument/2006/relationships/hyperlink" Target="mailto:hailubirru@un.org" TargetMode="External"/><Relationship Id="rId160" Type="http://schemas.openxmlformats.org/officeDocument/2006/relationships/hyperlink" Target="mailto:tewodrosluwam@gmail.com" TargetMode="External"/><Relationship Id="rId16" Type="http://schemas.openxmlformats.org/officeDocument/2006/relationships/hyperlink" Target="mailto:nigusue@crdaethiopia.org" TargetMode="External"/><Relationship Id="rId159" Type="http://schemas.openxmlformats.org/officeDocument/2006/relationships/hyperlink" Target="mailto:aynalem.shanka@yahoo.com" TargetMode="External"/><Relationship Id="rId158" Type="http://schemas.openxmlformats.org/officeDocument/2006/relationships/hyperlink" Target="mailto:seaviewafh@yahoo.com" TargetMode="External"/><Relationship Id="rId157" Type="http://schemas.openxmlformats.org/officeDocument/2006/relationships/hyperlink" Target="mailto:bellaemu@yahoo.com" TargetMode="External"/><Relationship Id="rId156" Type="http://schemas.openxmlformats.org/officeDocument/2006/relationships/hyperlink" Target="mailto:gugsa_cake@yahoo.com" TargetMode="External"/><Relationship Id="rId155" Type="http://schemas.openxmlformats.org/officeDocument/2006/relationships/hyperlink" Target="mailto:abaymek2018@gmail.com" TargetMode="External"/><Relationship Id="rId154" Type="http://schemas.openxmlformats.org/officeDocument/2006/relationships/hyperlink" Target="mailto:lebor23@gmail.com" TargetMode="External"/><Relationship Id="rId153" Type="http://schemas.openxmlformats.org/officeDocument/2006/relationships/hyperlink" Target="mailto:antsinwerq@gmail.com" TargetMode="External"/><Relationship Id="rId152" Type="http://schemas.openxmlformats.org/officeDocument/2006/relationships/hyperlink" Target="mailto:kediest.mamo@gmail.com" TargetMode="External"/><Relationship Id="rId151" Type="http://schemas.openxmlformats.org/officeDocument/2006/relationships/hyperlink" Target="mailto:mamuyematiwos@gmail.com" TargetMode="External"/><Relationship Id="rId150" Type="http://schemas.openxmlformats.org/officeDocument/2006/relationships/hyperlink" Target="mailto:yalarchint@gmail.com" TargetMode="External"/><Relationship Id="rId15" Type="http://schemas.openxmlformats.org/officeDocument/2006/relationships/hyperlink" Target="mailto:bogalebelachew51@gmail.com" TargetMode="External"/><Relationship Id="rId149" Type="http://schemas.openxmlformats.org/officeDocument/2006/relationships/hyperlink" Target="mailto:Abiynegussie@gmail.com" TargetMode="External"/><Relationship Id="rId148" Type="http://schemas.openxmlformats.org/officeDocument/2006/relationships/hyperlink" Target="mailto:esku.adane@gmail.com" TargetMode="External"/><Relationship Id="rId147" Type="http://schemas.openxmlformats.org/officeDocument/2006/relationships/hyperlink" Target="mailto:meleseyodit13@gmail.com" TargetMode="External"/><Relationship Id="rId146" Type="http://schemas.openxmlformats.org/officeDocument/2006/relationships/hyperlink" Target="mailto:tes252007@gmail.com" TargetMode="External"/><Relationship Id="rId145" Type="http://schemas.openxmlformats.org/officeDocument/2006/relationships/hyperlink" Target="mailto:mikeget9@gmail.com" TargetMode="External"/><Relationship Id="rId144" Type="http://schemas.openxmlformats.org/officeDocument/2006/relationships/hyperlink" Target="mailto:cm.mueller@hotmail.com" TargetMode="External"/><Relationship Id="rId143" Type="http://schemas.openxmlformats.org/officeDocument/2006/relationships/hyperlink" Target="mailto:alembrook@hotmail.com" TargetMode="External"/><Relationship Id="rId142" Type="http://schemas.openxmlformats.org/officeDocument/2006/relationships/hyperlink" Target="mailto:mdestat@gmail.com" TargetMode="External"/><Relationship Id="rId141" Type="http://schemas.openxmlformats.org/officeDocument/2006/relationships/hyperlink" Target="mailto:edmia89@gmail.com" TargetMode="External"/><Relationship Id="rId140" Type="http://schemas.openxmlformats.org/officeDocument/2006/relationships/hyperlink" Target="mailto:khalidsalhe@gmail.com" TargetMode="External"/><Relationship Id="rId14" Type="http://schemas.openxmlformats.org/officeDocument/2006/relationships/hyperlink" Target="mailto:abnetsam@yahoo.com" TargetMode="External"/><Relationship Id="rId139" Type="http://schemas.openxmlformats.org/officeDocument/2006/relationships/hyperlink" Target="mailto:aklilushewangzaw@gmail.com" TargetMode="External"/><Relationship Id="rId138" Type="http://schemas.openxmlformats.org/officeDocument/2006/relationships/hyperlink" Target="mailto:atg4abiy@yahoo.com" TargetMode="External"/><Relationship Id="rId137" Type="http://schemas.openxmlformats.org/officeDocument/2006/relationships/hyperlink" Target="mailto:malede777@gmail.com" TargetMode="External"/><Relationship Id="rId136" Type="http://schemas.openxmlformats.org/officeDocument/2006/relationships/hyperlink" Target="mailto:kelemdagnie@gmail.com" TargetMode="External"/><Relationship Id="rId135" Type="http://schemas.openxmlformats.org/officeDocument/2006/relationships/hyperlink" Target="mailto:fekadezikarge3799@gmail.com" TargetMode="External"/><Relationship Id="rId134" Type="http://schemas.openxmlformats.org/officeDocument/2006/relationships/hyperlink" Target="mailto:shiferawsolomon946@gmail.com" TargetMode="External"/><Relationship Id="rId133" Type="http://schemas.openxmlformats.org/officeDocument/2006/relationships/hyperlink" Target="mailto:abitynaty12@gmail.com" TargetMode="External"/><Relationship Id="rId132" Type="http://schemas.openxmlformats.org/officeDocument/2006/relationships/hyperlink" Target="mailto:hanna@haylaccountingpro.com" TargetMode="External"/><Relationship Id="rId131" Type="http://schemas.openxmlformats.org/officeDocument/2006/relationships/hyperlink" Target="mailto:bireadis@gmail.com" TargetMode="External"/><Relationship Id="rId130" Type="http://schemas.openxmlformats.org/officeDocument/2006/relationships/hyperlink" Target="mailto:edenhabtom85@yahoo.co.uk" TargetMode="External"/><Relationship Id="rId13" Type="http://schemas.openxmlformats.org/officeDocument/2006/relationships/hyperlink" Target="mailto:destaaschalew@gmail.com" TargetMode="External"/><Relationship Id="rId129" Type="http://schemas.openxmlformats.org/officeDocument/2006/relationships/hyperlink" Target="mailto:biniyam.amanuel@yahoo.com" TargetMode="External"/><Relationship Id="rId128" Type="http://schemas.openxmlformats.org/officeDocument/2006/relationships/hyperlink" Target="mailto:shirut@yahoo.com" TargetMode="External"/><Relationship Id="rId127" Type="http://schemas.openxmlformats.org/officeDocument/2006/relationships/hyperlink" Target="mailto:yordi.lassooy@gmail.com" TargetMode="External"/><Relationship Id="rId126" Type="http://schemas.openxmlformats.org/officeDocument/2006/relationships/hyperlink" Target="mailto:alexsiswawa81@gmail.com" TargetMode="External"/><Relationship Id="rId125" Type="http://schemas.openxmlformats.org/officeDocument/2006/relationships/hyperlink" Target="mailto:yosephzethio@gmail.com" TargetMode="External"/><Relationship Id="rId124" Type="http://schemas.openxmlformats.org/officeDocument/2006/relationships/hyperlink" Target="mailto:rozafilimon@gmail.com" TargetMode="External"/><Relationship Id="rId123" Type="http://schemas.openxmlformats.org/officeDocument/2006/relationships/hyperlink" Target="mailto:getawud@gmail.com" TargetMode="External"/><Relationship Id="rId122" Type="http://schemas.openxmlformats.org/officeDocument/2006/relationships/hyperlink" Target="mailto:muluye22@gmail.com" TargetMode="External"/><Relationship Id="rId121" Type="http://schemas.openxmlformats.org/officeDocument/2006/relationships/hyperlink" Target="mailto:tirihashabtegergis@gmail.com/ashu2be@gmail.com" TargetMode="External"/><Relationship Id="rId120" Type="http://schemas.openxmlformats.org/officeDocument/2006/relationships/hyperlink" Target="mailto:mimiteshome65@gmail.com" TargetMode="External"/><Relationship Id="rId12" Type="http://schemas.openxmlformats.org/officeDocument/2006/relationships/hyperlink" Target="mailto:azebfisehaye-gegeye@gmail.com" TargetMode="External"/><Relationship Id="rId119" Type="http://schemas.openxmlformats.org/officeDocument/2006/relationships/hyperlink" Target="mailto:graseyus2@gmail.com" TargetMode="External"/><Relationship Id="rId118" Type="http://schemas.openxmlformats.org/officeDocument/2006/relationships/hyperlink" Target="mailto:ayalew03@yahoo.com" TargetMode="External"/><Relationship Id="rId117" Type="http://schemas.openxmlformats.org/officeDocument/2006/relationships/hyperlink" Target="mailto:msissay@gmail.com" TargetMode="External"/><Relationship Id="rId116" Type="http://schemas.openxmlformats.org/officeDocument/2006/relationships/hyperlink" Target="mailto:zekarias.cherinet@att.net" TargetMode="External"/><Relationship Id="rId115" Type="http://schemas.openxmlformats.org/officeDocument/2006/relationships/hyperlink" Target="mailto:gebremihretinca@gmail.com" TargetMode="External"/><Relationship Id="rId114" Type="http://schemas.openxmlformats.org/officeDocument/2006/relationships/hyperlink" Target="mailto:teddytg@gmail.com" TargetMode="External"/><Relationship Id="rId113" Type="http://schemas.openxmlformats.org/officeDocument/2006/relationships/hyperlink" Target="mailto:nigusezana33@gmail.com" TargetMode="External"/><Relationship Id="rId112" Type="http://schemas.openxmlformats.org/officeDocument/2006/relationships/hyperlink" Target="mailto:girmaselamawit3@gmail.com" TargetMode="External"/><Relationship Id="rId111" Type="http://schemas.openxmlformats.org/officeDocument/2006/relationships/hyperlink" Target="mailto:tsionyared21@gmail.com" TargetMode="External"/><Relationship Id="rId110" Type="http://schemas.openxmlformats.org/officeDocument/2006/relationships/hyperlink" Target="mailto:johnykebede@gmail.com" TargetMode="External"/><Relationship Id="rId11" Type="http://schemas.openxmlformats.org/officeDocument/2006/relationships/hyperlink" Target="mailto:alis135@" TargetMode="External"/><Relationship Id="rId109" Type="http://schemas.openxmlformats.org/officeDocument/2006/relationships/hyperlink" Target="mailto:bekalu2090@gmail.com" TargetMode="External"/><Relationship Id="rId108" Type="http://schemas.openxmlformats.org/officeDocument/2006/relationships/hyperlink" Target="mailto:ephraimalamerew@yahoo.com" TargetMode="External"/><Relationship Id="rId107" Type="http://schemas.openxmlformats.org/officeDocument/2006/relationships/hyperlink" Target="mailto:sandraabate66@gmail.com" TargetMode="External"/><Relationship Id="rId106" Type="http://schemas.openxmlformats.org/officeDocument/2006/relationships/hyperlink" Target="mailto:wontaye@gmail.com" TargetMode="External"/><Relationship Id="rId105" Type="http://schemas.openxmlformats.org/officeDocument/2006/relationships/hyperlink" Target="mailto:yaredtekle123@gmail.com" TargetMode="External"/><Relationship Id="rId104" Type="http://schemas.openxmlformats.org/officeDocument/2006/relationships/hyperlink" Target="mailto:agniagza@gmail.com" TargetMode="External"/><Relationship Id="rId103" Type="http://schemas.openxmlformats.org/officeDocument/2006/relationships/hyperlink" Target="mailto:bekiaba@gmail.com" TargetMode="External"/><Relationship Id="rId102" Type="http://schemas.openxmlformats.org/officeDocument/2006/relationships/hyperlink" Target="mailto:fgetahun@yahoo.com" TargetMode="External"/><Relationship Id="rId101" Type="http://schemas.openxmlformats.org/officeDocument/2006/relationships/hyperlink" Target="mailto:afeworklove12@gmail.com" TargetMode="External"/><Relationship Id="rId100" Type="http://schemas.openxmlformats.org/officeDocument/2006/relationships/hyperlink" Target="mailto:kenhir9@gmail.com" TargetMode="External"/><Relationship Id="rId10" Type="http://schemas.openxmlformats.org/officeDocument/2006/relationships/hyperlink" Target="mailto:bereketalemu@gmail.com" TargetMode="External"/><Relationship Id="rId1" Type="http://schemas.openxmlformats.org/officeDocument/2006/relationships/hyperlink" Target="mailto:abaynehtemesgen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73"/>
  <sheetViews>
    <sheetView workbookViewId="0">
      <selection activeCell="I3" sqref="I3"/>
    </sheetView>
  </sheetViews>
  <sheetFormatPr defaultColWidth="9" defaultRowHeight="32" customHeight="1" outlineLevelCol="5"/>
  <cols>
    <col min="1" max="1" width="10.0857142857143" customWidth="1"/>
    <col min="2" max="2" width="31.4571428571429" style="189" customWidth="1"/>
    <col min="3" max="3" width="30.6285714285714" customWidth="1"/>
    <col min="4" max="4" width="20.0857142857143" customWidth="1"/>
    <col min="5" max="5" width="13.6285714285714" customWidth="1"/>
    <col min="6" max="6" width="25.7238095238095" customWidth="1"/>
  </cols>
  <sheetData>
    <row r="1" customHeight="1" spans="1:6">
      <c r="A1" s="2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0" t="s">
        <v>5</v>
      </c>
    </row>
    <row r="2" customHeight="1" spans="1:6">
      <c r="A2" s="4" t="s">
        <v>6</v>
      </c>
      <c r="B2" s="191" t="s">
        <v>7</v>
      </c>
      <c r="C2" s="192" t="s">
        <v>8</v>
      </c>
      <c r="D2" s="193"/>
      <c r="E2" s="194" t="s">
        <v>9</v>
      </c>
      <c r="F2" s="194"/>
    </row>
    <row r="3" customHeight="1" spans="1:6">
      <c r="A3" s="4" t="s">
        <v>10</v>
      </c>
      <c r="B3" s="195" t="s">
        <v>11</v>
      </c>
      <c r="C3" s="196" t="s">
        <v>12</v>
      </c>
      <c r="D3" s="197"/>
      <c r="E3" s="198" t="s">
        <v>13</v>
      </c>
      <c r="F3" s="199"/>
    </row>
    <row r="4" customHeight="1" spans="1:6">
      <c r="A4" s="4" t="s">
        <v>14</v>
      </c>
      <c r="B4" s="200" t="s">
        <v>15</v>
      </c>
      <c r="C4" s="192" t="s">
        <v>16</v>
      </c>
      <c r="D4" s="194" t="s">
        <v>17</v>
      </c>
      <c r="E4" s="193" t="s">
        <v>13</v>
      </c>
      <c r="F4" s="191"/>
    </row>
    <row r="5" customHeight="1" spans="1:6">
      <c r="A5" s="4" t="s">
        <v>18</v>
      </c>
      <c r="B5" s="197" t="s">
        <v>19</v>
      </c>
      <c r="C5" s="196" t="s">
        <v>20</v>
      </c>
      <c r="D5" s="197"/>
      <c r="E5" s="197" t="s">
        <v>9</v>
      </c>
      <c r="F5" s="197"/>
    </row>
    <row r="6" customHeight="1" spans="1:6">
      <c r="A6" s="4" t="s">
        <v>21</v>
      </c>
      <c r="B6" s="201" t="s">
        <v>22</v>
      </c>
      <c r="C6" s="202" t="s">
        <v>23</v>
      </c>
      <c r="D6" s="154"/>
      <c r="E6" s="154"/>
      <c r="F6" s="180"/>
    </row>
    <row r="7" customHeight="1" spans="1:6">
      <c r="A7" s="4" t="s">
        <v>24</v>
      </c>
      <c r="B7" s="195" t="s">
        <v>25</v>
      </c>
      <c r="C7" s="196" t="s">
        <v>26</v>
      </c>
      <c r="D7" s="197" t="s">
        <v>27</v>
      </c>
      <c r="E7" s="198" t="s">
        <v>13</v>
      </c>
      <c r="F7" s="199"/>
    </row>
    <row r="8" customHeight="1" spans="1:6">
      <c r="A8" s="4" t="s">
        <v>28</v>
      </c>
      <c r="B8" s="197" t="s">
        <v>29</v>
      </c>
      <c r="C8" s="203" t="s">
        <v>30</v>
      </c>
      <c r="D8" s="197" t="s">
        <v>31</v>
      </c>
      <c r="E8" s="197" t="s">
        <v>32</v>
      </c>
      <c r="F8" s="197"/>
    </row>
    <row r="9" customHeight="1" spans="1:6">
      <c r="A9" s="4" t="s">
        <v>33</v>
      </c>
      <c r="B9" s="201" t="s">
        <v>34</v>
      </c>
      <c r="C9" s="202" t="s">
        <v>35</v>
      </c>
      <c r="D9" s="154" t="s">
        <v>36</v>
      </c>
      <c r="E9" s="154"/>
      <c r="F9" s="180"/>
    </row>
    <row r="10" customHeight="1" spans="1:6">
      <c r="A10" s="4" t="s">
        <v>37</v>
      </c>
      <c r="B10" s="195" t="s">
        <v>38</v>
      </c>
      <c r="C10" s="196" t="s">
        <v>39</v>
      </c>
      <c r="D10" s="197" t="s">
        <v>40</v>
      </c>
      <c r="E10" s="198" t="s">
        <v>13</v>
      </c>
      <c r="F10" s="199"/>
    </row>
    <row r="11" s="1" customFormat="1" customHeight="1" spans="1:6">
      <c r="A11" s="6" t="s">
        <v>41</v>
      </c>
      <c r="B11" s="153" t="s">
        <v>42</v>
      </c>
      <c r="C11" s="202" t="s">
        <v>43</v>
      </c>
      <c r="D11" s="154" t="s">
        <v>44</v>
      </c>
      <c r="E11" s="154"/>
      <c r="F11" s="180"/>
    </row>
    <row r="12" s="1" customFormat="1" customHeight="1" spans="1:6">
      <c r="A12" s="6" t="s">
        <v>45</v>
      </c>
      <c r="B12" s="157" t="s">
        <v>46</v>
      </c>
      <c r="C12" s="203" t="s">
        <v>47</v>
      </c>
      <c r="D12" s="157"/>
      <c r="E12" s="157" t="s">
        <v>32</v>
      </c>
      <c r="F12" s="157"/>
    </row>
    <row r="13" customHeight="1" spans="1:6">
      <c r="A13" s="4" t="s">
        <v>48</v>
      </c>
      <c r="B13" s="191" t="s">
        <v>49</v>
      </c>
      <c r="C13" s="192" t="s">
        <v>47</v>
      </c>
      <c r="D13" s="193"/>
      <c r="E13" s="194" t="s">
        <v>9</v>
      </c>
      <c r="F13" s="194"/>
    </row>
    <row r="14" customHeight="1" spans="1:6">
      <c r="A14" s="4" t="s">
        <v>50</v>
      </c>
      <c r="B14" s="201" t="s">
        <v>51</v>
      </c>
      <c r="C14" s="202" t="s">
        <v>52</v>
      </c>
      <c r="D14" s="154" t="s">
        <v>53</v>
      </c>
      <c r="E14" s="154"/>
      <c r="F14" s="180"/>
    </row>
    <row r="15" customHeight="1" spans="1:6">
      <c r="A15" s="4" t="s">
        <v>54</v>
      </c>
      <c r="B15" s="201" t="s">
        <v>55</v>
      </c>
      <c r="C15" s="202" t="s">
        <v>56</v>
      </c>
      <c r="D15" s="154" t="s">
        <v>57</v>
      </c>
      <c r="E15" s="154" t="s">
        <v>58</v>
      </c>
      <c r="F15" s="180"/>
    </row>
    <row r="16" customHeight="1" spans="1:6">
      <c r="A16" s="4" t="s">
        <v>59</v>
      </c>
      <c r="B16" s="201" t="s">
        <v>60</v>
      </c>
      <c r="C16" s="202" t="s">
        <v>61</v>
      </c>
      <c r="D16" s="154" t="s">
        <v>62</v>
      </c>
      <c r="E16" s="154"/>
      <c r="F16" s="180"/>
    </row>
    <row r="17" customHeight="1" spans="1:6">
      <c r="A17" s="4" t="s">
        <v>63</v>
      </c>
      <c r="B17" s="201" t="s">
        <v>64</v>
      </c>
      <c r="C17" s="202" t="s">
        <v>65</v>
      </c>
      <c r="D17" s="154" t="s">
        <v>66</v>
      </c>
      <c r="E17" s="154"/>
      <c r="F17" s="180"/>
    </row>
    <row r="18" customHeight="1" spans="1:6">
      <c r="A18" s="4" t="s">
        <v>67</v>
      </c>
      <c r="B18" s="194" t="s">
        <v>68</v>
      </c>
      <c r="C18" s="203" t="s">
        <v>69</v>
      </c>
      <c r="D18" s="197"/>
      <c r="E18" s="197" t="s">
        <v>32</v>
      </c>
      <c r="F18" s="197"/>
    </row>
    <row r="19" customHeight="1" spans="1:6">
      <c r="A19" s="4" t="s">
        <v>70</v>
      </c>
      <c r="B19" s="200" t="s">
        <v>71</v>
      </c>
      <c r="C19" s="192" t="s">
        <v>72</v>
      </c>
      <c r="D19" s="194"/>
      <c r="E19" s="193" t="s">
        <v>13</v>
      </c>
      <c r="F19" s="191"/>
    </row>
    <row r="20" customHeight="1" spans="1:6">
      <c r="A20" s="4" t="s">
        <v>73</v>
      </c>
      <c r="B20" s="201" t="s">
        <v>74</v>
      </c>
      <c r="C20" s="202" t="s">
        <v>75</v>
      </c>
      <c r="D20" s="154" t="s">
        <v>76</v>
      </c>
      <c r="E20" s="154" t="s">
        <v>9</v>
      </c>
      <c r="F20" s="180"/>
    </row>
    <row r="21" customHeight="1" spans="1:6">
      <c r="A21" s="4" t="s">
        <v>77</v>
      </c>
      <c r="B21" s="199" t="s">
        <v>78</v>
      </c>
      <c r="C21" s="196" t="s">
        <v>79</v>
      </c>
      <c r="D21" s="198" t="s">
        <v>80</v>
      </c>
      <c r="E21" s="197" t="s">
        <v>9</v>
      </c>
      <c r="F21" s="197"/>
    </row>
    <row r="22" customHeight="1" spans="1:6">
      <c r="A22" s="4" t="s">
        <v>81</v>
      </c>
      <c r="B22" s="201" t="s">
        <v>82</v>
      </c>
      <c r="C22" s="202" t="s">
        <v>83</v>
      </c>
      <c r="D22" s="154"/>
      <c r="E22" s="154" t="s">
        <v>84</v>
      </c>
      <c r="F22" s="180"/>
    </row>
    <row r="23" customHeight="1" spans="1:6">
      <c r="A23" s="4" t="s">
        <v>85</v>
      </c>
      <c r="B23" s="200" t="s">
        <v>86</v>
      </c>
      <c r="C23" s="192" t="s">
        <v>87</v>
      </c>
      <c r="D23" s="194"/>
      <c r="E23" s="193" t="s">
        <v>13</v>
      </c>
      <c r="F23" s="191"/>
    </row>
    <row r="24" customHeight="1" spans="1:6">
      <c r="A24" s="4" t="s">
        <v>88</v>
      </c>
      <c r="B24" s="160" t="s">
        <v>89</v>
      </c>
      <c r="C24" s="160" t="s">
        <v>90</v>
      </c>
      <c r="D24" s="204" t="s">
        <v>91</v>
      </c>
      <c r="E24" s="204" t="s">
        <v>92</v>
      </c>
      <c r="F24" s="204"/>
    </row>
    <row r="25" customHeight="1" spans="1:6">
      <c r="A25" s="4" t="s">
        <v>93</v>
      </c>
      <c r="B25" s="160" t="s">
        <v>94</v>
      </c>
      <c r="C25" s="160" t="s">
        <v>95</v>
      </c>
      <c r="D25" s="204" t="s">
        <v>96</v>
      </c>
      <c r="E25" s="204" t="s">
        <v>92</v>
      </c>
      <c r="F25" s="204"/>
    </row>
    <row r="26" customHeight="1" spans="1:6">
      <c r="A26" s="4" t="s">
        <v>97</v>
      </c>
      <c r="B26" s="200" t="s">
        <v>98</v>
      </c>
      <c r="C26" s="202" t="s">
        <v>99</v>
      </c>
      <c r="D26" s="152" t="s">
        <v>100</v>
      </c>
      <c r="E26" s="154"/>
      <c r="F26" s="180"/>
    </row>
    <row r="27" customHeight="1" spans="1:6">
      <c r="A27" s="4" t="s">
        <v>101</v>
      </c>
      <c r="B27" s="200" t="s">
        <v>102</v>
      </c>
      <c r="C27" s="202" t="s">
        <v>103</v>
      </c>
      <c r="D27" s="154"/>
      <c r="E27" s="154" t="s">
        <v>104</v>
      </c>
      <c r="F27" s="180"/>
    </row>
    <row r="28" customHeight="1" spans="1:6">
      <c r="A28" s="4" t="s">
        <v>105</v>
      </c>
      <c r="B28" s="153" t="s">
        <v>106</v>
      </c>
      <c r="C28" s="202" t="s">
        <v>107</v>
      </c>
      <c r="D28" s="154">
        <v>952676273</v>
      </c>
      <c r="E28" s="154" t="s">
        <v>104</v>
      </c>
      <c r="F28" s="180"/>
    </row>
    <row r="29" customHeight="1" spans="1:6">
      <c r="A29" s="4" t="s">
        <v>108</v>
      </c>
      <c r="B29" s="197" t="s">
        <v>109</v>
      </c>
      <c r="C29" s="196" t="s">
        <v>110</v>
      </c>
      <c r="D29" s="197"/>
      <c r="E29" s="197" t="s">
        <v>111</v>
      </c>
      <c r="F29" s="197"/>
    </row>
    <row r="30" customHeight="1" spans="1:6">
      <c r="A30" s="4" t="s">
        <v>112</v>
      </c>
      <c r="B30" s="201" t="s">
        <v>113</v>
      </c>
      <c r="C30" s="202" t="s">
        <v>114</v>
      </c>
      <c r="D30" s="154" t="s">
        <v>115</v>
      </c>
      <c r="E30" s="154" t="s">
        <v>84</v>
      </c>
      <c r="F30" s="180"/>
    </row>
    <row r="31" customHeight="1" spans="1:6">
      <c r="A31" s="4" t="s">
        <v>116</v>
      </c>
      <c r="B31" s="205" t="s">
        <v>117</v>
      </c>
      <c r="C31" s="205" t="s">
        <v>118</v>
      </c>
      <c r="D31" s="206" t="s">
        <v>119</v>
      </c>
      <c r="E31" s="193" t="s">
        <v>120</v>
      </c>
      <c r="F31" s="207" t="s">
        <v>121</v>
      </c>
    </row>
    <row r="32" customHeight="1" spans="1:6">
      <c r="A32" s="4" t="s">
        <v>122</v>
      </c>
      <c r="B32" s="195" t="s">
        <v>123</v>
      </c>
      <c r="C32" s="196" t="s">
        <v>124</v>
      </c>
      <c r="D32" s="197"/>
      <c r="E32" s="197" t="s">
        <v>125</v>
      </c>
      <c r="F32" s="197"/>
    </row>
    <row r="33" customHeight="1" spans="1:6">
      <c r="A33" s="4" t="s">
        <v>126</v>
      </c>
      <c r="B33" s="195" t="s">
        <v>127</v>
      </c>
      <c r="C33" s="202" t="s">
        <v>128</v>
      </c>
      <c r="D33" s="152"/>
      <c r="E33" s="154" t="s">
        <v>104</v>
      </c>
      <c r="F33" s="180"/>
    </row>
    <row r="34" customHeight="1" spans="1:6">
      <c r="A34" s="4" t="s">
        <v>129</v>
      </c>
      <c r="B34" s="200" t="s">
        <v>130</v>
      </c>
      <c r="C34" s="202" t="s">
        <v>131</v>
      </c>
      <c r="D34" s="152"/>
      <c r="E34" s="154" t="s">
        <v>104</v>
      </c>
      <c r="F34" s="180"/>
    </row>
    <row r="35" customHeight="1" spans="1:6">
      <c r="A35" s="4" t="s">
        <v>132</v>
      </c>
      <c r="B35" s="208" t="s">
        <v>133</v>
      </c>
      <c r="C35" s="208" t="s">
        <v>134</v>
      </c>
      <c r="D35" s="194"/>
      <c r="E35" s="204" t="s">
        <v>92</v>
      </c>
      <c r="F35" s="204"/>
    </row>
    <row r="36" customHeight="1" spans="1:6">
      <c r="A36" s="4" t="s">
        <v>135</v>
      </c>
      <c r="B36" s="201" t="s">
        <v>136</v>
      </c>
      <c r="C36" s="202" t="s">
        <v>137</v>
      </c>
      <c r="D36" s="154" t="s">
        <v>138</v>
      </c>
      <c r="E36" s="154"/>
      <c r="F36" s="180"/>
    </row>
    <row r="37" customHeight="1" spans="1:6">
      <c r="A37" s="4" t="s">
        <v>139</v>
      </c>
      <c r="B37" s="201" t="s">
        <v>140</v>
      </c>
      <c r="C37" s="202" t="s">
        <v>141</v>
      </c>
      <c r="D37" s="154" t="s">
        <v>142</v>
      </c>
      <c r="E37" s="154"/>
      <c r="F37" s="180"/>
    </row>
    <row r="38" customHeight="1" spans="1:6">
      <c r="A38" s="4" t="s">
        <v>143</v>
      </c>
      <c r="B38" s="201" t="s">
        <v>144</v>
      </c>
      <c r="C38" s="202" t="s">
        <v>145</v>
      </c>
      <c r="D38" s="154" t="s">
        <v>146</v>
      </c>
      <c r="E38" s="154"/>
      <c r="F38" s="180"/>
    </row>
    <row r="39" customHeight="1" spans="1:6">
      <c r="A39" s="4" t="s">
        <v>147</v>
      </c>
      <c r="B39" s="201" t="s">
        <v>148</v>
      </c>
      <c r="C39" s="202" t="s">
        <v>149</v>
      </c>
      <c r="D39" s="154" t="s">
        <v>150</v>
      </c>
      <c r="E39" s="154"/>
      <c r="F39" s="180"/>
    </row>
    <row r="40" customHeight="1" spans="1:6">
      <c r="A40" s="4" t="s">
        <v>151</v>
      </c>
      <c r="B40" s="199" t="s">
        <v>152</v>
      </c>
      <c r="C40" s="209" t="s">
        <v>153</v>
      </c>
      <c r="D40" s="198" t="s">
        <v>154</v>
      </c>
      <c r="E40" s="197" t="s">
        <v>9</v>
      </c>
      <c r="F40" s="199"/>
    </row>
    <row r="41" customHeight="1" spans="1:6">
      <c r="A41" s="4" t="s">
        <v>155</v>
      </c>
      <c r="B41" s="201" t="s">
        <v>156</v>
      </c>
      <c r="C41" s="202" t="s">
        <v>157</v>
      </c>
      <c r="D41" s="154"/>
      <c r="E41" s="154"/>
      <c r="F41" s="180"/>
    </row>
    <row r="42" customHeight="1" spans="1:6">
      <c r="A42" s="4" t="s">
        <v>158</v>
      </c>
      <c r="B42" s="153" t="s">
        <v>159</v>
      </c>
      <c r="C42" s="202" t="s">
        <v>160</v>
      </c>
      <c r="D42" s="154">
        <v>923033671</v>
      </c>
      <c r="E42" s="154" t="s">
        <v>161</v>
      </c>
      <c r="F42" s="180"/>
    </row>
    <row r="43" customHeight="1" spans="1:6">
      <c r="A43" s="4" t="s">
        <v>162</v>
      </c>
      <c r="B43" s="201" t="s">
        <v>163</v>
      </c>
      <c r="C43" s="202" t="s">
        <v>164</v>
      </c>
      <c r="D43" s="154"/>
      <c r="E43" s="154" t="s">
        <v>84</v>
      </c>
      <c r="F43" s="180"/>
    </row>
    <row r="44" customHeight="1" spans="1:6">
      <c r="A44" s="4" t="s">
        <v>165</v>
      </c>
      <c r="B44" s="195" t="s">
        <v>166</v>
      </c>
      <c r="C44" s="196" t="s">
        <v>167</v>
      </c>
      <c r="D44" s="197" t="s">
        <v>168</v>
      </c>
      <c r="E44" s="197" t="s">
        <v>169</v>
      </c>
      <c r="F44" s="197"/>
    </row>
    <row r="45" customHeight="1" spans="1:6">
      <c r="A45" s="4" t="s">
        <v>170</v>
      </c>
      <c r="B45" s="201" t="s">
        <v>171</v>
      </c>
      <c r="C45" s="202" t="s">
        <v>172</v>
      </c>
      <c r="D45" s="154" t="s">
        <v>173</v>
      </c>
      <c r="E45" s="154"/>
      <c r="F45" s="180"/>
    </row>
    <row r="46" customHeight="1" spans="1:6">
      <c r="A46" s="4" t="s">
        <v>174</v>
      </c>
      <c r="B46" s="200" t="s">
        <v>175</v>
      </c>
      <c r="C46" s="202" t="s">
        <v>176</v>
      </c>
      <c r="D46" s="154">
        <v>917055860</v>
      </c>
      <c r="E46" s="154" t="s">
        <v>9</v>
      </c>
      <c r="F46" s="180"/>
    </row>
    <row r="47" customHeight="1" spans="1:6">
      <c r="A47" s="4" t="s">
        <v>177</v>
      </c>
      <c r="B47" s="195" t="s">
        <v>178</v>
      </c>
      <c r="C47" s="202" t="s">
        <v>179</v>
      </c>
      <c r="D47" s="154" t="s">
        <v>180</v>
      </c>
      <c r="E47" s="154" t="s">
        <v>181</v>
      </c>
      <c r="F47" s="180"/>
    </row>
    <row r="48" customHeight="1" spans="1:6">
      <c r="A48" s="4" t="s">
        <v>182</v>
      </c>
      <c r="B48" s="201" t="s">
        <v>183</v>
      </c>
      <c r="C48" s="202" t="s">
        <v>184</v>
      </c>
      <c r="D48" s="154" t="s">
        <v>185</v>
      </c>
      <c r="E48" s="154" t="s">
        <v>186</v>
      </c>
      <c r="F48" s="180"/>
    </row>
    <row r="49" customHeight="1" spans="1:6">
      <c r="A49" s="4" t="s">
        <v>187</v>
      </c>
      <c r="B49" s="201" t="s">
        <v>188</v>
      </c>
      <c r="C49" s="202" t="s">
        <v>189</v>
      </c>
      <c r="D49" s="154" t="s">
        <v>190</v>
      </c>
      <c r="E49" s="154" t="s">
        <v>84</v>
      </c>
      <c r="F49" s="180"/>
    </row>
    <row r="50" customHeight="1" spans="1:6">
      <c r="A50" s="4" t="s">
        <v>191</v>
      </c>
      <c r="B50" s="201" t="s">
        <v>192</v>
      </c>
      <c r="C50" s="202" t="s">
        <v>193</v>
      </c>
      <c r="D50" s="154" t="s">
        <v>194</v>
      </c>
      <c r="E50" s="154"/>
      <c r="F50" s="180"/>
    </row>
    <row r="51" customHeight="1" spans="1:6">
      <c r="A51" s="4" t="s">
        <v>195</v>
      </c>
      <c r="B51" s="201" t="s">
        <v>196</v>
      </c>
      <c r="C51" s="202" t="s">
        <v>197</v>
      </c>
      <c r="D51" s="154"/>
      <c r="E51" s="210" t="s">
        <v>104</v>
      </c>
      <c r="F51" s="211"/>
    </row>
    <row r="52" customHeight="1" spans="1:6">
      <c r="A52" s="4" t="s">
        <v>198</v>
      </c>
      <c r="B52" s="195" t="s">
        <v>199</v>
      </c>
      <c r="C52" s="202" t="s">
        <v>200</v>
      </c>
      <c r="D52" s="158" t="s">
        <v>201</v>
      </c>
      <c r="E52" s="154" t="s">
        <v>202</v>
      </c>
      <c r="F52" s="180"/>
    </row>
    <row r="53" customHeight="1" spans="1:6">
      <c r="A53" s="4" t="s">
        <v>203</v>
      </c>
      <c r="B53" s="153" t="s">
        <v>204</v>
      </c>
      <c r="C53" s="196" t="s">
        <v>205</v>
      </c>
      <c r="D53" s="197" t="s">
        <v>206</v>
      </c>
      <c r="E53" s="198" t="s">
        <v>13</v>
      </c>
      <c r="F53" s="199"/>
    </row>
    <row r="54" customHeight="1" spans="1:6">
      <c r="A54" s="4" t="s">
        <v>207</v>
      </c>
      <c r="B54" s="201" t="s">
        <v>208</v>
      </c>
      <c r="C54" s="202" t="s">
        <v>209</v>
      </c>
      <c r="D54" s="154" t="s">
        <v>210</v>
      </c>
      <c r="E54" s="154" t="s">
        <v>211</v>
      </c>
      <c r="F54" s="180"/>
    </row>
    <row r="55" customHeight="1" spans="1:6">
      <c r="A55" s="4" t="s">
        <v>212</v>
      </c>
      <c r="B55" s="195" t="s">
        <v>213</v>
      </c>
      <c r="C55" s="212" t="s">
        <v>214</v>
      </c>
      <c r="D55" s="197" t="s">
        <v>215</v>
      </c>
      <c r="E55" s="198" t="s">
        <v>216</v>
      </c>
      <c r="F55" s="199"/>
    </row>
    <row r="56" customHeight="1" spans="1:6">
      <c r="A56" s="4" t="s">
        <v>217</v>
      </c>
      <c r="B56" s="195" t="s">
        <v>218</v>
      </c>
      <c r="C56" s="213" t="s">
        <v>219</v>
      </c>
      <c r="D56" s="197"/>
      <c r="E56" s="197" t="s">
        <v>186</v>
      </c>
      <c r="F56" s="197"/>
    </row>
    <row r="57" customHeight="1" spans="1:6">
      <c r="A57" s="4" t="s">
        <v>220</v>
      </c>
      <c r="B57" s="195" t="s">
        <v>221</v>
      </c>
      <c r="C57" s="202" t="s">
        <v>222</v>
      </c>
      <c r="D57" s="152"/>
      <c r="E57" s="154" t="s">
        <v>104</v>
      </c>
      <c r="F57" s="180"/>
    </row>
    <row r="58" customHeight="1" spans="1:6">
      <c r="A58" s="4" t="s">
        <v>223</v>
      </c>
      <c r="B58" s="200" t="s">
        <v>224</v>
      </c>
      <c r="C58" s="202" t="s">
        <v>225</v>
      </c>
      <c r="D58" s="154"/>
      <c r="E58" s="154" t="s">
        <v>181</v>
      </c>
      <c r="F58" s="180"/>
    </row>
    <row r="59" customHeight="1" spans="1:6">
      <c r="A59" s="4" t="s">
        <v>226</v>
      </c>
      <c r="B59" s="201" t="s">
        <v>227</v>
      </c>
      <c r="C59" s="202" t="s">
        <v>228</v>
      </c>
      <c r="D59" s="154"/>
      <c r="E59" s="154" t="s">
        <v>211</v>
      </c>
      <c r="F59" s="180"/>
    </row>
    <row r="60" customHeight="1" spans="1:6">
      <c r="A60" s="4" t="s">
        <v>229</v>
      </c>
      <c r="B60" s="200" t="s">
        <v>230</v>
      </c>
      <c r="C60" s="202" t="s">
        <v>231</v>
      </c>
      <c r="D60" s="152"/>
      <c r="E60" s="154" t="s">
        <v>232</v>
      </c>
      <c r="F60" s="180"/>
    </row>
    <row r="61" customHeight="1" spans="1:6">
      <c r="A61" s="4" t="s">
        <v>233</v>
      </c>
      <c r="B61" s="201" t="s">
        <v>234</v>
      </c>
      <c r="C61" s="202" t="s">
        <v>235</v>
      </c>
      <c r="D61" s="153"/>
      <c r="E61" s="180" t="s">
        <v>216</v>
      </c>
      <c r="F61" s="180"/>
    </row>
    <row r="62" customHeight="1" spans="1:6">
      <c r="A62" s="4" t="s">
        <v>236</v>
      </c>
      <c r="B62" s="201" t="s">
        <v>237</v>
      </c>
      <c r="C62" s="202" t="s">
        <v>238</v>
      </c>
      <c r="D62" s="154"/>
      <c r="E62" s="154" t="s">
        <v>58</v>
      </c>
      <c r="F62" s="180"/>
    </row>
    <row r="63" customHeight="1" spans="1:6">
      <c r="A63" s="4" t="s">
        <v>239</v>
      </c>
      <c r="B63" s="201" t="s">
        <v>240</v>
      </c>
      <c r="C63" s="202" t="s">
        <v>241</v>
      </c>
      <c r="D63" s="154" t="s">
        <v>242</v>
      </c>
      <c r="E63" s="154" t="s">
        <v>243</v>
      </c>
      <c r="F63" s="180"/>
    </row>
    <row r="64" customHeight="1" spans="1:6">
      <c r="A64" s="4" t="s">
        <v>244</v>
      </c>
      <c r="B64" s="195" t="s">
        <v>245</v>
      </c>
      <c r="C64" s="202" t="s">
        <v>246</v>
      </c>
      <c r="D64" s="152"/>
      <c r="E64" s="154" t="s">
        <v>232</v>
      </c>
      <c r="F64" s="180"/>
    </row>
    <row r="65" customHeight="1" spans="1:6">
      <c r="A65" s="4" t="s">
        <v>247</v>
      </c>
      <c r="B65" s="158" t="s">
        <v>248</v>
      </c>
      <c r="C65" s="202" t="s">
        <v>249</v>
      </c>
      <c r="D65" s="158">
        <v>918000906</v>
      </c>
      <c r="E65" s="154" t="s">
        <v>104</v>
      </c>
      <c r="F65" s="180"/>
    </row>
    <row r="66" customHeight="1" spans="1:6">
      <c r="A66" s="4" t="s">
        <v>250</v>
      </c>
      <c r="B66" s="195" t="s">
        <v>251</v>
      </c>
      <c r="C66" s="203" t="s">
        <v>252</v>
      </c>
      <c r="D66" s="197"/>
      <c r="E66" s="197" t="s">
        <v>253</v>
      </c>
      <c r="F66" s="197"/>
    </row>
    <row r="67" customHeight="1" spans="1:6">
      <c r="A67" s="4" t="s">
        <v>254</v>
      </c>
      <c r="B67" s="200" t="s">
        <v>255</v>
      </c>
      <c r="C67" s="202" t="s">
        <v>256</v>
      </c>
      <c r="D67" s="152"/>
      <c r="E67" s="154" t="s">
        <v>232</v>
      </c>
      <c r="F67" s="180"/>
    </row>
    <row r="68" customHeight="1" spans="1:6">
      <c r="A68" s="4" t="s">
        <v>257</v>
      </c>
      <c r="B68" s="201" t="s">
        <v>258</v>
      </c>
      <c r="C68" s="202" t="s">
        <v>259</v>
      </c>
      <c r="D68" s="154" t="s">
        <v>260</v>
      </c>
      <c r="E68" s="154"/>
      <c r="F68" s="180"/>
    </row>
    <row r="69" customHeight="1" spans="1:6">
      <c r="A69" s="4" t="s">
        <v>261</v>
      </c>
      <c r="B69" s="200" t="s">
        <v>262</v>
      </c>
      <c r="C69" s="202" t="s">
        <v>263</v>
      </c>
      <c r="D69" s="158"/>
      <c r="E69" s="154" t="s">
        <v>253</v>
      </c>
      <c r="F69" s="180"/>
    </row>
    <row r="70" customHeight="1" spans="1:6">
      <c r="A70" s="4" t="s">
        <v>264</v>
      </c>
      <c r="B70" s="197" t="s">
        <v>265</v>
      </c>
      <c r="C70" s="202" t="s">
        <v>266</v>
      </c>
      <c r="D70" s="154"/>
      <c r="E70" s="154" t="s">
        <v>104</v>
      </c>
      <c r="F70" s="180"/>
    </row>
    <row r="71" customHeight="1" spans="1:6">
      <c r="A71" s="4" t="s">
        <v>267</v>
      </c>
      <c r="B71" s="195" t="s">
        <v>268</v>
      </c>
      <c r="C71" s="196" t="s">
        <v>269</v>
      </c>
      <c r="D71" s="197"/>
      <c r="E71" s="198" t="s">
        <v>202</v>
      </c>
      <c r="F71" s="199"/>
    </row>
    <row r="72" customHeight="1" spans="1:6">
      <c r="A72" s="4" t="s">
        <v>270</v>
      </c>
      <c r="B72" s="200" t="s">
        <v>271</v>
      </c>
      <c r="C72" s="203" t="s">
        <v>272</v>
      </c>
      <c r="D72" s="194"/>
      <c r="E72" s="194" t="s">
        <v>273</v>
      </c>
      <c r="F72" s="194"/>
    </row>
    <row r="73" customHeight="1" spans="1:6">
      <c r="A73" s="4" t="s">
        <v>274</v>
      </c>
      <c r="B73" s="214" t="s">
        <v>275</v>
      </c>
      <c r="C73" s="214" t="s">
        <v>276</v>
      </c>
      <c r="D73" s="194"/>
      <c r="E73" s="204" t="s">
        <v>92</v>
      </c>
      <c r="F73" s="204"/>
    </row>
    <row r="74" customHeight="1" spans="1:6">
      <c r="A74" s="4" t="s">
        <v>277</v>
      </c>
      <c r="B74" s="153" t="s">
        <v>278</v>
      </c>
      <c r="C74" s="202" t="s">
        <v>279</v>
      </c>
      <c r="D74" s="154"/>
      <c r="E74" s="154" t="s">
        <v>104</v>
      </c>
      <c r="F74" s="180"/>
    </row>
    <row r="75" customHeight="1" spans="1:6">
      <c r="A75" s="4" t="s">
        <v>280</v>
      </c>
      <c r="B75" s="201" t="s">
        <v>281</v>
      </c>
      <c r="C75" s="202" t="s">
        <v>282</v>
      </c>
      <c r="D75" s="154" t="s">
        <v>283</v>
      </c>
      <c r="E75" s="154"/>
      <c r="F75" s="180"/>
    </row>
    <row r="76" customHeight="1" spans="1:6">
      <c r="A76" s="4" t="s">
        <v>284</v>
      </c>
      <c r="B76" s="200" t="s">
        <v>285</v>
      </c>
      <c r="C76" s="202" t="s">
        <v>286</v>
      </c>
      <c r="D76" s="152"/>
      <c r="E76" s="154" t="s">
        <v>104</v>
      </c>
      <c r="F76" s="180"/>
    </row>
    <row r="77" customHeight="1" spans="1:6">
      <c r="A77" s="4" t="s">
        <v>287</v>
      </c>
      <c r="B77" s="201" t="s">
        <v>288</v>
      </c>
      <c r="C77" s="202" t="s">
        <v>289</v>
      </c>
      <c r="D77" s="153"/>
      <c r="E77" s="180" t="s">
        <v>104</v>
      </c>
      <c r="F77" s="180"/>
    </row>
    <row r="78" customHeight="1" spans="1:6">
      <c r="A78" s="4" t="s">
        <v>290</v>
      </c>
      <c r="B78" s="195" t="s">
        <v>291</v>
      </c>
      <c r="C78" s="202" t="s">
        <v>292</v>
      </c>
      <c r="D78" s="152"/>
      <c r="E78" s="154"/>
      <c r="F78" s="180"/>
    </row>
    <row r="79" customHeight="1" spans="1:6">
      <c r="A79" s="4" t="s">
        <v>293</v>
      </c>
      <c r="B79" s="195" t="s">
        <v>294</v>
      </c>
      <c r="C79" s="202" t="s">
        <v>295</v>
      </c>
      <c r="D79" s="152"/>
      <c r="E79" s="154" t="s">
        <v>104</v>
      </c>
      <c r="F79" s="180"/>
    </row>
    <row r="80" customHeight="1" spans="1:6">
      <c r="A80" s="4" t="s">
        <v>296</v>
      </c>
      <c r="B80" s="195" t="s">
        <v>297</v>
      </c>
      <c r="C80" s="202" t="s">
        <v>298</v>
      </c>
      <c r="D80" s="152" t="s">
        <v>299</v>
      </c>
      <c r="E80" s="154"/>
      <c r="F80" s="180"/>
    </row>
    <row r="81" customHeight="1" spans="1:6">
      <c r="A81" s="4" t="s">
        <v>300</v>
      </c>
      <c r="B81" s="200" t="s">
        <v>301</v>
      </c>
      <c r="C81" s="192" t="s">
        <v>302</v>
      </c>
      <c r="D81" s="194"/>
      <c r="E81" s="194" t="s">
        <v>273</v>
      </c>
      <c r="F81" s="194"/>
    </row>
    <row r="82" customHeight="1" spans="1:6">
      <c r="A82" s="4" t="s">
        <v>303</v>
      </c>
      <c r="B82" s="195" t="s">
        <v>304</v>
      </c>
      <c r="C82" s="203" t="s">
        <v>305</v>
      </c>
      <c r="D82" s="197"/>
      <c r="E82" s="197" t="s">
        <v>273</v>
      </c>
      <c r="F82" s="197"/>
    </row>
    <row r="83" customHeight="1" spans="1:6">
      <c r="A83" s="4" t="s">
        <v>306</v>
      </c>
      <c r="B83" s="200" t="s">
        <v>307</v>
      </c>
      <c r="C83" s="192" t="s">
        <v>308</v>
      </c>
      <c r="D83" s="194" t="s">
        <v>309</v>
      </c>
      <c r="E83" s="193" t="s">
        <v>310</v>
      </c>
      <c r="F83" s="191"/>
    </row>
    <row r="84" customHeight="1" spans="1:6">
      <c r="A84" s="4" t="s">
        <v>311</v>
      </c>
      <c r="B84" s="195" t="s">
        <v>312</v>
      </c>
      <c r="C84" s="202" t="s">
        <v>313</v>
      </c>
      <c r="D84" s="152"/>
      <c r="E84" s="154" t="s">
        <v>232</v>
      </c>
      <c r="F84" s="180"/>
    </row>
    <row r="85" customHeight="1" spans="1:6">
      <c r="A85" s="4" t="s">
        <v>314</v>
      </c>
      <c r="B85" s="200" t="s">
        <v>315</v>
      </c>
      <c r="C85" s="203" t="s">
        <v>316</v>
      </c>
      <c r="D85" s="194" t="s">
        <v>317</v>
      </c>
      <c r="E85" s="194" t="s">
        <v>273</v>
      </c>
      <c r="F85" s="194"/>
    </row>
    <row r="86" customHeight="1" spans="1:6">
      <c r="A86" s="4" t="s">
        <v>318</v>
      </c>
      <c r="B86" s="197" t="s">
        <v>319</v>
      </c>
      <c r="C86" s="203" t="s">
        <v>320</v>
      </c>
      <c r="D86" s="197"/>
      <c r="E86" s="197" t="s">
        <v>253</v>
      </c>
      <c r="F86" s="197"/>
    </row>
    <row r="87" customHeight="1" spans="1:6">
      <c r="A87" s="4" t="s">
        <v>321</v>
      </c>
      <c r="B87" s="215" t="s">
        <v>322</v>
      </c>
      <c r="C87" s="205" t="s">
        <v>323</v>
      </c>
      <c r="D87" s="206" t="s">
        <v>324</v>
      </c>
      <c r="E87" s="193" t="s">
        <v>120</v>
      </c>
      <c r="F87" s="216"/>
    </row>
    <row r="88" customHeight="1" spans="1:6">
      <c r="A88" s="4" t="s">
        <v>325</v>
      </c>
      <c r="B88" s="195" t="s">
        <v>326</v>
      </c>
      <c r="C88" s="196" t="s">
        <v>327</v>
      </c>
      <c r="D88" s="197"/>
      <c r="E88" s="197" t="s">
        <v>125</v>
      </c>
      <c r="F88" s="197"/>
    </row>
    <row r="89" customHeight="1" spans="1:6">
      <c r="A89" s="4" t="s">
        <v>328</v>
      </c>
      <c r="B89" s="214" t="s">
        <v>329</v>
      </c>
      <c r="C89" s="214" t="s">
        <v>330</v>
      </c>
      <c r="D89" s="194"/>
      <c r="E89" s="204" t="s">
        <v>92</v>
      </c>
      <c r="F89" s="204"/>
    </row>
    <row r="90" customHeight="1" spans="1:6">
      <c r="A90" s="4" t="s">
        <v>331</v>
      </c>
      <c r="B90" s="158" t="s">
        <v>332</v>
      </c>
      <c r="C90" s="202" t="s">
        <v>333</v>
      </c>
      <c r="D90" s="158"/>
      <c r="E90" s="154" t="s">
        <v>104</v>
      </c>
      <c r="F90" s="180"/>
    </row>
    <row r="91" customHeight="1" spans="1:6">
      <c r="A91" s="4" t="s">
        <v>334</v>
      </c>
      <c r="B91" s="200" t="s">
        <v>335</v>
      </c>
      <c r="C91" s="202" t="s">
        <v>336</v>
      </c>
      <c r="D91" s="152" t="s">
        <v>337</v>
      </c>
      <c r="E91" s="154" t="s">
        <v>9</v>
      </c>
      <c r="F91" s="180"/>
    </row>
    <row r="92" customHeight="1" spans="1:6">
      <c r="A92" s="4" t="s">
        <v>338</v>
      </c>
      <c r="B92" s="195" t="s">
        <v>339</v>
      </c>
      <c r="C92" s="202" t="s">
        <v>340</v>
      </c>
      <c r="D92" s="154">
        <v>912925336</v>
      </c>
      <c r="E92" s="154" t="s">
        <v>104</v>
      </c>
      <c r="F92" s="180"/>
    </row>
    <row r="93" customHeight="1" spans="1:6">
      <c r="A93" s="4" t="s">
        <v>341</v>
      </c>
      <c r="B93" s="153" t="s">
        <v>342</v>
      </c>
      <c r="C93" s="202" t="s">
        <v>343</v>
      </c>
      <c r="D93" s="154"/>
      <c r="E93" s="154" t="s">
        <v>104</v>
      </c>
      <c r="F93" s="180"/>
    </row>
    <row r="94" customHeight="1" spans="1:6">
      <c r="A94" s="4" t="s">
        <v>344</v>
      </c>
      <c r="B94" s="217" t="s">
        <v>345</v>
      </c>
      <c r="C94" s="218" t="s">
        <v>346</v>
      </c>
      <c r="D94" s="155" t="s">
        <v>347</v>
      </c>
      <c r="E94" s="154" t="s">
        <v>253</v>
      </c>
      <c r="F94" s="180"/>
    </row>
    <row r="95" customHeight="1" spans="1:6">
      <c r="A95" s="4" t="s">
        <v>348</v>
      </c>
      <c r="B95" s="153" t="s">
        <v>349</v>
      </c>
      <c r="C95" s="192" t="s">
        <v>350</v>
      </c>
      <c r="D95" s="158"/>
      <c r="E95" s="158" t="s">
        <v>351</v>
      </c>
      <c r="F95" s="158"/>
    </row>
    <row r="96" customHeight="1" spans="1:6">
      <c r="A96" s="4" t="s">
        <v>352</v>
      </c>
      <c r="B96" s="158" t="s">
        <v>353</v>
      </c>
      <c r="C96" s="202" t="s">
        <v>354</v>
      </c>
      <c r="D96" s="158" t="s">
        <v>355</v>
      </c>
      <c r="E96" s="154" t="s">
        <v>211</v>
      </c>
      <c r="F96" s="180"/>
    </row>
    <row r="97" customHeight="1" spans="1:6">
      <c r="A97" s="4" t="s">
        <v>356</v>
      </c>
      <c r="B97" s="158" t="s">
        <v>357</v>
      </c>
      <c r="C97" s="202" t="s">
        <v>358</v>
      </c>
      <c r="D97" s="158" t="s">
        <v>359</v>
      </c>
      <c r="E97" s="154" t="s">
        <v>211</v>
      </c>
      <c r="F97" s="180"/>
    </row>
    <row r="98" customHeight="1" spans="1:6">
      <c r="A98" s="4" t="s">
        <v>360</v>
      </c>
      <c r="B98" s="153" t="s">
        <v>361</v>
      </c>
      <c r="C98" s="202" t="s">
        <v>362</v>
      </c>
      <c r="D98" s="154"/>
      <c r="E98" s="154" t="s">
        <v>243</v>
      </c>
      <c r="F98" s="180"/>
    </row>
    <row r="99" customHeight="1" spans="1:6">
      <c r="A99" s="4" t="s">
        <v>363</v>
      </c>
      <c r="B99" s="161" t="s">
        <v>364</v>
      </c>
      <c r="C99" s="161" t="s">
        <v>365</v>
      </c>
      <c r="D99" s="194"/>
      <c r="E99" s="204" t="s">
        <v>92</v>
      </c>
      <c r="F99" s="204"/>
    </row>
    <row r="100" customHeight="1" spans="1:6">
      <c r="A100" s="4" t="s">
        <v>366</v>
      </c>
      <c r="B100" s="201" t="s">
        <v>367</v>
      </c>
      <c r="C100" s="202" t="s">
        <v>368</v>
      </c>
      <c r="D100" s="154" t="s">
        <v>369</v>
      </c>
      <c r="E100" s="154" t="s">
        <v>211</v>
      </c>
      <c r="F100" s="180"/>
    </row>
    <row r="101" customHeight="1" spans="1:6">
      <c r="A101" s="4" t="s">
        <v>370</v>
      </c>
      <c r="B101" s="200" t="s">
        <v>371</v>
      </c>
      <c r="C101" s="202" t="s">
        <v>372</v>
      </c>
      <c r="D101" s="152"/>
      <c r="E101" s="154"/>
      <c r="F101" s="180"/>
    </row>
    <row r="102" customHeight="1" spans="1:6">
      <c r="A102" s="4" t="s">
        <v>373</v>
      </c>
      <c r="B102" s="153" t="s">
        <v>374</v>
      </c>
      <c r="C102" s="202" t="s">
        <v>375</v>
      </c>
      <c r="D102" s="154"/>
      <c r="E102" s="154" t="s">
        <v>202</v>
      </c>
      <c r="F102" s="180"/>
    </row>
    <row r="103" customHeight="1" spans="1:6">
      <c r="A103" s="4" t="s">
        <v>376</v>
      </c>
      <c r="B103" s="201" t="s">
        <v>377</v>
      </c>
      <c r="C103" s="202" t="s">
        <v>378</v>
      </c>
      <c r="D103" s="154" t="s">
        <v>379</v>
      </c>
      <c r="E103" s="154" t="s">
        <v>243</v>
      </c>
      <c r="F103" s="180"/>
    </row>
    <row r="104" customHeight="1" spans="1:6">
      <c r="A104" s="4" t="s">
        <v>380</v>
      </c>
      <c r="B104" s="153" t="s">
        <v>381</v>
      </c>
      <c r="C104" s="202" t="s">
        <v>382</v>
      </c>
      <c r="D104" s="154"/>
      <c r="E104" s="154" t="s">
        <v>104</v>
      </c>
      <c r="F104" s="180"/>
    </row>
    <row r="105" customHeight="1" spans="1:6">
      <c r="A105" s="4" t="s">
        <v>383</v>
      </c>
      <c r="B105" s="200" t="s">
        <v>384</v>
      </c>
      <c r="C105" s="202" t="s">
        <v>385</v>
      </c>
      <c r="D105" s="158" t="s">
        <v>386</v>
      </c>
      <c r="E105" s="154" t="s">
        <v>202</v>
      </c>
      <c r="F105" s="180"/>
    </row>
    <row r="106" customHeight="1" spans="1:6">
      <c r="A106" s="4" t="s">
        <v>387</v>
      </c>
      <c r="B106" s="195" t="s">
        <v>388</v>
      </c>
      <c r="C106" s="202" t="s">
        <v>389</v>
      </c>
      <c r="D106" s="152" t="s">
        <v>390</v>
      </c>
      <c r="E106" s="154" t="s">
        <v>104</v>
      </c>
      <c r="F106" s="180"/>
    </row>
    <row r="107" customHeight="1" spans="1:6">
      <c r="A107" s="4" t="s">
        <v>391</v>
      </c>
      <c r="B107" s="219" t="s">
        <v>392</v>
      </c>
      <c r="C107" s="219" t="s">
        <v>393</v>
      </c>
      <c r="D107" s="194"/>
      <c r="E107" s="204" t="s">
        <v>92</v>
      </c>
      <c r="F107" s="204"/>
    </row>
    <row r="108" customHeight="1" spans="1:6">
      <c r="A108" s="4" t="s">
        <v>394</v>
      </c>
      <c r="B108" s="200" t="s">
        <v>395</v>
      </c>
      <c r="C108" s="202" t="s">
        <v>396</v>
      </c>
      <c r="D108" s="158"/>
      <c r="E108" s="154"/>
      <c r="F108" s="180"/>
    </row>
    <row r="109" customHeight="1" spans="1:6">
      <c r="A109" s="4" t="s">
        <v>397</v>
      </c>
      <c r="B109" s="205" t="s">
        <v>398</v>
      </c>
      <c r="C109" s="205" t="s">
        <v>399</v>
      </c>
      <c r="D109" s="206" t="s">
        <v>400</v>
      </c>
      <c r="E109" s="193" t="s">
        <v>120</v>
      </c>
      <c r="F109" s="207" t="s">
        <v>401</v>
      </c>
    </row>
    <row r="110" customHeight="1" spans="1:6">
      <c r="A110" s="4" t="s">
        <v>402</v>
      </c>
      <c r="B110" s="200" t="s">
        <v>403</v>
      </c>
      <c r="C110" s="192" t="s">
        <v>404</v>
      </c>
      <c r="D110" s="194" t="s">
        <v>405</v>
      </c>
      <c r="E110" s="193" t="s">
        <v>216</v>
      </c>
      <c r="F110" s="191"/>
    </row>
    <row r="111" customHeight="1" spans="1:6">
      <c r="A111" s="4" t="s">
        <v>406</v>
      </c>
      <c r="B111" s="220" t="s">
        <v>407</v>
      </c>
      <c r="C111" s="220" t="s">
        <v>408</v>
      </c>
      <c r="D111" s="220" t="s">
        <v>409</v>
      </c>
      <c r="E111" s="220" t="str">
        <f>IFERROR(__xludf.DUMMYFUNCTION("""COMPUTED_VALUE"""),"addis abeba")</f>
        <v>addis abeba</v>
      </c>
      <c r="F111" s="221" t="s">
        <v>410</v>
      </c>
    </row>
    <row r="112" customHeight="1" spans="1:6">
      <c r="A112" s="4" t="s">
        <v>411</v>
      </c>
      <c r="B112" s="200" t="s">
        <v>412</v>
      </c>
      <c r="C112" s="202" t="s">
        <v>413</v>
      </c>
      <c r="D112" s="152" t="s">
        <v>414</v>
      </c>
      <c r="E112" s="154" t="s">
        <v>232</v>
      </c>
      <c r="F112" s="180"/>
    </row>
    <row r="113" customHeight="1" spans="1:6">
      <c r="A113" s="4" t="s">
        <v>415</v>
      </c>
      <c r="B113" s="222" t="str">
        <f>IFERROR(__xludf.DUMMYFUNCTION("query(Transactions!A4:O1000,""select C,D,E,F,G,H,I,J,K,L,M,N,O where I = date '2023-06-6' "")"),"Abayneh Yibas Babso")</f>
        <v>Abayneh Yibas Babso</v>
      </c>
      <c r="C113" s="222" t="str">
        <f>IFERROR(__xludf.DUMMYFUNCTION("""COMPUTED_VALUE"""),"አባይነህ ይባስ ባብሶ")</f>
        <v>አባይነህ ይባስ ባብሶ</v>
      </c>
      <c r="D113" s="222" t="str">
        <f>IFERROR(__xludf.DUMMYFUNCTION("""COMPUTED_VALUE"""),"251911995868")</f>
        <v>251911995868</v>
      </c>
      <c r="E113" s="222" t="str">
        <f>IFERROR(__xludf.DUMMYFUNCTION("""COMPUTED_VALUE"""),"Addis Ababa")</f>
        <v>Addis Ababa</v>
      </c>
      <c r="F113" s="222" t="str">
        <f>IFERROR(__xludf.DUMMYFUNCTION("""COMPUTED_VALUE"""),"dubefikadu@gmail.com")</f>
        <v>dubefikadu@gmail.com</v>
      </c>
    </row>
    <row r="114" customHeight="1" spans="1:6">
      <c r="A114" s="4" t="s">
        <v>416</v>
      </c>
      <c r="B114" s="223" t="s">
        <v>417</v>
      </c>
      <c r="C114" s="223" t="s">
        <v>418</v>
      </c>
      <c r="D114" s="204" t="s">
        <v>419</v>
      </c>
      <c r="E114" s="204" t="s">
        <v>92</v>
      </c>
      <c r="F114" s="204"/>
    </row>
    <row r="115" customHeight="1" spans="1:6">
      <c r="A115" s="4" t="s">
        <v>420</v>
      </c>
      <c r="B115" s="201" t="s">
        <v>421</v>
      </c>
      <c r="C115" s="202" t="s">
        <v>422</v>
      </c>
      <c r="D115" s="154"/>
      <c r="E115" s="154" t="s">
        <v>243</v>
      </c>
      <c r="F115" s="180"/>
    </row>
    <row r="116" customHeight="1" spans="1:6">
      <c r="A116" s="4" t="s">
        <v>423</v>
      </c>
      <c r="B116" s="200" t="s">
        <v>424</v>
      </c>
      <c r="C116" s="192" t="s">
        <v>425</v>
      </c>
      <c r="D116" s="194" t="s">
        <v>426</v>
      </c>
      <c r="E116" s="194" t="s">
        <v>243</v>
      </c>
      <c r="F116" s="194"/>
    </row>
    <row r="117" customHeight="1" spans="1:6">
      <c r="A117" s="4" t="s">
        <v>427</v>
      </c>
      <c r="B117" s="201" t="s">
        <v>428</v>
      </c>
      <c r="C117" s="202" t="s">
        <v>429</v>
      </c>
      <c r="D117" s="154"/>
      <c r="E117" s="154" t="s">
        <v>243</v>
      </c>
      <c r="F117" s="180"/>
    </row>
    <row r="118" customHeight="1" spans="1:6">
      <c r="A118" s="4" t="s">
        <v>430</v>
      </c>
      <c r="B118" s="214" t="s">
        <v>431</v>
      </c>
      <c r="C118" s="214" t="s">
        <v>432</v>
      </c>
      <c r="D118" s="194"/>
      <c r="E118" s="204" t="s">
        <v>92</v>
      </c>
      <c r="F118" s="204"/>
    </row>
    <row r="119" customHeight="1" spans="1:6">
      <c r="A119" s="4" t="s">
        <v>433</v>
      </c>
      <c r="B119" s="195" t="s">
        <v>434</v>
      </c>
      <c r="C119" s="212" t="s">
        <v>435</v>
      </c>
      <c r="D119" s="197"/>
      <c r="E119" s="198" t="s">
        <v>436</v>
      </c>
      <c r="F119" s="199"/>
    </row>
    <row r="120" customHeight="1" spans="1:6">
      <c r="A120" s="4" t="s">
        <v>437</v>
      </c>
      <c r="B120" s="205" t="s">
        <v>438</v>
      </c>
      <c r="C120" s="205" t="s">
        <v>439</v>
      </c>
      <c r="D120" s="206" t="s">
        <v>440</v>
      </c>
      <c r="E120" s="193" t="s">
        <v>120</v>
      </c>
      <c r="F120" s="221" t="s">
        <v>441</v>
      </c>
    </row>
    <row r="121" customHeight="1" spans="1:6">
      <c r="A121" s="9" t="s">
        <v>442</v>
      </c>
      <c r="B121" s="224" t="s">
        <v>443</v>
      </c>
      <c r="C121" s="225" t="s">
        <v>444</v>
      </c>
      <c r="D121" s="226" t="s">
        <v>445</v>
      </c>
      <c r="E121" s="29" t="s">
        <v>92</v>
      </c>
      <c r="F121" s="29" t="s">
        <v>446</v>
      </c>
    </row>
    <row r="122" customHeight="1" spans="1:6">
      <c r="A122" s="4" t="s">
        <v>447</v>
      </c>
      <c r="B122" s="205" t="s">
        <v>448</v>
      </c>
      <c r="C122" s="205" t="s">
        <v>449</v>
      </c>
      <c r="D122" s="206" t="s">
        <v>450</v>
      </c>
      <c r="E122" s="193" t="s">
        <v>120</v>
      </c>
      <c r="F122" s="221" t="s">
        <v>451</v>
      </c>
    </row>
    <row r="123" customHeight="1" spans="1:6">
      <c r="A123" s="4" t="s">
        <v>452</v>
      </c>
      <c r="B123" s="201" t="s">
        <v>453</v>
      </c>
      <c r="C123" s="202" t="s">
        <v>454</v>
      </c>
      <c r="D123" s="154"/>
      <c r="E123" s="154" t="s">
        <v>243</v>
      </c>
      <c r="F123" s="180"/>
    </row>
    <row r="124" customHeight="1" spans="1:6">
      <c r="A124" s="4" t="s">
        <v>455</v>
      </c>
      <c r="B124" s="214" t="s">
        <v>456</v>
      </c>
      <c r="C124" s="214" t="s">
        <v>457</v>
      </c>
      <c r="D124" s="194"/>
      <c r="E124" s="204" t="s">
        <v>92</v>
      </c>
      <c r="F124" s="204"/>
    </row>
    <row r="125" customHeight="1" spans="1:6">
      <c r="A125" s="4" t="s">
        <v>458</v>
      </c>
      <c r="B125" s="215" t="s">
        <v>459</v>
      </c>
      <c r="C125" s="205" t="s">
        <v>460</v>
      </c>
      <c r="D125" s="227" t="s">
        <v>461</v>
      </c>
      <c r="E125" s="193" t="s">
        <v>120</v>
      </c>
      <c r="F125" s="216"/>
    </row>
    <row r="126" customHeight="1" spans="1:6">
      <c r="A126" s="4" t="s">
        <v>462</v>
      </c>
      <c r="B126" s="153" t="s">
        <v>463</v>
      </c>
      <c r="C126" s="202" t="s">
        <v>464</v>
      </c>
      <c r="D126" s="154"/>
      <c r="E126" s="154" t="s">
        <v>104</v>
      </c>
      <c r="F126" s="180"/>
    </row>
    <row r="127" customHeight="1" spans="1:6">
      <c r="A127" s="4" t="s">
        <v>465</v>
      </c>
      <c r="B127" s="200" t="s">
        <v>466</v>
      </c>
      <c r="C127" s="192" t="s">
        <v>467</v>
      </c>
      <c r="D127" s="194" t="s">
        <v>468</v>
      </c>
      <c r="E127" s="193" t="s">
        <v>13</v>
      </c>
      <c r="F127" s="191"/>
    </row>
    <row r="128" customHeight="1" spans="1:6">
      <c r="A128" s="4" t="s">
        <v>469</v>
      </c>
      <c r="B128" s="195" t="s">
        <v>470</v>
      </c>
      <c r="C128" s="196" t="s">
        <v>471</v>
      </c>
      <c r="D128" s="197"/>
      <c r="E128" s="198" t="s">
        <v>13</v>
      </c>
      <c r="F128" s="199"/>
    </row>
    <row r="129" customHeight="1" spans="1:6">
      <c r="A129" s="4" t="s">
        <v>472</v>
      </c>
      <c r="B129" s="201" t="s">
        <v>473</v>
      </c>
      <c r="C129" s="202" t="s">
        <v>474</v>
      </c>
      <c r="D129" s="154" t="s">
        <v>475</v>
      </c>
      <c r="E129" s="154"/>
      <c r="F129" s="180"/>
    </row>
    <row r="130" customHeight="1" spans="1:6">
      <c r="A130" s="4" t="s">
        <v>476</v>
      </c>
      <c r="B130" s="201" t="s">
        <v>477</v>
      </c>
      <c r="C130" s="202" t="s">
        <v>478</v>
      </c>
      <c r="D130" s="154"/>
      <c r="E130" s="154" t="s">
        <v>479</v>
      </c>
      <c r="F130" s="180"/>
    </row>
    <row r="131" customHeight="1" spans="1:6">
      <c r="A131" s="4" t="s">
        <v>480</v>
      </c>
      <c r="B131" s="201" t="s">
        <v>481</v>
      </c>
      <c r="C131" s="202" t="s">
        <v>482</v>
      </c>
      <c r="D131" s="154" t="s">
        <v>483</v>
      </c>
      <c r="E131" s="154"/>
      <c r="F131" s="180"/>
    </row>
    <row r="132" customHeight="1" spans="1:6">
      <c r="A132" s="4" t="s">
        <v>484</v>
      </c>
      <c r="B132" s="197" t="s">
        <v>485</v>
      </c>
      <c r="C132" s="203" t="s">
        <v>486</v>
      </c>
      <c r="D132" s="197"/>
      <c r="E132" s="197" t="s">
        <v>32</v>
      </c>
      <c r="F132" s="197"/>
    </row>
    <row r="133" customHeight="1" spans="1:6">
      <c r="A133" s="4" t="s">
        <v>487</v>
      </c>
      <c r="B133" s="223" t="s">
        <v>488</v>
      </c>
      <c r="C133" s="223" t="s">
        <v>489</v>
      </c>
      <c r="D133" s="204" t="s">
        <v>490</v>
      </c>
      <c r="E133" s="204" t="s">
        <v>92</v>
      </c>
      <c r="F133" s="204"/>
    </row>
    <row r="134" customHeight="1" spans="1:6">
      <c r="A134" s="4" t="s">
        <v>491</v>
      </c>
      <c r="B134" s="161" t="s">
        <v>492</v>
      </c>
      <c r="C134" s="161" t="s">
        <v>493</v>
      </c>
      <c r="D134" s="194"/>
      <c r="E134" s="204" t="s">
        <v>92</v>
      </c>
      <c r="F134" s="204"/>
    </row>
    <row r="135" customHeight="1" spans="1:6">
      <c r="A135" s="4" t="s">
        <v>494</v>
      </c>
      <c r="B135" s="158" t="s">
        <v>495</v>
      </c>
      <c r="C135" s="202" t="s">
        <v>496</v>
      </c>
      <c r="D135" s="158">
        <v>915536288</v>
      </c>
      <c r="E135" s="154" t="s">
        <v>497</v>
      </c>
      <c r="F135" s="180"/>
    </row>
    <row r="136" customHeight="1" spans="1:6">
      <c r="A136" s="4" t="s">
        <v>498</v>
      </c>
      <c r="B136" s="160" t="s">
        <v>499</v>
      </c>
      <c r="C136" s="160" t="s">
        <v>500</v>
      </c>
      <c r="D136" s="204" t="s">
        <v>501</v>
      </c>
      <c r="E136" s="204" t="s">
        <v>502</v>
      </c>
      <c r="F136" s="204" t="s">
        <v>503</v>
      </c>
    </row>
    <row r="137" customHeight="1" spans="1:6">
      <c r="A137" s="4" t="s">
        <v>504</v>
      </c>
      <c r="B137" s="160" t="s">
        <v>505</v>
      </c>
      <c r="C137" s="160" t="s">
        <v>506</v>
      </c>
      <c r="D137" s="204" t="s">
        <v>507</v>
      </c>
      <c r="E137" s="204" t="s">
        <v>92</v>
      </c>
      <c r="F137" s="204"/>
    </row>
    <row r="138" customHeight="1" spans="1:6">
      <c r="A138" s="4" t="s">
        <v>508</v>
      </c>
      <c r="B138" s="223" t="s">
        <v>509</v>
      </c>
      <c r="C138" s="223" t="s">
        <v>510</v>
      </c>
      <c r="D138" s="204" t="s">
        <v>511</v>
      </c>
      <c r="E138" s="204" t="s">
        <v>92</v>
      </c>
      <c r="F138" s="204"/>
    </row>
    <row r="139" customHeight="1" spans="1:6">
      <c r="A139" s="4" t="s">
        <v>512</v>
      </c>
      <c r="B139" s="200" t="s">
        <v>513</v>
      </c>
      <c r="C139" s="192" t="s">
        <v>514</v>
      </c>
      <c r="D139" s="194"/>
      <c r="E139" s="194" t="s">
        <v>169</v>
      </c>
      <c r="F139" s="194"/>
    </row>
    <row r="140" customHeight="1" spans="1:6">
      <c r="A140" s="4" t="s">
        <v>515</v>
      </c>
      <c r="B140" s="195" t="s">
        <v>516</v>
      </c>
      <c r="C140" s="196" t="s">
        <v>517</v>
      </c>
      <c r="D140" s="197"/>
      <c r="E140" s="197" t="s">
        <v>169</v>
      </c>
      <c r="F140" s="197"/>
    </row>
    <row r="141" customHeight="1" spans="1:6">
      <c r="A141" s="4" t="s">
        <v>518</v>
      </c>
      <c r="B141" s="201" t="s">
        <v>519</v>
      </c>
      <c r="C141" s="202" t="s">
        <v>520</v>
      </c>
      <c r="D141" s="158" t="s">
        <v>521</v>
      </c>
      <c r="E141" s="154"/>
      <c r="F141" s="180"/>
    </row>
    <row r="142" customHeight="1" spans="1:6">
      <c r="A142" s="4" t="s">
        <v>522</v>
      </c>
      <c r="B142" s="160" t="s">
        <v>523</v>
      </c>
      <c r="C142" s="160" t="s">
        <v>524</v>
      </c>
      <c r="D142" s="204" t="s">
        <v>525</v>
      </c>
      <c r="E142" s="204" t="s">
        <v>92</v>
      </c>
      <c r="F142" s="204"/>
    </row>
    <row r="143" customHeight="1" spans="1:6">
      <c r="A143" s="4" t="s">
        <v>526</v>
      </c>
      <c r="B143" s="160" t="s">
        <v>527</v>
      </c>
      <c r="C143" s="160" t="s">
        <v>528</v>
      </c>
      <c r="D143" s="204" t="s">
        <v>529</v>
      </c>
      <c r="E143" s="204" t="s">
        <v>92</v>
      </c>
      <c r="F143" s="204"/>
    </row>
    <row r="144" customHeight="1" spans="1:6">
      <c r="A144" s="4" t="s">
        <v>530</v>
      </c>
      <c r="B144" s="200" t="s">
        <v>531</v>
      </c>
      <c r="C144" s="202" t="s">
        <v>532</v>
      </c>
      <c r="D144" s="154">
        <v>933566604</v>
      </c>
      <c r="E144" s="154" t="s">
        <v>9</v>
      </c>
      <c r="F144" s="180"/>
    </row>
    <row r="145" customHeight="1" spans="1:6">
      <c r="A145" s="4" t="s">
        <v>533</v>
      </c>
      <c r="B145" s="222" t="str">
        <f>IFERROR(__xludf.DUMMYFUNCTION("query(Transactions!A4:N1000,""select C,D,E,F,G,H,I,J,K,L,M,N where I = date '2023-06-1' "")"),"Abdisa Bekele G/Tsadik /Ato/")</f>
        <v>Abdisa Bekele G/Tsadik /Ato/</v>
      </c>
      <c r="C145" s="222" t="str">
        <f>IFERROR(__xludf.DUMMYFUNCTION("""COMPUTED_VALUE"""),"አብዲሳ በቀለ ገ/ፃዲቅ  / አቶ/")</f>
        <v>አብዲሳ በቀለ ገ/ፃዲቅ  / አቶ/</v>
      </c>
      <c r="D145" s="222" t="str">
        <f>IFERROR(__xludf.DUMMYFUNCTION("""COMPUTED_VALUE"""),"0913-598042")</f>
        <v>0913-598042</v>
      </c>
      <c r="E145" s="222" t="str">
        <f>IFERROR(__xludf.DUMMYFUNCTION("""COMPUTED_VALUE"""),"A/A")</f>
        <v>A/A</v>
      </c>
      <c r="F145" s="222"/>
    </row>
    <row r="146" customHeight="1" spans="1:6">
      <c r="A146" s="4" t="s">
        <v>534</v>
      </c>
      <c r="B146" s="201" t="s">
        <v>535</v>
      </c>
      <c r="C146" s="202" t="s">
        <v>536</v>
      </c>
      <c r="D146" s="154" t="s">
        <v>537</v>
      </c>
      <c r="E146" s="154"/>
      <c r="F146" s="180"/>
    </row>
    <row r="147" customHeight="1" spans="1:6">
      <c r="A147" s="4" t="s">
        <v>538</v>
      </c>
      <c r="B147" s="214" t="s">
        <v>539</v>
      </c>
      <c r="C147" s="214" t="s">
        <v>540</v>
      </c>
      <c r="D147" s="194"/>
      <c r="E147" s="204" t="s">
        <v>92</v>
      </c>
      <c r="F147" s="204"/>
    </row>
    <row r="148" customHeight="1" spans="1:6">
      <c r="A148" s="4" t="s">
        <v>541</v>
      </c>
      <c r="B148" s="166" t="str">
        <f>IFERROR(__xludf.DUMMYFUNCTION("query(Transactions!A4:N1000,""select C,D,E,F,G,H,I,J,K,L,M,N where I = date '2023-06-2' "")"),"Abdlhadi Dilsebo Ahmed /Ato/")</f>
        <v>Abdlhadi Dilsebo Ahmed /Ato/</v>
      </c>
      <c r="C148" s="166" t="str">
        <f>IFERROR(__xludf.DUMMYFUNCTION("""COMPUTED_VALUE"""),"አብድልሀዱ ድልሰቦ አህመድ /አቶ/")</f>
        <v>አብድልሀዱ ድልሰቦ አህመድ /አቶ/</v>
      </c>
      <c r="D148" s="166" t="str">
        <f>IFERROR(__xludf.DUMMYFUNCTION("""COMPUTED_VALUE"""),"911305505")</f>
        <v>911305505</v>
      </c>
      <c r="E148" s="166" t="str">
        <f>IFERROR(__xludf.DUMMYFUNCTION("""COMPUTED_VALUE"""),"addis abeba")</f>
        <v>addis abeba</v>
      </c>
      <c r="F148" s="166"/>
    </row>
    <row r="149" customHeight="1" spans="1:6">
      <c r="A149" s="4" t="s">
        <v>542</v>
      </c>
      <c r="B149" s="215" t="s">
        <v>543</v>
      </c>
      <c r="C149" s="205" t="s">
        <v>544</v>
      </c>
      <c r="D149" s="206" t="s">
        <v>545</v>
      </c>
      <c r="E149" s="193" t="s">
        <v>120</v>
      </c>
      <c r="F149" s="221"/>
    </row>
    <row r="150" customHeight="1" spans="1:6">
      <c r="A150" s="4" t="s">
        <v>546</v>
      </c>
      <c r="B150" s="195" t="s">
        <v>547</v>
      </c>
      <c r="C150" s="196" t="s">
        <v>548</v>
      </c>
      <c r="D150" s="197"/>
      <c r="E150" s="198" t="s">
        <v>13</v>
      </c>
      <c r="F150" s="199"/>
    </row>
    <row r="151" customHeight="1" spans="1:6">
      <c r="A151" s="4" t="s">
        <v>549</v>
      </c>
      <c r="B151" s="201" t="s">
        <v>550</v>
      </c>
      <c r="C151" s="202" t="s">
        <v>551</v>
      </c>
      <c r="D151" s="154" t="s">
        <v>552</v>
      </c>
      <c r="E151" s="154"/>
      <c r="F151" s="180"/>
    </row>
    <row r="152" customHeight="1" spans="1:6">
      <c r="A152" s="4" t="s">
        <v>553</v>
      </c>
      <c r="B152" s="200" t="s">
        <v>554</v>
      </c>
      <c r="C152" s="192" t="s">
        <v>555</v>
      </c>
      <c r="D152" s="194" t="s">
        <v>556</v>
      </c>
      <c r="E152" s="193" t="s">
        <v>13</v>
      </c>
      <c r="F152" s="191"/>
    </row>
    <row r="153" customHeight="1" spans="1:6">
      <c r="A153" s="4" t="s">
        <v>557</v>
      </c>
      <c r="B153" s="194" t="s">
        <v>558</v>
      </c>
      <c r="C153" s="192" t="s">
        <v>559</v>
      </c>
      <c r="D153" s="194" t="s">
        <v>560</v>
      </c>
      <c r="E153" s="194" t="s">
        <v>561</v>
      </c>
      <c r="F153" s="194"/>
    </row>
    <row r="154" customHeight="1" spans="1:6">
      <c r="A154" s="4" t="s">
        <v>562</v>
      </c>
      <c r="B154" s="200" t="s">
        <v>563</v>
      </c>
      <c r="C154" s="192" t="s">
        <v>564</v>
      </c>
      <c r="D154" s="194" t="s">
        <v>565</v>
      </c>
      <c r="E154" s="193" t="s">
        <v>13</v>
      </c>
      <c r="F154" s="191"/>
    </row>
    <row r="155" customHeight="1" spans="1:6">
      <c r="A155" s="4" t="s">
        <v>566</v>
      </c>
      <c r="B155" s="153" t="s">
        <v>567</v>
      </c>
      <c r="C155" s="202" t="s">
        <v>568</v>
      </c>
      <c r="D155" s="158">
        <v>917635663</v>
      </c>
      <c r="E155" s="158" t="s">
        <v>32</v>
      </c>
      <c r="F155" s="153"/>
    </row>
    <row r="156" customHeight="1" spans="1:6">
      <c r="A156" s="4" t="s">
        <v>569</v>
      </c>
      <c r="B156" s="201" t="s">
        <v>570</v>
      </c>
      <c r="C156" s="202" t="s">
        <v>571</v>
      </c>
      <c r="D156" s="154" t="s">
        <v>572</v>
      </c>
      <c r="E156" s="154"/>
      <c r="F156" s="180"/>
    </row>
    <row r="157" customHeight="1" spans="1:6">
      <c r="A157" s="4" t="s">
        <v>573</v>
      </c>
      <c r="B157" s="166" t="str">
        <f>IFERROR(__xludf.DUMMYFUNCTION("query(Transactions!A4:N1000,""select C,D,E,F,G,H,I,J,K,L,M,N where I = date '2023-06-7' "")"),"Abdo Kedir Abajiruu")</f>
        <v>Abdo Kedir Abajiruu</v>
      </c>
      <c r="C157" s="166" t="str">
        <f>IFERROR(__xludf.DUMMYFUNCTION("""COMPUTED_VALUE"""),"አብዶ ከድር አባጂሩ")</f>
        <v>አብዶ ከድር አባጂሩ</v>
      </c>
      <c r="D157" s="166" t="str">
        <f>IFERROR(__xludf.DUMMYFUNCTION("""COMPUTED_VALUE"""),"3012377742")</f>
        <v>3012377742</v>
      </c>
      <c r="E157" s="166" t="str">
        <f>IFERROR(__xludf.DUMMYFUNCTION("""COMPUTED_VALUE"""),"USA")</f>
        <v>USA</v>
      </c>
      <c r="F157" s="166" t="str">
        <f>IFERROR(__xludf.DUMMYFUNCTION("""COMPUTED_VALUE"""),"abdoabajiru@yahoo.com")</f>
        <v>abdoabajiru@yahoo.com</v>
      </c>
    </row>
    <row r="158" customHeight="1" spans="1:6">
      <c r="A158" s="4" t="s">
        <v>574</v>
      </c>
      <c r="B158" s="195" t="s">
        <v>575</v>
      </c>
      <c r="C158" s="196" t="s">
        <v>576</v>
      </c>
      <c r="D158" s="197" t="s">
        <v>577</v>
      </c>
      <c r="E158" s="198" t="s">
        <v>13</v>
      </c>
      <c r="F158" s="199"/>
    </row>
    <row r="159" customHeight="1" spans="1:6">
      <c r="A159" s="4" t="s">
        <v>578</v>
      </c>
      <c r="B159" s="214" t="s">
        <v>579</v>
      </c>
      <c r="C159" s="214" t="s">
        <v>580</v>
      </c>
      <c r="D159" s="194"/>
      <c r="E159" s="204" t="s">
        <v>92</v>
      </c>
      <c r="F159" s="204"/>
    </row>
    <row r="160" customHeight="1" spans="1:6">
      <c r="A160" s="4" t="s">
        <v>581</v>
      </c>
      <c r="B160" s="214" t="s">
        <v>582</v>
      </c>
      <c r="C160" s="214" t="s">
        <v>583</v>
      </c>
      <c r="D160" s="194"/>
      <c r="E160" s="204" t="s">
        <v>92</v>
      </c>
      <c r="F160" s="204"/>
    </row>
    <row r="161" customHeight="1" spans="1:6">
      <c r="A161" s="4" t="s">
        <v>584</v>
      </c>
      <c r="B161" s="201" t="s">
        <v>585</v>
      </c>
      <c r="C161" s="202" t="s">
        <v>586</v>
      </c>
      <c r="D161" s="154" t="s">
        <v>587</v>
      </c>
      <c r="E161" s="154"/>
      <c r="F161" s="180"/>
    </row>
    <row r="162" customHeight="1" spans="1:6">
      <c r="A162" s="9" t="s">
        <v>588</v>
      </c>
      <c r="B162" s="225" t="s">
        <v>589</v>
      </c>
      <c r="C162" s="225" t="s">
        <v>590</v>
      </c>
      <c r="D162" s="228" t="s">
        <v>591</v>
      </c>
      <c r="E162" s="229" t="s">
        <v>120</v>
      </c>
      <c r="F162" s="230" t="s">
        <v>592</v>
      </c>
    </row>
    <row r="163" customHeight="1" spans="1:6">
      <c r="A163" s="9" t="s">
        <v>593</v>
      </c>
      <c r="B163" s="231" t="str">
        <f>IFERROR(__xludf.DUMMYFUNCTION("query(Transactions!A4:O1000,""select C,D,E,F,G,H,I,J,K,L,M,N,O where I = date '2023-06-3' "")"),"Abdu Awol Mohammed")</f>
        <v>Abdu Awol Mohammed</v>
      </c>
      <c r="C163" s="231" t="str">
        <f>IFERROR(__xludf.DUMMYFUNCTION("""COMPUTED_VALUE"""),"አብዱ ኣወል ሙሀመድ")</f>
        <v>አብዱ ኣወል ሙሀመድ</v>
      </c>
      <c r="D163" s="231" t="str">
        <f>IFERROR(__xludf.DUMMYFUNCTION("""COMPUTED_VALUE"""),"0924582138
0910472738")</f>
        <v>0924582138
0910472738</v>
      </c>
      <c r="E163" s="231" t="str">
        <f>IFERROR(__xludf.DUMMYFUNCTION("""COMPUTED_VALUE"""),"Addis Ababa")</f>
        <v>Addis Ababa</v>
      </c>
      <c r="F163" s="231" t="str">
        <f>IFERROR(__xludf.DUMMYFUNCTION("""COMPUTED_VALUE"""),"ssey2mama@gmail.com
abduawol21@gmail.com")</f>
        <v>ssey2mama@gmail.com
abduawol21@gmail.com</v>
      </c>
    </row>
    <row r="164" customHeight="1" spans="1:6">
      <c r="A164" s="6" t="s">
        <v>594</v>
      </c>
      <c r="B164" s="195" t="s">
        <v>595</v>
      </c>
      <c r="C164" s="202" t="s">
        <v>596</v>
      </c>
      <c r="D164" s="341" t="s">
        <v>597</v>
      </c>
      <c r="E164" s="154" t="s">
        <v>9</v>
      </c>
      <c r="F164" s="180"/>
    </row>
    <row r="165" customHeight="1" spans="1:6">
      <c r="A165" s="6" t="s">
        <v>598</v>
      </c>
      <c r="B165" s="153" t="s">
        <v>599</v>
      </c>
      <c r="C165" s="202" t="s">
        <v>600</v>
      </c>
      <c r="D165" s="154">
        <v>954088135</v>
      </c>
      <c r="E165" s="154" t="s">
        <v>9</v>
      </c>
      <c r="F165" s="180"/>
    </row>
    <row r="166" customHeight="1" spans="1:6">
      <c r="A166" s="6" t="s">
        <v>601</v>
      </c>
      <c r="B166" s="160" t="s">
        <v>602</v>
      </c>
      <c r="C166" s="160" t="s">
        <v>603</v>
      </c>
      <c r="D166" s="232" t="s">
        <v>604</v>
      </c>
      <c r="E166" s="204" t="s">
        <v>605</v>
      </c>
      <c r="F166" s="204" t="s">
        <v>606</v>
      </c>
    </row>
    <row r="167" customHeight="1" spans="1:6">
      <c r="A167" s="6" t="s">
        <v>607</v>
      </c>
      <c r="B167" s="214" t="s">
        <v>608</v>
      </c>
      <c r="C167" s="214" t="s">
        <v>609</v>
      </c>
      <c r="D167" s="194"/>
      <c r="E167" s="204" t="s">
        <v>92</v>
      </c>
      <c r="F167" s="204"/>
    </row>
    <row r="168" customHeight="1" spans="1:6">
      <c r="A168" s="6" t="s">
        <v>610</v>
      </c>
      <c r="B168" s="200" t="s">
        <v>611</v>
      </c>
      <c r="C168" s="202" t="s">
        <v>612</v>
      </c>
      <c r="D168" s="152" t="s">
        <v>613</v>
      </c>
      <c r="E168" s="154"/>
      <c r="F168" s="180"/>
    </row>
    <row r="169" customHeight="1" spans="1:6">
      <c r="A169" s="6" t="s">
        <v>614</v>
      </c>
      <c r="B169" s="201" t="s">
        <v>615</v>
      </c>
      <c r="C169" s="202" t="s">
        <v>616</v>
      </c>
      <c r="D169" s="154" t="s">
        <v>617</v>
      </c>
      <c r="E169" s="154"/>
      <c r="F169" s="180"/>
    </row>
    <row r="170" customHeight="1" spans="1:6">
      <c r="A170" s="6" t="s">
        <v>618</v>
      </c>
      <c r="B170" s="153" t="s">
        <v>619</v>
      </c>
      <c r="C170" s="202" t="s">
        <v>620</v>
      </c>
      <c r="D170" s="158">
        <v>996338984</v>
      </c>
      <c r="E170" s="158" t="s">
        <v>32</v>
      </c>
      <c r="F170" s="153"/>
    </row>
    <row r="171" customHeight="1" spans="1:6">
      <c r="A171" s="6" t="s">
        <v>621</v>
      </c>
      <c r="B171" s="201" t="s">
        <v>622</v>
      </c>
      <c r="C171" s="202" t="s">
        <v>623</v>
      </c>
      <c r="D171" s="154" t="s">
        <v>624</v>
      </c>
      <c r="E171" s="154" t="s">
        <v>84</v>
      </c>
      <c r="F171" s="180"/>
    </row>
    <row r="172" customHeight="1" spans="1:6">
      <c r="A172" s="6" t="s">
        <v>625</v>
      </c>
      <c r="B172" s="214" t="s">
        <v>626</v>
      </c>
      <c r="C172" s="214" t="s">
        <v>627</v>
      </c>
      <c r="D172" s="194"/>
      <c r="E172" s="204" t="s">
        <v>92</v>
      </c>
      <c r="F172" s="204"/>
    </row>
    <row r="173" customHeight="1" spans="1:6">
      <c r="A173" s="6" t="s">
        <v>628</v>
      </c>
      <c r="B173" s="233" t="s">
        <v>629</v>
      </c>
      <c r="C173" s="233" t="s">
        <v>630</v>
      </c>
      <c r="D173" s="204" t="s">
        <v>631</v>
      </c>
      <c r="E173" s="204" t="s">
        <v>632</v>
      </c>
      <c r="F173" s="204" t="s">
        <v>633</v>
      </c>
    </row>
    <row r="174" customHeight="1" spans="1:6">
      <c r="A174" s="6" t="s">
        <v>634</v>
      </c>
      <c r="B174" s="195" t="s">
        <v>635</v>
      </c>
      <c r="C174" s="196" t="s">
        <v>636</v>
      </c>
      <c r="D174" s="197"/>
      <c r="E174" s="197" t="s">
        <v>32</v>
      </c>
      <c r="F174" s="197"/>
    </row>
    <row r="175" customHeight="1" spans="1:6">
      <c r="A175" s="6" t="s">
        <v>637</v>
      </c>
      <c r="B175" s="201" t="s">
        <v>638</v>
      </c>
      <c r="C175" s="202" t="s">
        <v>639</v>
      </c>
      <c r="D175" s="158">
        <v>926959038</v>
      </c>
      <c r="E175" s="158" t="s">
        <v>32</v>
      </c>
      <c r="F175" s="153"/>
    </row>
    <row r="176" customHeight="1" spans="1:6">
      <c r="A176" s="6" t="s">
        <v>640</v>
      </c>
      <c r="B176" s="214" t="s">
        <v>641</v>
      </c>
      <c r="C176" s="214" t="s">
        <v>642</v>
      </c>
      <c r="D176" s="194"/>
      <c r="E176" s="204" t="s">
        <v>92</v>
      </c>
      <c r="F176" s="204"/>
    </row>
    <row r="177" customHeight="1" spans="1:6">
      <c r="A177" s="6" t="s">
        <v>643</v>
      </c>
      <c r="B177" s="214" t="s">
        <v>644</v>
      </c>
      <c r="C177" s="214" t="s">
        <v>645</v>
      </c>
      <c r="D177" s="194"/>
      <c r="E177" s="204" t="s">
        <v>92</v>
      </c>
      <c r="F177" s="204"/>
    </row>
    <row r="178" customHeight="1" spans="1:6">
      <c r="A178" s="6" t="s">
        <v>646</v>
      </c>
      <c r="B178" s="201" t="s">
        <v>647</v>
      </c>
      <c r="C178" s="202" t="s">
        <v>648</v>
      </c>
      <c r="D178" s="158">
        <v>954248903</v>
      </c>
      <c r="E178" s="158" t="s">
        <v>32</v>
      </c>
      <c r="F178" s="153"/>
    </row>
    <row r="179" customHeight="1" spans="1:6">
      <c r="A179" s="6" t="s">
        <v>649</v>
      </c>
      <c r="B179" s="214" t="s">
        <v>650</v>
      </c>
      <c r="C179" s="214" t="s">
        <v>651</v>
      </c>
      <c r="D179" s="194"/>
      <c r="E179" s="204" t="s">
        <v>92</v>
      </c>
      <c r="F179" s="204"/>
    </row>
    <row r="180" customHeight="1" spans="1:6">
      <c r="A180" s="6" t="s">
        <v>652</v>
      </c>
      <c r="B180" s="201" t="s">
        <v>653</v>
      </c>
      <c r="C180" s="202" t="s">
        <v>654</v>
      </c>
      <c r="D180" s="158">
        <v>931113668</v>
      </c>
      <c r="E180" s="158" t="s">
        <v>32</v>
      </c>
      <c r="F180" s="153"/>
    </row>
    <row r="181" customHeight="1" spans="1:6">
      <c r="A181" s="6" t="s">
        <v>655</v>
      </c>
      <c r="B181" s="223" t="s">
        <v>656</v>
      </c>
      <c r="C181" s="223" t="s">
        <v>657</v>
      </c>
      <c r="D181" s="204" t="s">
        <v>658</v>
      </c>
      <c r="E181" s="204" t="s">
        <v>92</v>
      </c>
      <c r="F181" s="204"/>
    </row>
    <row r="182" customHeight="1" spans="1:6">
      <c r="A182" s="6" t="s">
        <v>659</v>
      </c>
      <c r="B182" s="214" t="s">
        <v>660</v>
      </c>
      <c r="C182" s="214" t="s">
        <v>661</v>
      </c>
      <c r="D182" s="194"/>
      <c r="E182" s="204" t="s">
        <v>92</v>
      </c>
      <c r="F182" s="204"/>
    </row>
    <row r="183" customHeight="1" spans="1:6">
      <c r="A183" s="6" t="s">
        <v>662</v>
      </c>
      <c r="B183" s="201" t="s">
        <v>663</v>
      </c>
      <c r="C183" s="202" t="s">
        <v>664</v>
      </c>
      <c r="D183" s="154"/>
      <c r="E183" s="154"/>
      <c r="F183" s="180"/>
    </row>
    <row r="184" customHeight="1" spans="1:6">
      <c r="A184" s="9" t="s">
        <v>665</v>
      </c>
      <c r="B184" s="225" t="s">
        <v>666</v>
      </c>
      <c r="C184" s="225" t="s">
        <v>667</v>
      </c>
      <c r="D184" s="228" t="s">
        <v>668</v>
      </c>
      <c r="E184" s="229" t="s">
        <v>120</v>
      </c>
      <c r="F184" s="230"/>
    </row>
    <row r="185" customHeight="1" spans="1:6">
      <c r="A185" s="6" t="s">
        <v>669</v>
      </c>
      <c r="B185" s="160" t="s">
        <v>670</v>
      </c>
      <c r="C185" s="160" t="s">
        <v>671</v>
      </c>
      <c r="D185" s="204" t="s">
        <v>672</v>
      </c>
      <c r="E185" s="204" t="s">
        <v>92</v>
      </c>
      <c r="F185" s="204"/>
    </row>
    <row r="186" customHeight="1" spans="1:6">
      <c r="A186" s="6" t="s">
        <v>673</v>
      </c>
      <c r="B186" s="222" t="str">
        <f>IFERROR(__xludf.DUMMYFUNCTION("query(Transactions!A2:N1000,""select C,D,E,F,G,H,I,J,K,L,M,N where I = date '2023-06-5' "")"),"Abdulied Kedir Seid /Ato")</f>
        <v>Abdulied Kedir Seid /Ato</v>
      </c>
      <c r="C186" s="222" t="str">
        <f>IFERROR(__xludf.DUMMYFUNCTION("""COMPUTED_VALUE"""),"አብዱላይድ ከድር ሰይድ/አቶ")</f>
        <v>አብዱላይድ ከድር ሰይድ/አቶ</v>
      </c>
      <c r="D186" s="222" t="str">
        <f>IFERROR(__xludf.DUMMYFUNCTION("""COMPUTED_VALUE"""),"913721593")</f>
        <v>913721593</v>
      </c>
      <c r="E186" s="222" t="str">
        <f>IFERROR(__xludf.DUMMYFUNCTION("""COMPUTED_VALUE"""),"addis abeba")</f>
        <v>addis abeba</v>
      </c>
      <c r="F186" s="222"/>
    </row>
    <row r="187" customHeight="1" spans="1:6">
      <c r="A187" s="6" t="s">
        <v>674</v>
      </c>
      <c r="B187" s="158" t="s">
        <v>675</v>
      </c>
      <c r="C187" s="202" t="s">
        <v>676</v>
      </c>
      <c r="D187" s="158" t="s">
        <v>677</v>
      </c>
      <c r="E187" s="154" t="s">
        <v>678</v>
      </c>
      <c r="F187" s="180"/>
    </row>
    <row r="188" customHeight="1" spans="1:6">
      <c r="A188" s="9" t="s">
        <v>679</v>
      </c>
      <c r="B188" s="225" t="s">
        <v>680</v>
      </c>
      <c r="C188" s="225" t="s">
        <v>681</v>
      </c>
      <c r="D188" s="228" t="s">
        <v>682</v>
      </c>
      <c r="E188" s="229" t="s">
        <v>120</v>
      </c>
      <c r="F188" s="230" t="s">
        <v>683</v>
      </c>
    </row>
    <row r="189" customHeight="1" spans="1:6">
      <c r="A189" s="6" t="s">
        <v>684</v>
      </c>
      <c r="B189" s="214" t="s">
        <v>685</v>
      </c>
      <c r="C189" s="214" t="s">
        <v>686</v>
      </c>
      <c r="D189" s="194"/>
      <c r="E189" s="204" t="s">
        <v>92</v>
      </c>
      <c r="F189" s="204"/>
    </row>
    <row r="190" customHeight="1" spans="1:6">
      <c r="A190" s="6" t="s">
        <v>687</v>
      </c>
      <c r="B190" s="234" t="s">
        <v>688</v>
      </c>
      <c r="C190" s="235" t="s">
        <v>689</v>
      </c>
      <c r="D190" s="36" t="s">
        <v>690</v>
      </c>
      <c r="E190" s="45" t="s">
        <v>691</v>
      </c>
      <c r="F190" s="45"/>
    </row>
    <row r="191" customHeight="1" spans="1:6">
      <c r="A191" s="6" t="s">
        <v>692</v>
      </c>
      <c r="B191" s="222" t="str">
        <f>IFERROR(__xludf.DUMMYFUNCTION("""COMPUTED_VALUE"""),"Abdulkadir Mohamed Assfan /ato")</f>
        <v>Abdulkadir Mohamed Assfan /ato</v>
      </c>
      <c r="C191" s="222" t="str">
        <f>IFERROR(__xludf.DUMMYFUNCTION("""COMPUTED_VALUE"""),"አብዱልቃድር መሃመድ አስፋን /አቶ")</f>
        <v>አብዱልቃድር መሃመድ አስፋን /አቶ</v>
      </c>
      <c r="D191" s="222" t="str">
        <f>IFERROR(__xludf.DUMMYFUNCTION("""COMPUTED_VALUE"""),"0913337460
0937823838")</f>
        <v>0913337460
0937823838</v>
      </c>
      <c r="E191" s="222" t="str">
        <f>IFERROR(__xludf.DUMMYFUNCTION("""COMPUTED_VALUE"""),"germen (munic)")</f>
        <v>germen (munic)</v>
      </c>
      <c r="F191" s="222"/>
    </row>
    <row r="192" customHeight="1" spans="1:6">
      <c r="A192" s="6" t="s">
        <v>693</v>
      </c>
      <c r="B192" s="200" t="s">
        <v>694</v>
      </c>
      <c r="C192" s="236" t="s">
        <v>695</v>
      </c>
      <c r="D192" s="194" t="s">
        <v>696</v>
      </c>
      <c r="E192" s="154" t="s">
        <v>104</v>
      </c>
      <c r="F192" s="191"/>
    </row>
    <row r="193" customHeight="1" spans="1:6">
      <c r="A193" s="6" t="s">
        <v>697</v>
      </c>
      <c r="B193" s="223" t="s">
        <v>698</v>
      </c>
      <c r="C193" s="235" t="s">
        <v>699</v>
      </c>
      <c r="D193" s="204" t="s">
        <v>700</v>
      </c>
      <c r="E193" s="204" t="s">
        <v>701</v>
      </c>
      <c r="F193" s="26"/>
    </row>
    <row r="194" customHeight="1" spans="1:6">
      <c r="A194" s="6" t="s">
        <v>702</v>
      </c>
      <c r="B194" s="158" t="s">
        <v>703</v>
      </c>
      <c r="C194" s="202" t="s">
        <v>704</v>
      </c>
      <c r="D194" s="158" t="s">
        <v>705</v>
      </c>
      <c r="E194" s="154" t="s">
        <v>706</v>
      </c>
      <c r="F194" s="180"/>
    </row>
    <row r="195" customHeight="1" spans="1:6">
      <c r="A195" s="6" t="s">
        <v>707</v>
      </c>
      <c r="B195" s="205" t="s">
        <v>708</v>
      </c>
      <c r="C195" s="205" t="s">
        <v>709</v>
      </c>
      <c r="D195" s="206" t="s">
        <v>710</v>
      </c>
      <c r="E195" s="193" t="s">
        <v>120</v>
      </c>
      <c r="F195" s="237" t="s">
        <v>711</v>
      </c>
    </row>
    <row r="196" customHeight="1" spans="1:6">
      <c r="A196" s="6" t="s">
        <v>712</v>
      </c>
      <c r="B196" s="238" t="s">
        <v>713</v>
      </c>
      <c r="C196" s="192" t="s">
        <v>714</v>
      </c>
      <c r="D196" s="194"/>
      <c r="E196" s="193" t="s">
        <v>715</v>
      </c>
      <c r="F196" s="191"/>
    </row>
    <row r="197" customHeight="1" spans="1:6">
      <c r="A197" s="6" t="s">
        <v>716</v>
      </c>
      <c r="B197" s="223" t="s">
        <v>717</v>
      </c>
      <c r="C197" s="223" t="s">
        <v>718</v>
      </c>
      <c r="D197" s="204" t="s">
        <v>719</v>
      </c>
      <c r="E197" s="204" t="s">
        <v>92</v>
      </c>
      <c r="F197" s="204"/>
    </row>
    <row r="198" customHeight="1" spans="1:6">
      <c r="A198" s="6" t="s">
        <v>720</v>
      </c>
      <c r="B198" s="205" t="s">
        <v>721</v>
      </c>
      <c r="C198" s="205" t="s">
        <v>722</v>
      </c>
      <c r="D198" s="206" t="s">
        <v>723</v>
      </c>
      <c r="E198" s="193" t="s">
        <v>120</v>
      </c>
      <c r="F198" s="239"/>
    </row>
    <row r="199" customHeight="1" spans="1:6">
      <c r="A199" s="6" t="s">
        <v>724</v>
      </c>
      <c r="B199" s="200" t="s">
        <v>725</v>
      </c>
      <c r="C199" s="192" t="s">
        <v>726</v>
      </c>
      <c r="D199" s="194" t="s">
        <v>727</v>
      </c>
      <c r="E199" s="194" t="s">
        <v>169</v>
      </c>
      <c r="F199" s="194"/>
    </row>
    <row r="200" customHeight="1" spans="1:6">
      <c r="A200" s="6" t="s">
        <v>728</v>
      </c>
      <c r="B200" s="223" t="s">
        <v>729</v>
      </c>
      <c r="C200" s="223" t="s">
        <v>730</v>
      </c>
      <c r="D200" s="204" t="s">
        <v>731</v>
      </c>
      <c r="E200" s="204" t="s">
        <v>92</v>
      </c>
      <c r="F200" s="204"/>
    </row>
    <row r="201" customHeight="1" spans="1:6">
      <c r="A201" s="6" t="s">
        <v>732</v>
      </c>
      <c r="B201" s="223" t="s">
        <v>733</v>
      </c>
      <c r="C201" s="223" t="s">
        <v>734</v>
      </c>
      <c r="D201" s="204" t="s">
        <v>735</v>
      </c>
      <c r="E201" s="204" t="s">
        <v>92</v>
      </c>
      <c r="F201" s="204"/>
    </row>
    <row r="202" customHeight="1" spans="1:6">
      <c r="A202" s="6" t="s">
        <v>736</v>
      </c>
      <c r="B202" s="201" t="s">
        <v>737</v>
      </c>
      <c r="C202" s="202" t="s">
        <v>738</v>
      </c>
      <c r="D202" s="158">
        <v>986457529</v>
      </c>
      <c r="E202" s="158" t="s">
        <v>32</v>
      </c>
      <c r="F202" s="153"/>
    </row>
    <row r="203" customHeight="1" spans="1:6">
      <c r="A203" s="6" t="s">
        <v>739</v>
      </c>
      <c r="B203" s="223" t="s">
        <v>740</v>
      </c>
      <c r="C203" s="223" t="s">
        <v>741</v>
      </c>
      <c r="D203" s="204" t="s">
        <v>742</v>
      </c>
      <c r="E203" s="204" t="s">
        <v>92</v>
      </c>
      <c r="F203" s="204"/>
    </row>
    <row r="204" customHeight="1" spans="1:6">
      <c r="A204" s="6" t="s">
        <v>743</v>
      </c>
      <c r="B204" s="200" t="s">
        <v>744</v>
      </c>
      <c r="C204" s="202" t="s">
        <v>745</v>
      </c>
      <c r="D204" s="152" t="s">
        <v>746</v>
      </c>
      <c r="E204" s="154" t="s">
        <v>9</v>
      </c>
      <c r="F204" s="180"/>
    </row>
    <row r="205" customHeight="1" spans="1:6">
      <c r="A205" s="6" t="s">
        <v>747</v>
      </c>
      <c r="B205" s="201" t="s">
        <v>748</v>
      </c>
      <c r="C205" s="202" t="s">
        <v>749</v>
      </c>
      <c r="D205" s="154" t="s">
        <v>750</v>
      </c>
      <c r="E205" s="154" t="s">
        <v>479</v>
      </c>
      <c r="F205" s="180"/>
    </row>
    <row r="206" customHeight="1" spans="1:6">
      <c r="A206" s="6" t="s">
        <v>751</v>
      </c>
      <c r="B206" s="205" t="s">
        <v>752</v>
      </c>
      <c r="C206" s="205" t="s">
        <v>753</v>
      </c>
      <c r="D206" s="206" t="s">
        <v>754</v>
      </c>
      <c r="E206" s="193" t="s">
        <v>120</v>
      </c>
      <c r="F206" s="221" t="s">
        <v>755</v>
      </c>
    </row>
    <row r="207" customHeight="1" spans="1:6">
      <c r="A207" s="9" t="s">
        <v>756</v>
      </c>
      <c r="B207" s="225" t="s">
        <v>757</v>
      </c>
      <c r="C207" s="225" t="s">
        <v>758</v>
      </c>
      <c r="D207" s="228" t="s">
        <v>759</v>
      </c>
      <c r="E207" s="229" t="s">
        <v>120</v>
      </c>
      <c r="F207" s="230" t="s">
        <v>760</v>
      </c>
    </row>
    <row r="208" customHeight="1" spans="1:6">
      <c r="A208" s="6" t="s">
        <v>761</v>
      </c>
      <c r="B208" s="205" t="s">
        <v>762</v>
      </c>
      <c r="C208" s="205" t="s">
        <v>763</v>
      </c>
      <c r="D208" s="206" t="s">
        <v>764</v>
      </c>
      <c r="E208" s="193" t="s">
        <v>120</v>
      </c>
      <c r="F208" s="221" t="s">
        <v>765</v>
      </c>
    </row>
    <row r="209" customHeight="1" spans="1:6">
      <c r="A209" s="6" t="s">
        <v>766</v>
      </c>
      <c r="B209" s="201" t="s">
        <v>767</v>
      </c>
      <c r="C209" s="202" t="s">
        <v>768</v>
      </c>
      <c r="D209" s="154" t="s">
        <v>769</v>
      </c>
      <c r="E209" s="154"/>
      <c r="F209" s="180"/>
    </row>
    <row r="210" customHeight="1" spans="1:6">
      <c r="A210" s="6" t="s">
        <v>770</v>
      </c>
      <c r="B210" s="223" t="s">
        <v>771</v>
      </c>
      <c r="C210" s="223" t="s">
        <v>772</v>
      </c>
      <c r="D210" s="204" t="s">
        <v>773</v>
      </c>
      <c r="E210" s="204" t="s">
        <v>92</v>
      </c>
      <c r="F210" s="204"/>
    </row>
    <row r="211" customHeight="1" spans="1:6">
      <c r="A211" s="6" t="s">
        <v>774</v>
      </c>
      <c r="B211" s="153" t="s">
        <v>775</v>
      </c>
      <c r="C211" s="202" t="s">
        <v>776</v>
      </c>
      <c r="D211" s="158">
        <v>992503595</v>
      </c>
      <c r="E211" s="158" t="s">
        <v>32</v>
      </c>
      <c r="F211" s="153"/>
    </row>
    <row r="212" customHeight="1" spans="1:6">
      <c r="A212" s="6" t="s">
        <v>777</v>
      </c>
      <c r="B212" s="200" t="s">
        <v>778</v>
      </c>
      <c r="C212" s="202" t="s">
        <v>779</v>
      </c>
      <c r="D212" s="154">
        <v>974160709</v>
      </c>
      <c r="E212" s="154" t="s">
        <v>9</v>
      </c>
      <c r="F212" s="180"/>
    </row>
    <row r="213" customHeight="1" spans="1:6">
      <c r="A213" s="6" t="s">
        <v>780</v>
      </c>
      <c r="B213" s="214" t="s">
        <v>781</v>
      </c>
      <c r="C213" s="214" t="s">
        <v>782</v>
      </c>
      <c r="D213" s="194"/>
      <c r="E213" s="204" t="s">
        <v>92</v>
      </c>
      <c r="F213" s="204"/>
    </row>
    <row r="214" customHeight="1" spans="1:6">
      <c r="A214" s="6" t="s">
        <v>783</v>
      </c>
      <c r="B214" s="214" t="s">
        <v>784</v>
      </c>
      <c r="C214" s="214" t="s">
        <v>785</v>
      </c>
      <c r="D214" s="194"/>
      <c r="E214" s="204" t="s">
        <v>92</v>
      </c>
      <c r="F214" s="204"/>
    </row>
    <row r="215" customHeight="1" spans="1:6">
      <c r="A215" s="6" t="s">
        <v>786</v>
      </c>
      <c r="B215" s="214" t="s">
        <v>787</v>
      </c>
      <c r="C215" s="214" t="s">
        <v>788</v>
      </c>
      <c r="D215" s="194"/>
      <c r="E215" s="204" t="s">
        <v>92</v>
      </c>
      <c r="F215" s="204"/>
    </row>
    <row r="216" customHeight="1" spans="1:6">
      <c r="A216" s="6" t="s">
        <v>789</v>
      </c>
      <c r="B216" s="201" t="s">
        <v>790</v>
      </c>
      <c r="C216" s="202" t="s">
        <v>791</v>
      </c>
      <c r="D216" s="154" t="s">
        <v>792</v>
      </c>
      <c r="E216" s="154" t="s">
        <v>9</v>
      </c>
      <c r="F216" s="180"/>
    </row>
    <row r="217" customHeight="1" spans="1:6">
      <c r="A217" s="6" t="s">
        <v>793</v>
      </c>
      <c r="B217" s="201" t="s">
        <v>794</v>
      </c>
      <c r="C217" s="202" t="s">
        <v>795</v>
      </c>
      <c r="D217" s="154"/>
      <c r="E217" s="154" t="s">
        <v>479</v>
      </c>
      <c r="F217" s="180"/>
    </row>
    <row r="218" customHeight="1" spans="1:6">
      <c r="A218" s="6" t="s">
        <v>796</v>
      </c>
      <c r="B218" s="214" t="s">
        <v>797</v>
      </c>
      <c r="C218" s="214" t="s">
        <v>798</v>
      </c>
      <c r="D218" s="194"/>
      <c r="E218" s="204" t="s">
        <v>92</v>
      </c>
      <c r="F218" s="204"/>
    </row>
    <row r="219" customHeight="1" spans="1:6">
      <c r="A219" s="6" t="s">
        <v>799</v>
      </c>
      <c r="B219" s="153" t="s">
        <v>800</v>
      </c>
      <c r="C219" s="202" t="s">
        <v>801</v>
      </c>
      <c r="D219" s="158">
        <v>986755539</v>
      </c>
      <c r="E219" s="158" t="s">
        <v>32</v>
      </c>
      <c r="F219" s="153"/>
    </row>
    <row r="220" customHeight="1" spans="1:6">
      <c r="A220" s="6" t="s">
        <v>802</v>
      </c>
      <c r="B220" s="208" t="s">
        <v>803</v>
      </c>
      <c r="C220" s="208" t="s">
        <v>804</v>
      </c>
      <c r="D220" s="194"/>
      <c r="E220" s="204" t="s">
        <v>92</v>
      </c>
      <c r="F220" s="204"/>
    </row>
    <row r="221" customHeight="1" spans="1:6">
      <c r="A221" s="6" t="s">
        <v>805</v>
      </c>
      <c r="B221" s="214" t="s">
        <v>806</v>
      </c>
      <c r="C221" s="214" t="s">
        <v>807</v>
      </c>
      <c r="D221" s="194"/>
      <c r="E221" s="204" t="s">
        <v>92</v>
      </c>
      <c r="F221" s="204"/>
    </row>
    <row r="222" customHeight="1" spans="1:6">
      <c r="A222" s="6" t="s">
        <v>808</v>
      </c>
      <c r="B222" s="215" t="s">
        <v>809</v>
      </c>
      <c r="C222" s="205" t="s">
        <v>810</v>
      </c>
      <c r="D222" s="227" t="s">
        <v>811</v>
      </c>
      <c r="E222" s="193" t="s">
        <v>120</v>
      </c>
      <c r="F222" s="216"/>
    </row>
    <row r="223" customHeight="1" spans="1:6">
      <c r="A223" s="6" t="s">
        <v>812</v>
      </c>
      <c r="B223" s="201" t="s">
        <v>813</v>
      </c>
      <c r="C223" s="202" t="s">
        <v>814</v>
      </c>
      <c r="D223" s="154"/>
      <c r="E223" s="154" t="s">
        <v>479</v>
      </c>
      <c r="F223" s="180"/>
    </row>
    <row r="224" customHeight="1" spans="1:6">
      <c r="A224" s="6" t="s">
        <v>815</v>
      </c>
      <c r="B224" s="153" t="s">
        <v>816</v>
      </c>
      <c r="C224" s="202" t="s">
        <v>817</v>
      </c>
      <c r="D224" s="158"/>
      <c r="E224" s="154" t="s">
        <v>232</v>
      </c>
      <c r="F224" s="180"/>
    </row>
    <row r="225" customHeight="1" spans="1:6">
      <c r="A225" s="6" t="s">
        <v>818</v>
      </c>
      <c r="B225" s="214" t="s">
        <v>819</v>
      </c>
      <c r="C225" s="214" t="s">
        <v>820</v>
      </c>
      <c r="D225" s="194"/>
      <c r="E225" s="204" t="s">
        <v>92</v>
      </c>
      <c r="F225" s="204"/>
    </row>
    <row r="226" customHeight="1" spans="1:6">
      <c r="A226" s="6" t="s">
        <v>821</v>
      </c>
      <c r="B226" s="219" t="s">
        <v>822</v>
      </c>
      <c r="C226" s="219" t="s">
        <v>823</v>
      </c>
      <c r="D226" s="194"/>
      <c r="E226" s="204" t="s">
        <v>92</v>
      </c>
      <c r="F226" s="204"/>
    </row>
    <row r="227" customHeight="1" spans="1:6">
      <c r="A227" s="6" t="s">
        <v>824</v>
      </c>
      <c r="B227" s="223" t="s">
        <v>825</v>
      </c>
      <c r="C227" s="223" t="s">
        <v>826</v>
      </c>
      <c r="D227" s="204" t="s">
        <v>827</v>
      </c>
      <c r="E227" s="204" t="s">
        <v>92</v>
      </c>
      <c r="F227" s="204"/>
    </row>
    <row r="228" customHeight="1" spans="1:6">
      <c r="A228" s="6" t="s">
        <v>828</v>
      </c>
      <c r="B228" s="153" t="s">
        <v>829</v>
      </c>
      <c r="C228" s="202" t="s">
        <v>830</v>
      </c>
      <c r="D228" s="154">
        <v>935654132</v>
      </c>
      <c r="E228" s="210" t="s">
        <v>104</v>
      </c>
      <c r="F228" s="211"/>
    </row>
    <row r="229" customHeight="1" spans="1:6">
      <c r="A229" s="6" t="s">
        <v>831</v>
      </c>
      <c r="B229" s="214" t="s">
        <v>832</v>
      </c>
      <c r="C229" s="214" t="s">
        <v>833</v>
      </c>
      <c r="D229" s="240">
        <v>917808635</v>
      </c>
      <c r="E229" s="204" t="s">
        <v>92</v>
      </c>
      <c r="F229" s="204"/>
    </row>
    <row r="230" customHeight="1" spans="1:6">
      <c r="A230" s="6" t="s">
        <v>834</v>
      </c>
      <c r="B230" s="214" t="s">
        <v>835</v>
      </c>
      <c r="C230" s="214" t="s">
        <v>836</v>
      </c>
      <c r="D230" s="194"/>
      <c r="E230" s="204" t="s">
        <v>92</v>
      </c>
      <c r="F230" s="204"/>
    </row>
    <row r="231" customHeight="1" spans="1:6">
      <c r="A231" s="6" t="s">
        <v>837</v>
      </c>
      <c r="B231" s="223" t="s">
        <v>838</v>
      </c>
      <c r="C231" s="223" t="s">
        <v>839</v>
      </c>
      <c r="D231" s="204" t="s">
        <v>840</v>
      </c>
      <c r="E231" s="204" t="s">
        <v>92</v>
      </c>
      <c r="F231" s="204"/>
    </row>
    <row r="232" customHeight="1" spans="1:6">
      <c r="A232" s="9" t="s">
        <v>841</v>
      </c>
      <c r="B232" s="224" t="s">
        <v>842</v>
      </c>
      <c r="C232" s="225" t="s">
        <v>843</v>
      </c>
      <c r="D232" s="226" t="s">
        <v>844</v>
      </c>
      <c r="E232" s="29" t="s">
        <v>92</v>
      </c>
      <c r="F232" s="29"/>
    </row>
    <row r="233" customHeight="1" spans="1:6">
      <c r="A233" s="6" t="s">
        <v>845</v>
      </c>
      <c r="B233" s="205" t="s">
        <v>846</v>
      </c>
      <c r="C233" s="205" t="s">
        <v>847</v>
      </c>
      <c r="D233" s="206" t="s">
        <v>848</v>
      </c>
      <c r="E233" s="193" t="s">
        <v>120</v>
      </c>
      <c r="F233" s="221" t="s">
        <v>849</v>
      </c>
    </row>
    <row r="234" customHeight="1" spans="1:6">
      <c r="A234" s="6" t="s">
        <v>850</v>
      </c>
      <c r="B234" s="214" t="s">
        <v>851</v>
      </c>
      <c r="C234" s="214" t="s">
        <v>852</v>
      </c>
      <c r="D234" s="194"/>
      <c r="E234" s="204" t="s">
        <v>92</v>
      </c>
      <c r="F234" s="204"/>
    </row>
    <row r="235" customHeight="1" spans="1:6">
      <c r="A235" s="6" t="s">
        <v>853</v>
      </c>
      <c r="B235" s="208" t="s">
        <v>854</v>
      </c>
      <c r="C235" s="208" t="s">
        <v>855</v>
      </c>
      <c r="D235" s="194"/>
      <c r="E235" s="204" t="s">
        <v>92</v>
      </c>
      <c r="F235" s="204"/>
    </row>
    <row r="236" customHeight="1" spans="1:6">
      <c r="A236" s="6" t="s">
        <v>856</v>
      </c>
      <c r="B236" s="222" t="str">
        <f>IFERROR(__xludf.DUMMYFUNCTION("""COMPUTED_VALUE"""),"Abeba Fiseha Alemu /WO")</f>
        <v>Abeba Fiseha Alemu /WO</v>
      </c>
      <c r="C236" s="222" t="str">
        <f>IFERROR(__xludf.DUMMYFUNCTION("""COMPUTED_VALUE"""),"አበባ ፍስሀ አለሙ /ወሮ")</f>
        <v>አበባ ፍስሀ አለሙ /ወሮ</v>
      </c>
      <c r="D236" s="222" t="str">
        <f>IFERROR(__xludf.DUMMYFUNCTION("""COMPUTED_VALUE"""),"921303161")</f>
        <v>921303161</v>
      </c>
      <c r="E236" s="222" t="str">
        <f>IFERROR(__xludf.DUMMYFUNCTION("""COMPUTED_VALUE"""),"A/A")</f>
        <v>A/A</v>
      </c>
      <c r="F236" s="222"/>
    </row>
    <row r="237" customHeight="1" spans="1:6">
      <c r="A237" s="6" t="s">
        <v>857</v>
      </c>
      <c r="B237" s="214" t="s">
        <v>858</v>
      </c>
      <c r="C237" s="214" t="s">
        <v>859</v>
      </c>
      <c r="D237" s="194"/>
      <c r="E237" s="204" t="s">
        <v>92</v>
      </c>
      <c r="F237" s="204"/>
    </row>
    <row r="238" customHeight="1" spans="1:6">
      <c r="A238" s="6" t="s">
        <v>860</v>
      </c>
      <c r="B238" s="223" t="s">
        <v>861</v>
      </c>
      <c r="C238" s="223" t="s">
        <v>862</v>
      </c>
      <c r="D238" s="194"/>
      <c r="E238" s="204" t="s">
        <v>92</v>
      </c>
      <c r="F238" s="204"/>
    </row>
    <row r="239" customHeight="1" spans="1:6">
      <c r="A239" s="6" t="s">
        <v>863</v>
      </c>
      <c r="B239" s="205" t="s">
        <v>864</v>
      </c>
      <c r="C239" s="205" t="s">
        <v>865</v>
      </c>
      <c r="D239" s="206" t="s">
        <v>866</v>
      </c>
      <c r="E239" s="193" t="s">
        <v>120</v>
      </c>
      <c r="F239" s="239"/>
    </row>
    <row r="240" customHeight="1" spans="1:6">
      <c r="A240" s="6" t="s">
        <v>867</v>
      </c>
      <c r="B240" s="160" t="s">
        <v>868</v>
      </c>
      <c r="C240" s="160" t="s">
        <v>869</v>
      </c>
      <c r="D240" s="204" t="s">
        <v>870</v>
      </c>
      <c r="E240" s="204" t="s">
        <v>92</v>
      </c>
      <c r="F240" s="204"/>
    </row>
    <row r="241" customHeight="1" spans="1:6">
      <c r="A241" s="6" t="s">
        <v>871</v>
      </c>
      <c r="B241" s="214" t="s">
        <v>872</v>
      </c>
      <c r="C241" s="214" t="s">
        <v>873</v>
      </c>
      <c r="D241" s="194"/>
      <c r="E241" s="204" t="s">
        <v>92</v>
      </c>
      <c r="F241" s="204"/>
    </row>
    <row r="242" customHeight="1" spans="1:6">
      <c r="A242" s="6" t="s">
        <v>874</v>
      </c>
      <c r="B242" s="214" t="s">
        <v>875</v>
      </c>
      <c r="C242" s="214" t="s">
        <v>876</v>
      </c>
      <c r="D242" s="194"/>
      <c r="E242" s="204" t="s">
        <v>92</v>
      </c>
      <c r="F242" s="204"/>
    </row>
    <row r="243" customHeight="1" spans="1:6">
      <c r="A243" s="6" t="s">
        <v>877</v>
      </c>
      <c r="B243" s="160" t="s">
        <v>878</v>
      </c>
      <c r="C243" s="160" t="s">
        <v>879</v>
      </c>
      <c r="D243" s="204" t="s">
        <v>880</v>
      </c>
      <c r="E243" s="204" t="s">
        <v>92</v>
      </c>
      <c r="F243" s="204"/>
    </row>
    <row r="244" customHeight="1" spans="1:6">
      <c r="A244" s="6" t="s">
        <v>881</v>
      </c>
      <c r="B244" s="166" t="str">
        <f>IFERROR(__xludf.DUMMYFUNCTION("""COMPUTED_VALUE"""),"Abebaw Abebe and Tigist Zeleke")</f>
        <v>Abebaw Abebe and Tigist Zeleke</v>
      </c>
      <c r="C244" s="166" t="str">
        <f>IFERROR(__xludf.DUMMYFUNCTION("""COMPUTED_VALUE"""),"አበባው አበበ እና ትግስት ዘለቀ")</f>
        <v>አበባው አበበ እና ትግስት ዘለቀ</v>
      </c>
      <c r="D244" s="166"/>
      <c r="E244" s="166" t="str">
        <f>IFERROR(__xludf.DUMMYFUNCTION("""COMPUTED_VALUE"""),"Addis Ababa")</f>
        <v>Addis Ababa</v>
      </c>
      <c r="F244" s="166"/>
    </row>
    <row r="245" customHeight="1" spans="1:6">
      <c r="A245" s="6" t="s">
        <v>882</v>
      </c>
      <c r="B245" s="200" t="s">
        <v>883</v>
      </c>
      <c r="C245" s="192" t="s">
        <v>884</v>
      </c>
      <c r="D245" s="194" t="s">
        <v>885</v>
      </c>
      <c r="E245" s="193" t="s">
        <v>310</v>
      </c>
      <c r="F245" s="191"/>
    </row>
    <row r="246" customHeight="1" spans="1:6">
      <c r="A246" s="6" t="s">
        <v>886</v>
      </c>
      <c r="B246" s="200" t="s">
        <v>887</v>
      </c>
      <c r="C246" s="202" t="s">
        <v>888</v>
      </c>
      <c r="D246" s="154"/>
      <c r="E246" s="154" t="s">
        <v>104</v>
      </c>
      <c r="F246" s="180"/>
    </row>
    <row r="247" customHeight="1" spans="1:6">
      <c r="A247" s="6" t="s">
        <v>889</v>
      </c>
      <c r="B247" s="153" t="s">
        <v>890</v>
      </c>
      <c r="C247" s="202" t="s">
        <v>891</v>
      </c>
      <c r="D247" s="152"/>
      <c r="E247" s="154" t="s">
        <v>104</v>
      </c>
      <c r="F247" s="180"/>
    </row>
    <row r="248" customHeight="1" spans="1:6">
      <c r="A248" s="6" t="s">
        <v>892</v>
      </c>
      <c r="B248" s="195" t="s">
        <v>893</v>
      </c>
      <c r="C248" s="212" t="s">
        <v>894</v>
      </c>
      <c r="D248" s="197" t="s">
        <v>895</v>
      </c>
      <c r="E248" s="198" t="s">
        <v>216</v>
      </c>
      <c r="F248" s="199"/>
    </row>
    <row r="249" customHeight="1" spans="1:6">
      <c r="A249" s="6" t="s">
        <v>896</v>
      </c>
      <c r="B249" s="200" t="s">
        <v>897</v>
      </c>
      <c r="C249" s="192" t="s">
        <v>898</v>
      </c>
      <c r="D249" s="194"/>
      <c r="E249" s="194" t="s">
        <v>273</v>
      </c>
      <c r="F249" s="194"/>
    </row>
    <row r="250" customHeight="1" spans="1:6">
      <c r="A250" s="6" t="s">
        <v>899</v>
      </c>
      <c r="B250" s="200" t="s">
        <v>900</v>
      </c>
      <c r="C250" s="192" t="s">
        <v>901</v>
      </c>
      <c r="D250" s="194" t="s">
        <v>902</v>
      </c>
      <c r="E250" s="194" t="s">
        <v>202</v>
      </c>
      <c r="F250" s="194"/>
    </row>
    <row r="251" customHeight="1" spans="1:6">
      <c r="A251" s="6" t="s">
        <v>903</v>
      </c>
      <c r="B251" s="214" t="s">
        <v>904</v>
      </c>
      <c r="C251" s="214" t="s">
        <v>905</v>
      </c>
      <c r="D251" s="194"/>
      <c r="E251" s="204" t="s">
        <v>92</v>
      </c>
      <c r="F251" s="204"/>
    </row>
    <row r="252" customHeight="1" spans="1:6">
      <c r="A252" s="6" t="s">
        <v>906</v>
      </c>
      <c r="B252" s="200" t="s">
        <v>907</v>
      </c>
      <c r="C252" s="236" t="s">
        <v>908</v>
      </c>
      <c r="D252" s="194" t="s">
        <v>909</v>
      </c>
      <c r="E252" s="193" t="s">
        <v>216</v>
      </c>
      <c r="F252" s="191"/>
    </row>
    <row r="253" customHeight="1" spans="1:6">
      <c r="A253" s="6" t="s">
        <v>910</v>
      </c>
      <c r="B253" s="160" t="s">
        <v>911</v>
      </c>
      <c r="C253" s="160" t="s">
        <v>912</v>
      </c>
      <c r="D253" s="204" t="s">
        <v>913</v>
      </c>
      <c r="E253" s="204" t="s">
        <v>92</v>
      </c>
      <c r="F253" s="204"/>
    </row>
    <row r="254" customHeight="1" spans="1:6">
      <c r="A254" s="6" t="s">
        <v>914</v>
      </c>
      <c r="B254" s="153" t="s">
        <v>915</v>
      </c>
      <c r="C254" s="202" t="s">
        <v>916</v>
      </c>
      <c r="D254" s="154"/>
      <c r="E254" s="210" t="s">
        <v>104</v>
      </c>
      <c r="F254" s="211"/>
    </row>
    <row r="255" customHeight="1" spans="1:6">
      <c r="A255" s="6" t="s">
        <v>917</v>
      </c>
      <c r="B255" s="197" t="s">
        <v>918</v>
      </c>
      <c r="C255" s="202" t="s">
        <v>919</v>
      </c>
      <c r="D255" s="158">
        <v>925631951</v>
      </c>
      <c r="E255" s="154" t="s">
        <v>104</v>
      </c>
      <c r="F255" s="180"/>
    </row>
    <row r="256" customHeight="1" spans="1:6">
      <c r="A256" s="6" t="s">
        <v>920</v>
      </c>
      <c r="B256" s="201" t="s">
        <v>921</v>
      </c>
      <c r="C256" s="202" t="s">
        <v>922</v>
      </c>
      <c r="D256" s="154" t="s">
        <v>923</v>
      </c>
      <c r="E256" s="154" t="s">
        <v>58</v>
      </c>
      <c r="F256" s="180"/>
    </row>
    <row r="257" customHeight="1" spans="1:6">
      <c r="A257" s="6" t="s">
        <v>924</v>
      </c>
      <c r="B257" s="195" t="s">
        <v>925</v>
      </c>
      <c r="C257" s="203" t="s">
        <v>926</v>
      </c>
      <c r="D257" s="197"/>
      <c r="E257" s="197" t="s">
        <v>273</v>
      </c>
      <c r="F257" s="197"/>
    </row>
    <row r="258" customHeight="1" spans="1:6">
      <c r="A258" s="6" t="s">
        <v>927</v>
      </c>
      <c r="B258" s="195" t="s">
        <v>928</v>
      </c>
      <c r="C258" s="202" t="s">
        <v>929</v>
      </c>
      <c r="D258" s="152"/>
      <c r="E258" s="154" t="s">
        <v>232</v>
      </c>
      <c r="F258" s="180"/>
    </row>
    <row r="259" customHeight="1" spans="1:6">
      <c r="A259" s="6" t="s">
        <v>930</v>
      </c>
      <c r="B259" s="195" t="s">
        <v>931</v>
      </c>
      <c r="C259" s="202" t="s">
        <v>932</v>
      </c>
      <c r="D259" s="152"/>
      <c r="E259" s="154" t="s">
        <v>232</v>
      </c>
      <c r="F259" s="180"/>
    </row>
    <row r="260" customHeight="1" spans="1:6">
      <c r="A260" s="6" t="s">
        <v>933</v>
      </c>
      <c r="B260" s="195" t="s">
        <v>934</v>
      </c>
      <c r="C260" s="212" t="s">
        <v>935</v>
      </c>
      <c r="D260" s="197" t="s">
        <v>936</v>
      </c>
      <c r="E260" s="197" t="s">
        <v>216</v>
      </c>
      <c r="F260" s="197"/>
    </row>
    <row r="261" customHeight="1" spans="1:6">
      <c r="A261" s="6" t="s">
        <v>937</v>
      </c>
      <c r="B261" s="217" t="s">
        <v>938</v>
      </c>
      <c r="C261" s="202" t="s">
        <v>939</v>
      </c>
      <c r="D261" s="154" t="s">
        <v>940</v>
      </c>
      <c r="E261" s="154" t="s">
        <v>253</v>
      </c>
      <c r="F261" s="180"/>
    </row>
    <row r="262" customHeight="1" spans="1:6">
      <c r="A262" s="6" t="s">
        <v>941</v>
      </c>
      <c r="B262" s="201" t="s">
        <v>942</v>
      </c>
      <c r="C262" s="202" t="s">
        <v>943</v>
      </c>
      <c r="D262" s="154"/>
      <c r="E262" s="154" t="s">
        <v>202</v>
      </c>
      <c r="F262" s="180"/>
    </row>
    <row r="263" customHeight="1" spans="1:6">
      <c r="A263" s="6" t="s">
        <v>944</v>
      </c>
      <c r="B263" s="195" t="s">
        <v>945</v>
      </c>
      <c r="C263" s="196" t="s">
        <v>946</v>
      </c>
      <c r="D263" s="197"/>
      <c r="E263" s="197" t="s">
        <v>273</v>
      </c>
      <c r="F263" s="197"/>
    </row>
    <row r="264" customHeight="1" spans="1:6">
      <c r="A264" s="6" t="s">
        <v>947</v>
      </c>
      <c r="B264" s="195" t="s">
        <v>948</v>
      </c>
      <c r="C264" s="196" t="s">
        <v>949</v>
      </c>
      <c r="D264" s="197" t="s">
        <v>950</v>
      </c>
      <c r="E264" s="198" t="s">
        <v>216</v>
      </c>
      <c r="F264" s="199"/>
    </row>
    <row r="265" customHeight="1" spans="1:6">
      <c r="A265" s="6" t="s">
        <v>951</v>
      </c>
      <c r="B265" s="197" t="s">
        <v>952</v>
      </c>
      <c r="C265" s="196" t="s">
        <v>953</v>
      </c>
      <c r="D265" s="197"/>
      <c r="E265" s="197" t="s">
        <v>202</v>
      </c>
      <c r="F265" s="197"/>
    </row>
    <row r="266" customHeight="1" spans="1:6">
      <c r="A266" s="6" t="s">
        <v>954</v>
      </c>
      <c r="B266" s="197" t="s">
        <v>955</v>
      </c>
      <c r="C266" s="202" t="s">
        <v>956</v>
      </c>
      <c r="D266" s="158">
        <v>918237089</v>
      </c>
      <c r="E266" s="154" t="s">
        <v>104</v>
      </c>
      <c r="F266" s="180"/>
    </row>
    <row r="267" customHeight="1" spans="1:6">
      <c r="A267" s="6" t="s">
        <v>957</v>
      </c>
      <c r="B267" s="197" t="s">
        <v>958</v>
      </c>
      <c r="C267" s="196" t="s">
        <v>959</v>
      </c>
      <c r="D267" s="197" t="s">
        <v>960</v>
      </c>
      <c r="E267" s="197" t="s">
        <v>202</v>
      </c>
      <c r="F267" s="197"/>
    </row>
    <row r="268" customHeight="1" spans="1:6">
      <c r="A268" s="9" t="s">
        <v>961</v>
      </c>
      <c r="B268" s="241" t="s">
        <v>962</v>
      </c>
      <c r="C268" s="242" t="s">
        <v>963</v>
      </c>
      <c r="D268" s="38" t="s">
        <v>964</v>
      </c>
      <c r="E268" s="37" t="s">
        <v>691</v>
      </c>
      <c r="F268" s="37"/>
    </row>
    <row r="269" customHeight="1" spans="1:6">
      <c r="A269" s="6" t="s">
        <v>965</v>
      </c>
      <c r="B269" s="180" t="s">
        <v>966</v>
      </c>
      <c r="C269" s="243" t="s">
        <v>967</v>
      </c>
      <c r="D269" s="154">
        <v>969930335</v>
      </c>
      <c r="E269" s="158" t="s">
        <v>968</v>
      </c>
      <c r="F269" s="153"/>
    </row>
    <row r="270" customHeight="1" spans="1:6">
      <c r="A270" s="6" t="s">
        <v>969</v>
      </c>
      <c r="B270" s="200" t="s">
        <v>970</v>
      </c>
      <c r="C270" s="202" t="s">
        <v>971</v>
      </c>
      <c r="D270" s="154"/>
      <c r="E270" s="154" t="s">
        <v>104</v>
      </c>
      <c r="F270" s="180"/>
    </row>
    <row r="271" customHeight="1" spans="1:6">
      <c r="A271" s="6" t="s">
        <v>972</v>
      </c>
      <c r="B271" s="201" t="s">
        <v>973</v>
      </c>
      <c r="C271" s="202" t="s">
        <v>974</v>
      </c>
      <c r="D271" s="154"/>
      <c r="E271" s="154"/>
      <c r="F271" s="180"/>
    </row>
    <row r="272" customHeight="1" spans="1:6">
      <c r="A272" s="6" t="s">
        <v>975</v>
      </c>
      <c r="B272" s="200" t="s">
        <v>976</v>
      </c>
      <c r="C272" s="192" t="s">
        <v>977</v>
      </c>
      <c r="D272" s="194" t="s">
        <v>978</v>
      </c>
      <c r="E272" s="193" t="s">
        <v>216</v>
      </c>
      <c r="F272" s="191"/>
    </row>
    <row r="273" customHeight="1" spans="1:6">
      <c r="A273" s="6" t="s">
        <v>979</v>
      </c>
      <c r="B273" s="201" t="s">
        <v>980</v>
      </c>
      <c r="C273" s="202" t="s">
        <v>981</v>
      </c>
      <c r="D273" s="154"/>
      <c r="E273" s="154"/>
      <c r="F273" s="180"/>
    </row>
    <row r="274" customHeight="1" spans="1:6">
      <c r="A274" s="6" t="s">
        <v>982</v>
      </c>
      <c r="B274" s="153" t="s">
        <v>983</v>
      </c>
      <c r="C274" s="202" t="s">
        <v>984</v>
      </c>
      <c r="D274" s="153"/>
      <c r="E274" s="180" t="s">
        <v>104</v>
      </c>
      <c r="F274" s="180"/>
    </row>
    <row r="275" customHeight="1" spans="1:6">
      <c r="A275" s="6" t="s">
        <v>985</v>
      </c>
      <c r="B275" s="195" t="s">
        <v>986</v>
      </c>
      <c r="C275" s="196" t="s">
        <v>987</v>
      </c>
      <c r="D275" s="197"/>
      <c r="E275" s="197" t="s">
        <v>988</v>
      </c>
      <c r="F275" s="197"/>
    </row>
    <row r="276" customHeight="1" spans="1:6">
      <c r="A276" s="6" t="s">
        <v>989</v>
      </c>
      <c r="B276" s="205" t="s">
        <v>990</v>
      </c>
      <c r="C276" s="205" t="s">
        <v>991</v>
      </c>
      <c r="D276" s="206" t="s">
        <v>992</v>
      </c>
      <c r="E276" s="193" t="s">
        <v>120</v>
      </c>
      <c r="F276" s="239"/>
    </row>
    <row r="277" customHeight="1" spans="1:6">
      <c r="A277" s="6" t="s">
        <v>993</v>
      </c>
      <c r="B277" s="215" t="s">
        <v>990</v>
      </c>
      <c r="C277" s="205" t="s">
        <v>994</v>
      </c>
      <c r="D277" s="244" t="s">
        <v>992</v>
      </c>
      <c r="E277" s="26" t="s">
        <v>92</v>
      </c>
      <c r="F277" s="26" t="s">
        <v>995</v>
      </c>
    </row>
    <row r="278" customHeight="1" spans="1:6">
      <c r="A278" s="6" t="s">
        <v>996</v>
      </c>
      <c r="B278" s="200" t="s">
        <v>997</v>
      </c>
      <c r="C278" s="202" t="s">
        <v>998</v>
      </c>
      <c r="D278" s="152"/>
      <c r="E278" s="154" t="s">
        <v>104</v>
      </c>
      <c r="F278" s="180"/>
    </row>
    <row r="279" customHeight="1" spans="1:6">
      <c r="A279" s="6" t="s">
        <v>999</v>
      </c>
      <c r="B279" s="195" t="s">
        <v>1000</v>
      </c>
      <c r="C279" s="196" t="s">
        <v>1001</v>
      </c>
      <c r="D279" s="197"/>
      <c r="E279" s="198" t="s">
        <v>216</v>
      </c>
      <c r="F279" s="199"/>
    </row>
    <row r="280" customHeight="1" spans="1:6">
      <c r="A280" s="6" t="s">
        <v>1002</v>
      </c>
      <c r="B280" s="214" t="s">
        <v>1003</v>
      </c>
      <c r="C280" s="214" t="s">
        <v>1004</v>
      </c>
      <c r="D280" s="204" t="s">
        <v>1005</v>
      </c>
      <c r="E280" s="204" t="s">
        <v>92</v>
      </c>
      <c r="F280" s="204"/>
    </row>
    <row r="281" customHeight="1" spans="1:6">
      <c r="A281" s="6" t="s">
        <v>1006</v>
      </c>
      <c r="B281" s="223" t="s">
        <v>1007</v>
      </c>
      <c r="C281" s="223" t="s">
        <v>1008</v>
      </c>
      <c r="D281" s="204" t="s">
        <v>1009</v>
      </c>
      <c r="E281" s="204" t="s">
        <v>92</v>
      </c>
      <c r="F281" s="204"/>
    </row>
    <row r="282" customHeight="1" spans="1:6">
      <c r="A282" s="6" t="s">
        <v>1010</v>
      </c>
      <c r="B282" s="195" t="s">
        <v>1011</v>
      </c>
      <c r="C282" s="202" t="s">
        <v>1012</v>
      </c>
      <c r="D282" s="152" t="s">
        <v>1013</v>
      </c>
      <c r="E282" s="154"/>
      <c r="F282" s="180"/>
    </row>
    <row r="283" customHeight="1" spans="1:6">
      <c r="A283" s="6" t="s">
        <v>1014</v>
      </c>
      <c r="B283" s="201" t="s">
        <v>1015</v>
      </c>
      <c r="C283" s="202" t="s">
        <v>1016</v>
      </c>
      <c r="D283" s="154"/>
      <c r="E283" s="154" t="s">
        <v>202</v>
      </c>
      <c r="F283" s="180"/>
    </row>
    <row r="284" customHeight="1" spans="1:6">
      <c r="A284" s="6" t="s">
        <v>1017</v>
      </c>
      <c r="B284" s="201" t="s">
        <v>1018</v>
      </c>
      <c r="C284" s="202" t="s">
        <v>1019</v>
      </c>
      <c r="D284" s="154" t="s">
        <v>1020</v>
      </c>
      <c r="E284" s="154" t="s">
        <v>243</v>
      </c>
      <c r="F284" s="180"/>
    </row>
    <row r="285" customHeight="1" spans="1:6">
      <c r="A285" s="6" t="s">
        <v>1021</v>
      </c>
      <c r="B285" s="223" t="s">
        <v>1022</v>
      </c>
      <c r="C285" s="223" t="s">
        <v>1023</v>
      </c>
      <c r="D285" s="204" t="s">
        <v>1024</v>
      </c>
      <c r="E285" s="204" t="s">
        <v>92</v>
      </c>
      <c r="F285" s="204"/>
    </row>
    <row r="286" customHeight="1" spans="1:6">
      <c r="A286" s="6" t="s">
        <v>1025</v>
      </c>
      <c r="B286" s="214" t="s">
        <v>1026</v>
      </c>
      <c r="C286" s="214" t="s">
        <v>1027</v>
      </c>
      <c r="D286" s="194"/>
      <c r="E286" s="204" t="s">
        <v>92</v>
      </c>
      <c r="F286" s="204"/>
    </row>
    <row r="287" customHeight="1" spans="1:6">
      <c r="A287" s="6" t="s">
        <v>1028</v>
      </c>
      <c r="B287" s="197" t="s">
        <v>1029</v>
      </c>
      <c r="C287" s="196" t="s">
        <v>1030</v>
      </c>
      <c r="D287" s="197"/>
      <c r="E287" s="197" t="s">
        <v>202</v>
      </c>
      <c r="F287" s="197"/>
    </row>
    <row r="288" customHeight="1" spans="1:6">
      <c r="A288" s="6" t="s">
        <v>1031</v>
      </c>
      <c r="B288" s="160" t="s">
        <v>1032</v>
      </c>
      <c r="C288" s="160" t="s">
        <v>1033</v>
      </c>
      <c r="D288" s="204" t="s">
        <v>1034</v>
      </c>
      <c r="E288" s="204" t="s">
        <v>92</v>
      </c>
      <c r="F288" s="204"/>
    </row>
    <row r="289" customHeight="1" spans="1:6">
      <c r="A289" s="6" t="s">
        <v>1035</v>
      </c>
      <c r="B289" s="214" t="s">
        <v>1036</v>
      </c>
      <c r="C289" s="214" t="s">
        <v>1037</v>
      </c>
      <c r="D289" s="194"/>
      <c r="E289" s="204" t="s">
        <v>92</v>
      </c>
      <c r="F289" s="204"/>
    </row>
    <row r="290" customHeight="1" spans="1:6">
      <c r="A290" s="6" t="s">
        <v>1038</v>
      </c>
      <c r="B290" s="153" t="s">
        <v>1039</v>
      </c>
      <c r="C290" s="202" t="s">
        <v>1040</v>
      </c>
      <c r="D290" s="154"/>
      <c r="E290" s="154" t="s">
        <v>104</v>
      </c>
      <c r="F290" s="180"/>
    </row>
    <row r="291" customHeight="1" spans="1:6">
      <c r="A291" s="6" t="s">
        <v>1041</v>
      </c>
      <c r="B291" s="180" t="s">
        <v>1042</v>
      </c>
      <c r="C291" s="243" t="s">
        <v>1043</v>
      </c>
      <c r="D291" s="154">
        <v>928487593</v>
      </c>
      <c r="E291" s="158" t="s">
        <v>968</v>
      </c>
      <c r="F291" s="153"/>
    </row>
    <row r="292" customHeight="1" spans="1:6">
      <c r="A292" s="6" t="s">
        <v>1044</v>
      </c>
      <c r="B292" s="200" t="s">
        <v>1045</v>
      </c>
      <c r="C292" s="202" t="s">
        <v>1046</v>
      </c>
      <c r="D292" s="152" t="s">
        <v>1047</v>
      </c>
      <c r="E292" s="154" t="s">
        <v>232</v>
      </c>
      <c r="F292" s="180"/>
    </row>
    <row r="293" customHeight="1" spans="1:6">
      <c r="A293" s="6" t="s">
        <v>1048</v>
      </c>
      <c r="B293" s="195" t="s">
        <v>1049</v>
      </c>
      <c r="C293" s="202" t="s">
        <v>1050</v>
      </c>
      <c r="D293" s="152" t="s">
        <v>1051</v>
      </c>
      <c r="E293" s="154" t="s">
        <v>232</v>
      </c>
      <c r="F293" s="180"/>
    </row>
    <row r="294" customHeight="1" spans="1:6">
      <c r="A294" s="6" t="s">
        <v>1052</v>
      </c>
      <c r="B294" s="195" t="s">
        <v>1053</v>
      </c>
      <c r="C294" s="212" t="s">
        <v>1054</v>
      </c>
      <c r="D294" s="197" t="s">
        <v>1055</v>
      </c>
      <c r="E294" s="198" t="s">
        <v>216</v>
      </c>
      <c r="F294" s="199"/>
    </row>
    <row r="295" customHeight="1" spans="1:6">
      <c r="A295" s="6" t="s">
        <v>1056</v>
      </c>
      <c r="B295" s="194" t="s">
        <v>1057</v>
      </c>
      <c r="C295" s="202" t="s">
        <v>1058</v>
      </c>
      <c r="D295" s="158"/>
      <c r="E295" s="154" t="s">
        <v>104</v>
      </c>
      <c r="F295" s="180"/>
    </row>
    <row r="296" customHeight="1" spans="1:6">
      <c r="A296" s="6" t="s">
        <v>1059</v>
      </c>
      <c r="B296" s="197" t="s">
        <v>1060</v>
      </c>
      <c r="C296" s="203" t="s">
        <v>1061</v>
      </c>
      <c r="D296" s="197"/>
      <c r="E296" s="197" t="s">
        <v>273</v>
      </c>
      <c r="F296" s="197"/>
    </row>
    <row r="297" customHeight="1" spans="1:6">
      <c r="A297" s="6" t="s">
        <v>1062</v>
      </c>
      <c r="B297" s="201" t="s">
        <v>1063</v>
      </c>
      <c r="C297" s="202" t="s">
        <v>1064</v>
      </c>
      <c r="D297" s="154"/>
      <c r="E297" s="154"/>
      <c r="F297" s="180"/>
    </row>
    <row r="298" customHeight="1" spans="1:6">
      <c r="A298" s="6" t="s">
        <v>1065</v>
      </c>
      <c r="B298" s="195" t="s">
        <v>1066</v>
      </c>
      <c r="C298" s="202" t="s">
        <v>1067</v>
      </c>
      <c r="D298" s="154">
        <v>919820882</v>
      </c>
      <c r="E298" s="154" t="s">
        <v>104</v>
      </c>
      <c r="F298" s="180"/>
    </row>
    <row r="299" customHeight="1" spans="1:6">
      <c r="A299" s="6" t="s">
        <v>1068</v>
      </c>
      <c r="B299" s="195" t="s">
        <v>1069</v>
      </c>
      <c r="C299" s="202" t="s">
        <v>1070</v>
      </c>
      <c r="D299" s="152"/>
      <c r="E299" s="154" t="s">
        <v>181</v>
      </c>
      <c r="F299" s="180"/>
    </row>
    <row r="300" customHeight="1" spans="1:6">
      <c r="A300" s="6" t="s">
        <v>1071</v>
      </c>
      <c r="B300" s="195" t="s">
        <v>1072</v>
      </c>
      <c r="C300" s="212" t="s">
        <v>1073</v>
      </c>
      <c r="D300" s="197" t="s">
        <v>1074</v>
      </c>
      <c r="E300" s="198" t="s">
        <v>216</v>
      </c>
      <c r="F300" s="199"/>
    </row>
    <row r="301" customHeight="1" spans="1:6">
      <c r="A301" s="6" t="s">
        <v>1075</v>
      </c>
      <c r="B301" s="153" t="s">
        <v>1076</v>
      </c>
      <c r="C301" s="202" t="s">
        <v>1077</v>
      </c>
      <c r="D301" s="154"/>
      <c r="E301" s="154" t="s">
        <v>243</v>
      </c>
      <c r="F301" s="180"/>
    </row>
    <row r="302" customHeight="1" spans="1:6">
      <c r="A302" s="6" t="s">
        <v>1078</v>
      </c>
      <c r="B302" s="153" t="s">
        <v>1079</v>
      </c>
      <c r="C302" s="245" t="s">
        <v>1077</v>
      </c>
      <c r="D302" s="158" t="s">
        <v>1080</v>
      </c>
      <c r="E302" s="158" t="s">
        <v>243</v>
      </c>
      <c r="F302" s="158"/>
    </row>
    <row r="303" customHeight="1" spans="1:6">
      <c r="A303" s="6" t="s">
        <v>1081</v>
      </c>
      <c r="B303" s="217" t="s">
        <v>1082</v>
      </c>
      <c r="C303" s="202" t="s">
        <v>1083</v>
      </c>
      <c r="D303" s="154"/>
      <c r="E303" s="154" t="s">
        <v>181</v>
      </c>
      <c r="F303" s="180"/>
    </row>
    <row r="304" customHeight="1" spans="1:6">
      <c r="A304" s="6" t="s">
        <v>1084</v>
      </c>
      <c r="B304" s="195" t="s">
        <v>1085</v>
      </c>
      <c r="C304" s="202" t="s">
        <v>1086</v>
      </c>
      <c r="D304" s="152" t="s">
        <v>1087</v>
      </c>
      <c r="E304" s="154"/>
      <c r="F304" s="180"/>
    </row>
    <row r="305" customHeight="1" spans="1:6">
      <c r="A305" s="6" t="s">
        <v>1088</v>
      </c>
      <c r="B305" s="200" t="s">
        <v>1089</v>
      </c>
      <c r="C305" s="246" t="s">
        <v>1090</v>
      </c>
      <c r="D305" s="194"/>
      <c r="E305" s="194" t="s">
        <v>202</v>
      </c>
      <c r="F305" s="194"/>
    </row>
    <row r="306" customHeight="1" spans="1:6">
      <c r="A306" s="6" t="s">
        <v>1091</v>
      </c>
      <c r="B306" s="195" t="s">
        <v>1092</v>
      </c>
      <c r="C306" s="212" t="s">
        <v>1093</v>
      </c>
      <c r="D306" s="197" t="s">
        <v>1094</v>
      </c>
      <c r="E306" s="198" t="s">
        <v>216</v>
      </c>
      <c r="F306" s="199"/>
    </row>
    <row r="307" customHeight="1" spans="1:6">
      <c r="A307" s="6" t="s">
        <v>1095</v>
      </c>
      <c r="B307" s="200" t="s">
        <v>1096</v>
      </c>
      <c r="C307" s="202" t="s">
        <v>1097</v>
      </c>
      <c r="D307" s="158" t="s">
        <v>1098</v>
      </c>
      <c r="E307" s="154" t="s">
        <v>253</v>
      </c>
      <c r="F307" s="180"/>
    </row>
    <row r="308" customHeight="1" spans="1:6">
      <c r="A308" s="6" t="s">
        <v>1099</v>
      </c>
      <c r="B308" s="200" t="s">
        <v>1100</v>
      </c>
      <c r="C308" s="192" t="s">
        <v>1101</v>
      </c>
      <c r="D308" s="194" t="s">
        <v>1102</v>
      </c>
      <c r="E308" s="193" t="s">
        <v>216</v>
      </c>
      <c r="F308" s="191"/>
    </row>
    <row r="309" customHeight="1" spans="1:6">
      <c r="A309" s="6" t="s">
        <v>1103</v>
      </c>
      <c r="B309" s="214" t="s">
        <v>1104</v>
      </c>
      <c r="C309" s="214" t="s">
        <v>1105</v>
      </c>
      <c r="D309" s="204" t="s">
        <v>1106</v>
      </c>
      <c r="E309" s="204" t="s">
        <v>92</v>
      </c>
      <c r="F309" s="204"/>
    </row>
    <row r="310" customHeight="1" spans="1:6">
      <c r="A310" s="6" t="s">
        <v>1107</v>
      </c>
      <c r="B310" s="153" t="s">
        <v>1108</v>
      </c>
      <c r="C310" s="202" t="s">
        <v>1109</v>
      </c>
      <c r="D310" s="154"/>
      <c r="E310" s="154" t="s">
        <v>243</v>
      </c>
      <c r="F310" s="180"/>
    </row>
    <row r="311" customHeight="1" spans="1:6">
      <c r="A311" s="6" t="s">
        <v>1110</v>
      </c>
      <c r="B311" s="195" t="s">
        <v>1111</v>
      </c>
      <c r="C311" s="196" t="s">
        <v>1112</v>
      </c>
      <c r="D311" s="197" t="s">
        <v>1113</v>
      </c>
      <c r="E311" s="197" t="s">
        <v>211</v>
      </c>
      <c r="F311" s="197"/>
    </row>
    <row r="312" customHeight="1" spans="1:6">
      <c r="A312" s="6" t="s">
        <v>1114</v>
      </c>
      <c r="B312" s="201" t="s">
        <v>1115</v>
      </c>
      <c r="C312" s="202" t="s">
        <v>1116</v>
      </c>
      <c r="D312" s="154" t="s">
        <v>1117</v>
      </c>
      <c r="E312" s="210" t="s">
        <v>104</v>
      </c>
      <c r="F312" s="211"/>
    </row>
    <row r="313" customHeight="1" spans="1:6">
      <c r="A313" s="6" t="s">
        <v>1118</v>
      </c>
      <c r="B313" s="195" t="s">
        <v>1119</v>
      </c>
      <c r="C313" s="202" t="s">
        <v>1120</v>
      </c>
      <c r="D313" s="152" t="s">
        <v>1121</v>
      </c>
      <c r="E313" s="154" t="s">
        <v>232</v>
      </c>
      <c r="F313" s="180"/>
    </row>
    <row r="314" customHeight="1" spans="1:6">
      <c r="A314" s="6" t="s">
        <v>1122</v>
      </c>
      <c r="B314" s="195" t="s">
        <v>1123</v>
      </c>
      <c r="C314" s="202" t="s">
        <v>1124</v>
      </c>
      <c r="D314" s="152"/>
      <c r="E314" s="154" t="s">
        <v>232</v>
      </c>
      <c r="F314" s="180"/>
    </row>
    <row r="315" customHeight="1" spans="1:6">
      <c r="A315" s="6" t="s">
        <v>1125</v>
      </c>
      <c r="B315" s="223" t="s">
        <v>1126</v>
      </c>
      <c r="C315" s="223" t="s">
        <v>1127</v>
      </c>
      <c r="D315" s="204" t="s">
        <v>1128</v>
      </c>
      <c r="E315" s="204" t="s">
        <v>92</v>
      </c>
      <c r="F315" s="204"/>
    </row>
    <row r="316" customHeight="1" spans="1:6">
      <c r="A316" s="6" t="s">
        <v>1129</v>
      </c>
      <c r="B316" s="195" t="s">
        <v>1130</v>
      </c>
      <c r="C316" s="202" t="s">
        <v>1131</v>
      </c>
      <c r="D316" s="154" t="s">
        <v>1132</v>
      </c>
      <c r="E316" s="154" t="s">
        <v>253</v>
      </c>
      <c r="F316" s="180"/>
    </row>
    <row r="317" customHeight="1" spans="1:6">
      <c r="A317" s="6" t="s">
        <v>1133</v>
      </c>
      <c r="B317" s="197" t="s">
        <v>1134</v>
      </c>
      <c r="C317" s="203" t="s">
        <v>1135</v>
      </c>
      <c r="D317" s="197"/>
      <c r="E317" s="197" t="s">
        <v>253</v>
      </c>
      <c r="F317" s="197"/>
    </row>
    <row r="318" customHeight="1" spans="1:6">
      <c r="A318" s="6" t="s">
        <v>1136</v>
      </c>
      <c r="B318" s="195" t="s">
        <v>1137</v>
      </c>
      <c r="C318" s="203" t="s">
        <v>1138</v>
      </c>
      <c r="D318" s="197" t="s">
        <v>1139</v>
      </c>
      <c r="E318" s="197" t="s">
        <v>273</v>
      </c>
      <c r="F318" s="197"/>
    </row>
    <row r="319" customHeight="1" spans="1:6">
      <c r="A319" s="6" t="s">
        <v>1140</v>
      </c>
      <c r="B319" s="195" t="s">
        <v>1141</v>
      </c>
      <c r="C319" s="202" t="s">
        <v>1142</v>
      </c>
      <c r="D319" s="152" t="s">
        <v>1143</v>
      </c>
      <c r="E319" s="154" t="s">
        <v>479</v>
      </c>
      <c r="F319" s="180"/>
    </row>
    <row r="320" customHeight="1" spans="1:6">
      <c r="A320" s="6" t="s">
        <v>1144</v>
      </c>
      <c r="B320" s="201" t="s">
        <v>1145</v>
      </c>
      <c r="C320" s="202" t="s">
        <v>1146</v>
      </c>
      <c r="D320" s="154"/>
      <c r="E320" s="154" t="s">
        <v>58</v>
      </c>
      <c r="F320" s="180"/>
    </row>
    <row r="321" customHeight="1" spans="1:6">
      <c r="A321" s="6" t="s">
        <v>1147</v>
      </c>
      <c r="B321" s="200" t="s">
        <v>1148</v>
      </c>
      <c r="C321" s="236" t="s">
        <v>1149</v>
      </c>
      <c r="D321" s="194"/>
      <c r="E321" s="193" t="s">
        <v>202</v>
      </c>
      <c r="F321" s="191"/>
    </row>
    <row r="322" customHeight="1" spans="1:6">
      <c r="A322" s="6" t="s">
        <v>1150</v>
      </c>
      <c r="B322" s="158" t="s">
        <v>1151</v>
      </c>
      <c r="C322" s="202" t="s">
        <v>1152</v>
      </c>
      <c r="D322" s="158"/>
      <c r="E322" s="154" t="s">
        <v>104</v>
      </c>
      <c r="F322" s="180"/>
    </row>
    <row r="323" customHeight="1" spans="1:6">
      <c r="A323" s="6" t="s">
        <v>1153</v>
      </c>
      <c r="B323" s="201" t="s">
        <v>1154</v>
      </c>
      <c r="C323" s="202" t="s">
        <v>1155</v>
      </c>
      <c r="D323" s="154" t="s">
        <v>1156</v>
      </c>
      <c r="E323" s="154" t="s">
        <v>243</v>
      </c>
      <c r="F323" s="180"/>
    </row>
    <row r="324" customHeight="1" spans="1:6">
      <c r="A324" s="6" t="s">
        <v>1157</v>
      </c>
      <c r="B324" s="223" t="s">
        <v>1158</v>
      </c>
      <c r="C324" s="223" t="s">
        <v>1159</v>
      </c>
      <c r="D324" s="204" t="s">
        <v>1160</v>
      </c>
      <c r="E324" s="204" t="s">
        <v>92</v>
      </c>
      <c r="F324" s="204"/>
    </row>
    <row r="325" customHeight="1" spans="1:6">
      <c r="A325" s="6" t="s">
        <v>1161</v>
      </c>
      <c r="B325" s="238" t="s">
        <v>1162</v>
      </c>
      <c r="C325" s="202" t="s">
        <v>1163</v>
      </c>
      <c r="D325" s="154"/>
      <c r="E325" s="154" t="s">
        <v>181</v>
      </c>
      <c r="F325" s="180"/>
    </row>
    <row r="326" customHeight="1" spans="1:6">
      <c r="A326" s="6" t="s">
        <v>1164</v>
      </c>
      <c r="B326" s="195" t="s">
        <v>1165</v>
      </c>
      <c r="C326" s="212" t="s">
        <v>1166</v>
      </c>
      <c r="D326" s="197" t="s">
        <v>1167</v>
      </c>
      <c r="E326" s="154" t="s">
        <v>104</v>
      </c>
      <c r="F326" s="199"/>
    </row>
    <row r="327" customHeight="1" spans="1:6">
      <c r="A327" s="6" t="s">
        <v>1168</v>
      </c>
      <c r="B327" s="195" t="s">
        <v>1169</v>
      </c>
      <c r="C327" s="202" t="s">
        <v>1170</v>
      </c>
      <c r="D327" s="152" t="s">
        <v>1171</v>
      </c>
      <c r="E327" s="154" t="s">
        <v>232</v>
      </c>
      <c r="F327" s="180"/>
    </row>
    <row r="328" customHeight="1" spans="1:6">
      <c r="A328" s="6" t="s">
        <v>1172</v>
      </c>
      <c r="B328" s="160" t="s">
        <v>1173</v>
      </c>
      <c r="C328" s="160" t="s">
        <v>1174</v>
      </c>
      <c r="D328" s="204" t="s">
        <v>1175</v>
      </c>
      <c r="E328" s="204" t="s">
        <v>92</v>
      </c>
      <c r="F328" s="204"/>
    </row>
    <row r="329" customHeight="1" spans="1:6">
      <c r="A329" s="6" t="s">
        <v>1176</v>
      </c>
      <c r="B329" s="201" t="s">
        <v>1177</v>
      </c>
      <c r="C329" s="202" t="s">
        <v>1178</v>
      </c>
      <c r="D329" s="154" t="s">
        <v>1179</v>
      </c>
      <c r="E329" s="154" t="s">
        <v>211</v>
      </c>
      <c r="F329" s="180"/>
    </row>
    <row r="330" customHeight="1" spans="1:6">
      <c r="A330" s="6" t="s">
        <v>1180</v>
      </c>
      <c r="B330" s="225" t="s">
        <v>1181</v>
      </c>
      <c r="C330" s="225" t="s">
        <v>1182</v>
      </c>
      <c r="D330" s="228" t="s">
        <v>1183</v>
      </c>
      <c r="E330" s="229" t="s">
        <v>120</v>
      </c>
      <c r="F330" s="247" t="s">
        <v>1184</v>
      </c>
    </row>
    <row r="331" customHeight="1" spans="1:6">
      <c r="A331" s="6" t="s">
        <v>1185</v>
      </c>
      <c r="B331" s="201" t="s">
        <v>1186</v>
      </c>
      <c r="C331" s="202" t="s">
        <v>1187</v>
      </c>
      <c r="D331" s="154"/>
      <c r="E331" s="154"/>
      <c r="F331" s="180"/>
    </row>
    <row r="332" customHeight="1" spans="1:6">
      <c r="A332" s="6" t="s">
        <v>1188</v>
      </c>
      <c r="B332" s="194" t="s">
        <v>1189</v>
      </c>
      <c r="C332" s="202" t="s">
        <v>1190</v>
      </c>
      <c r="D332" s="248" t="s">
        <v>1191</v>
      </c>
      <c r="E332" s="154" t="s">
        <v>104</v>
      </c>
      <c r="F332" s="180"/>
    </row>
    <row r="333" customHeight="1" spans="1:6">
      <c r="A333" s="6" t="s">
        <v>1192</v>
      </c>
      <c r="B333" s="214" t="s">
        <v>1193</v>
      </c>
      <c r="C333" s="214" t="s">
        <v>1194</v>
      </c>
      <c r="D333" s="194"/>
      <c r="E333" s="204" t="s">
        <v>92</v>
      </c>
      <c r="F333" s="204"/>
    </row>
    <row r="334" customHeight="1" spans="1:6">
      <c r="A334" s="6" t="s">
        <v>1195</v>
      </c>
      <c r="B334" s="201" t="s">
        <v>1196</v>
      </c>
      <c r="C334" s="202" t="s">
        <v>1197</v>
      </c>
      <c r="D334" s="154" t="s">
        <v>1198</v>
      </c>
      <c r="E334" s="154" t="s">
        <v>211</v>
      </c>
      <c r="F334" s="180"/>
    </row>
    <row r="335" customHeight="1" spans="1:6">
      <c r="A335" s="6" t="s">
        <v>1199</v>
      </c>
      <c r="B335" s="195" t="s">
        <v>1200</v>
      </c>
      <c r="C335" s="202" t="s">
        <v>1201</v>
      </c>
      <c r="D335" s="152" t="s">
        <v>1202</v>
      </c>
      <c r="E335" s="154" t="s">
        <v>243</v>
      </c>
      <c r="F335" s="180"/>
    </row>
    <row r="336" customHeight="1" spans="1:6">
      <c r="A336" s="6" t="s">
        <v>1203</v>
      </c>
      <c r="B336" s="195" t="s">
        <v>1204</v>
      </c>
      <c r="C336" s="202" t="s">
        <v>1205</v>
      </c>
      <c r="D336" s="152"/>
      <c r="E336" s="154" t="s">
        <v>232</v>
      </c>
      <c r="F336" s="180"/>
    </row>
    <row r="337" customHeight="1" spans="1:6">
      <c r="A337" s="6" t="s">
        <v>1206</v>
      </c>
      <c r="B337" s="200" t="s">
        <v>1207</v>
      </c>
      <c r="C337" s="236" t="s">
        <v>1208</v>
      </c>
      <c r="D337" s="194" t="s">
        <v>1209</v>
      </c>
      <c r="E337" s="154" t="s">
        <v>104</v>
      </c>
      <c r="F337" s="191"/>
    </row>
    <row r="338" customHeight="1" spans="1:6">
      <c r="A338" s="6" t="s">
        <v>1210</v>
      </c>
      <c r="B338" s="201" t="s">
        <v>1211</v>
      </c>
      <c r="C338" s="202" t="s">
        <v>1212</v>
      </c>
      <c r="D338" s="154" t="s">
        <v>1213</v>
      </c>
      <c r="E338" s="154" t="s">
        <v>211</v>
      </c>
      <c r="F338" s="180"/>
    </row>
    <row r="339" customHeight="1" spans="1:6">
      <c r="A339" s="6" t="s">
        <v>1214</v>
      </c>
      <c r="B339" s="217" t="s">
        <v>1215</v>
      </c>
      <c r="C339" s="202" t="s">
        <v>1216</v>
      </c>
      <c r="D339" s="341" t="s">
        <v>1217</v>
      </c>
      <c r="E339" s="154" t="s">
        <v>1218</v>
      </c>
      <c r="F339" s="180"/>
    </row>
    <row r="340" customHeight="1" spans="1:6">
      <c r="A340" s="6" t="s">
        <v>1219</v>
      </c>
      <c r="B340" s="201" t="s">
        <v>1220</v>
      </c>
      <c r="C340" s="202" t="s">
        <v>1221</v>
      </c>
      <c r="D340" s="154" t="s">
        <v>1222</v>
      </c>
      <c r="E340" s="154" t="s">
        <v>243</v>
      </c>
      <c r="F340" s="180"/>
    </row>
    <row r="341" customHeight="1" spans="1:6">
      <c r="A341" s="6" t="s">
        <v>1223</v>
      </c>
      <c r="B341" s="214" t="s">
        <v>1224</v>
      </c>
      <c r="C341" s="214" t="s">
        <v>1225</v>
      </c>
      <c r="D341" s="240">
        <v>911984720</v>
      </c>
      <c r="E341" s="204" t="s">
        <v>92</v>
      </c>
      <c r="F341" s="204"/>
    </row>
    <row r="342" customHeight="1" spans="1:6">
      <c r="A342" s="6" t="s">
        <v>1226</v>
      </c>
      <c r="B342" s="200" t="s">
        <v>1227</v>
      </c>
      <c r="C342" s="202" t="s">
        <v>1228</v>
      </c>
      <c r="D342" s="152"/>
      <c r="E342" s="154" t="s">
        <v>232</v>
      </c>
      <c r="F342" s="180"/>
    </row>
    <row r="343" customHeight="1" spans="1:6">
      <c r="A343" s="6" t="s">
        <v>1229</v>
      </c>
      <c r="B343" s="195" t="s">
        <v>1230</v>
      </c>
      <c r="C343" s="202" t="s">
        <v>1231</v>
      </c>
      <c r="D343" s="152"/>
      <c r="E343" s="154" t="s">
        <v>232</v>
      </c>
      <c r="F343" s="180"/>
    </row>
    <row r="344" customHeight="1" spans="1:6">
      <c r="A344" s="6" t="s">
        <v>1232</v>
      </c>
      <c r="B344" s="160" t="s">
        <v>1233</v>
      </c>
      <c r="C344" s="160" t="s">
        <v>1234</v>
      </c>
      <c r="D344" s="204" t="s">
        <v>1235</v>
      </c>
      <c r="E344" s="204" t="s">
        <v>92</v>
      </c>
      <c r="F344" s="204"/>
    </row>
    <row r="345" customHeight="1" spans="1:6">
      <c r="A345" s="6" t="s">
        <v>1236</v>
      </c>
      <c r="B345" s="200" t="s">
        <v>1237</v>
      </c>
      <c r="C345" s="202" t="s">
        <v>1238</v>
      </c>
      <c r="D345" s="152"/>
      <c r="E345" s="154" t="s">
        <v>211</v>
      </c>
      <c r="F345" s="180"/>
    </row>
    <row r="346" customHeight="1" spans="1:6">
      <c r="A346" s="6" t="s">
        <v>1239</v>
      </c>
      <c r="B346" s="201" t="s">
        <v>1240</v>
      </c>
      <c r="C346" s="202" t="s">
        <v>1241</v>
      </c>
      <c r="D346" s="154">
        <v>916883156</v>
      </c>
      <c r="E346" s="154" t="s">
        <v>211</v>
      </c>
      <c r="F346" s="180"/>
    </row>
    <row r="347" customHeight="1" spans="1:6">
      <c r="A347" s="6" t="s">
        <v>1242</v>
      </c>
      <c r="B347" s="214" t="s">
        <v>1243</v>
      </c>
      <c r="C347" s="249" t="s">
        <v>1244</v>
      </c>
      <c r="D347" s="194"/>
      <c r="E347" s="204" t="s">
        <v>92</v>
      </c>
      <c r="F347" s="204"/>
    </row>
    <row r="348" customHeight="1" spans="1:6">
      <c r="A348" s="6" t="s">
        <v>1245</v>
      </c>
      <c r="B348" s="200" t="s">
        <v>1246</v>
      </c>
      <c r="C348" s="202" t="s">
        <v>1247</v>
      </c>
      <c r="D348" s="152"/>
      <c r="E348" s="154" t="s">
        <v>232</v>
      </c>
      <c r="F348" s="180"/>
    </row>
    <row r="349" customHeight="1" spans="1:6">
      <c r="A349" s="6" t="s">
        <v>1248</v>
      </c>
      <c r="B349" s="214" t="s">
        <v>1249</v>
      </c>
      <c r="C349" s="214" t="s">
        <v>1250</v>
      </c>
      <c r="D349" s="194"/>
      <c r="E349" s="204" t="s">
        <v>92</v>
      </c>
      <c r="F349" s="204"/>
    </row>
    <row r="350" customHeight="1" spans="1:6">
      <c r="A350" s="6" t="s">
        <v>1251</v>
      </c>
      <c r="B350" s="195" t="s">
        <v>1252</v>
      </c>
      <c r="C350" s="202" t="s">
        <v>1253</v>
      </c>
      <c r="D350" s="152"/>
      <c r="E350" s="154" t="s">
        <v>104</v>
      </c>
      <c r="F350" s="180"/>
    </row>
    <row r="351" customHeight="1" spans="1:6">
      <c r="A351" s="6" t="s">
        <v>1254</v>
      </c>
      <c r="B351" s="200" t="s">
        <v>1255</v>
      </c>
      <c r="C351" s="192" t="s">
        <v>1256</v>
      </c>
      <c r="D351" s="194"/>
      <c r="E351" s="193" t="s">
        <v>202</v>
      </c>
      <c r="F351" s="191"/>
    </row>
    <row r="352" customHeight="1" spans="1:6">
      <c r="A352" s="6" t="s">
        <v>1257</v>
      </c>
      <c r="B352" s="201" t="s">
        <v>1258</v>
      </c>
      <c r="C352" s="202" t="s">
        <v>1259</v>
      </c>
      <c r="D352" s="154" t="s">
        <v>1260</v>
      </c>
      <c r="E352" s="154" t="s">
        <v>58</v>
      </c>
      <c r="F352" s="180"/>
    </row>
    <row r="353" customHeight="1" spans="1:6">
      <c r="A353" s="6" t="s">
        <v>1261</v>
      </c>
      <c r="B353" s="214" t="s">
        <v>1262</v>
      </c>
      <c r="C353" s="214" t="s">
        <v>1263</v>
      </c>
      <c r="D353" s="194"/>
      <c r="E353" s="204" t="s">
        <v>92</v>
      </c>
      <c r="F353" s="204"/>
    </row>
    <row r="354" customHeight="1" spans="1:6">
      <c r="A354" s="6" t="s">
        <v>1264</v>
      </c>
      <c r="B354" s="197" t="s">
        <v>1265</v>
      </c>
      <c r="C354" s="202" t="s">
        <v>1266</v>
      </c>
      <c r="D354" s="158">
        <v>926358490</v>
      </c>
      <c r="E354" s="158" t="s">
        <v>1218</v>
      </c>
      <c r="F354" s="153"/>
    </row>
    <row r="355" customHeight="1" spans="1:6">
      <c r="A355" s="6" t="s">
        <v>1267</v>
      </c>
      <c r="B355" s="200" t="s">
        <v>1268</v>
      </c>
      <c r="C355" s="202" t="s">
        <v>1269</v>
      </c>
      <c r="D355" s="152"/>
      <c r="E355" s="154" t="s">
        <v>232</v>
      </c>
      <c r="F355" s="180"/>
    </row>
    <row r="356" customHeight="1" spans="1:6">
      <c r="A356" s="6" t="s">
        <v>1270</v>
      </c>
      <c r="B356" s="201" t="s">
        <v>1271</v>
      </c>
      <c r="C356" s="202" t="s">
        <v>1272</v>
      </c>
      <c r="D356" s="154"/>
      <c r="E356" s="154" t="s">
        <v>243</v>
      </c>
      <c r="F356" s="180"/>
    </row>
    <row r="357" customHeight="1" spans="1:6">
      <c r="A357" s="6" t="s">
        <v>1273</v>
      </c>
      <c r="B357" s="153" t="s">
        <v>1274</v>
      </c>
      <c r="C357" s="202" t="s">
        <v>1275</v>
      </c>
      <c r="D357" s="154" t="s">
        <v>1276</v>
      </c>
      <c r="E357" s="154"/>
      <c r="F357" s="180"/>
    </row>
    <row r="358" customHeight="1" spans="1:6">
      <c r="A358" s="6" t="s">
        <v>1277</v>
      </c>
      <c r="B358" s="191" t="s">
        <v>1278</v>
      </c>
      <c r="C358" s="192" t="s">
        <v>1279</v>
      </c>
      <c r="D358" s="193" t="s">
        <v>1280</v>
      </c>
      <c r="E358" s="194" t="s">
        <v>1281</v>
      </c>
      <c r="F358" s="194"/>
    </row>
    <row r="359" customHeight="1" spans="1:6">
      <c r="A359" s="6" t="s">
        <v>1282</v>
      </c>
      <c r="B359" s="215" t="s">
        <v>1283</v>
      </c>
      <c r="C359" s="205" t="s">
        <v>1284</v>
      </c>
      <c r="D359" s="206" t="s">
        <v>1285</v>
      </c>
      <c r="E359" s="193" t="s">
        <v>120</v>
      </c>
      <c r="F359" s="221" t="s">
        <v>1286</v>
      </c>
    </row>
    <row r="360" customHeight="1" spans="1:6">
      <c r="A360" s="6" t="s">
        <v>1287</v>
      </c>
      <c r="B360" s="200" t="s">
        <v>1288</v>
      </c>
      <c r="C360" s="192" t="s">
        <v>1289</v>
      </c>
      <c r="D360" s="194" t="s">
        <v>1290</v>
      </c>
      <c r="E360" s="194" t="s">
        <v>202</v>
      </c>
      <c r="F360" s="194"/>
    </row>
    <row r="361" customHeight="1" spans="1:6">
      <c r="A361" s="6" t="s">
        <v>1291</v>
      </c>
      <c r="B361" s="195" t="s">
        <v>1292</v>
      </c>
      <c r="C361" s="202" t="s">
        <v>1293</v>
      </c>
      <c r="D361" s="152"/>
      <c r="E361" s="154" t="s">
        <v>104</v>
      </c>
      <c r="F361" s="180"/>
    </row>
    <row r="362" customHeight="1" spans="1:6">
      <c r="A362" s="6" t="s">
        <v>1294</v>
      </c>
      <c r="B362" s="197" t="s">
        <v>1295</v>
      </c>
      <c r="C362" s="196" t="s">
        <v>1296</v>
      </c>
      <c r="D362" s="197"/>
      <c r="E362" s="198" t="s">
        <v>202</v>
      </c>
      <c r="F362" s="199"/>
    </row>
    <row r="363" customHeight="1" spans="1:6">
      <c r="A363" s="6" t="s">
        <v>1297</v>
      </c>
      <c r="B363" s="205" t="s">
        <v>1298</v>
      </c>
      <c r="C363" s="205" t="s">
        <v>1299</v>
      </c>
      <c r="D363" s="206" t="s">
        <v>1300</v>
      </c>
      <c r="E363" s="193" t="s">
        <v>120</v>
      </c>
      <c r="F363" s="221" t="s">
        <v>1301</v>
      </c>
    </row>
    <row r="364" customHeight="1" spans="1:6">
      <c r="A364" s="6" t="s">
        <v>1302</v>
      </c>
      <c r="B364" s="201" t="s">
        <v>1303</v>
      </c>
      <c r="C364" s="202" t="s">
        <v>1304</v>
      </c>
      <c r="D364" s="154" t="s">
        <v>1305</v>
      </c>
      <c r="E364" s="154" t="s">
        <v>58</v>
      </c>
      <c r="F364" s="180"/>
    </row>
    <row r="365" customHeight="1" spans="1:6">
      <c r="A365" s="6" t="s">
        <v>1306</v>
      </c>
      <c r="B365" s="200" t="s">
        <v>1307</v>
      </c>
      <c r="C365" s="202" t="s">
        <v>1308</v>
      </c>
      <c r="D365" s="152"/>
      <c r="E365" s="154" t="s">
        <v>211</v>
      </c>
      <c r="F365" s="180"/>
    </row>
    <row r="366" customHeight="1" spans="1:6">
      <c r="A366" s="6" t="s">
        <v>1309</v>
      </c>
      <c r="B366" s="158" t="s">
        <v>1310</v>
      </c>
      <c r="C366" s="202" t="s">
        <v>1311</v>
      </c>
      <c r="D366" s="158">
        <v>916599758</v>
      </c>
      <c r="E366" s="154" t="s">
        <v>211</v>
      </c>
      <c r="F366" s="250"/>
    </row>
    <row r="367" customHeight="1" spans="1:6">
      <c r="A367" s="6" t="s">
        <v>1312</v>
      </c>
      <c r="B367" s="201" t="s">
        <v>1313</v>
      </c>
      <c r="C367" s="202" t="s">
        <v>1314</v>
      </c>
      <c r="D367" s="153"/>
      <c r="E367" s="180" t="s">
        <v>104</v>
      </c>
      <c r="F367" s="180"/>
    </row>
    <row r="368" customHeight="1" spans="1:6">
      <c r="A368" s="6" t="s">
        <v>1315</v>
      </c>
      <c r="B368" s="222" t="str">
        <f>IFERROR(__xludf.DUMMYFUNCTION("""COMPUTED_VALUE"""),"Abebe Ketema Aredo and Etalemahu Kifle")</f>
        <v>Abebe Ketema Aredo and Etalemahu Kifle</v>
      </c>
      <c r="C368" s="222" t="str">
        <f>IFERROR(__xludf.DUMMYFUNCTION("""COMPUTED_VALUE"""),"አበበ ከተማ እና እታለማሁ ክፍሌ")</f>
        <v>አበበ ከተማ እና እታለማሁ ክፍሌ</v>
      </c>
      <c r="D368" s="222" t="str">
        <f>IFERROR(__xludf.DUMMYFUNCTION("""COMPUTED_VALUE"""),"0911-320291")</f>
        <v>0911-320291</v>
      </c>
      <c r="E368" s="222" t="str">
        <f>IFERROR(__xludf.DUMMYFUNCTION("""COMPUTED_VALUE"""),"Addis Ababa")</f>
        <v>Addis Ababa</v>
      </c>
      <c r="F368" s="222" t="str">
        <f>IFERROR(__xludf.DUMMYFUNCTION("""COMPUTED_VALUE"""),"abeketa@yahoo.com")</f>
        <v>abeketa@yahoo.com</v>
      </c>
    </row>
    <row r="369" customHeight="1" spans="1:6">
      <c r="A369" s="6" t="s">
        <v>1316</v>
      </c>
      <c r="B369" s="201" t="s">
        <v>1317</v>
      </c>
      <c r="C369" s="202" t="s">
        <v>1318</v>
      </c>
      <c r="D369" s="154"/>
      <c r="E369" s="154" t="s">
        <v>58</v>
      </c>
      <c r="F369" s="180"/>
    </row>
    <row r="370" customHeight="1" spans="1:6">
      <c r="A370" s="6" t="s">
        <v>1319</v>
      </c>
      <c r="B370" s="153" t="s">
        <v>1320</v>
      </c>
      <c r="C370" s="202" t="s">
        <v>1321</v>
      </c>
      <c r="D370" s="154"/>
      <c r="E370" s="154" t="s">
        <v>310</v>
      </c>
      <c r="F370" s="153"/>
    </row>
    <row r="371" customHeight="1" spans="1:6">
      <c r="A371" s="6" t="s">
        <v>1322</v>
      </c>
      <c r="B371" s="214" t="s">
        <v>1323</v>
      </c>
      <c r="C371" s="214" t="s">
        <v>1324</v>
      </c>
      <c r="D371" s="194"/>
      <c r="E371" s="204" t="s">
        <v>92</v>
      </c>
      <c r="F371" s="204"/>
    </row>
    <row r="372" customHeight="1" spans="1:6">
      <c r="A372" s="6" t="s">
        <v>1325</v>
      </c>
      <c r="B372" s="195" t="s">
        <v>1326</v>
      </c>
      <c r="C372" s="202" t="s">
        <v>1327</v>
      </c>
      <c r="D372" s="152" t="s">
        <v>1328</v>
      </c>
      <c r="E372" s="154" t="s">
        <v>104</v>
      </c>
      <c r="F372" s="180"/>
    </row>
    <row r="373" customHeight="1" spans="1:6">
      <c r="A373" s="6" t="s">
        <v>1329</v>
      </c>
      <c r="B373" s="195" t="s">
        <v>1330</v>
      </c>
      <c r="C373" s="202" t="s">
        <v>1331</v>
      </c>
      <c r="D373" s="152"/>
      <c r="E373" s="154" t="s">
        <v>104</v>
      </c>
      <c r="F373" s="180"/>
    </row>
    <row r="374" customHeight="1" spans="1:6">
      <c r="A374" s="6" t="s">
        <v>1332</v>
      </c>
      <c r="B374" s="160" t="s">
        <v>1333</v>
      </c>
      <c r="C374" s="160" t="s">
        <v>1334</v>
      </c>
      <c r="D374" s="204" t="s">
        <v>1335</v>
      </c>
      <c r="E374" s="204" t="s">
        <v>92</v>
      </c>
      <c r="F374" s="204"/>
    </row>
    <row r="375" customHeight="1" spans="1:6">
      <c r="A375" s="6" t="s">
        <v>1336</v>
      </c>
      <c r="B375" s="200" t="s">
        <v>1337</v>
      </c>
      <c r="C375" s="203" t="s">
        <v>1338</v>
      </c>
      <c r="D375" s="194"/>
      <c r="E375" s="194" t="s">
        <v>273</v>
      </c>
      <c r="F375" s="194"/>
    </row>
    <row r="376" customHeight="1" spans="1:6">
      <c r="A376" s="6" t="s">
        <v>1339</v>
      </c>
      <c r="B376" s="195" t="s">
        <v>1340</v>
      </c>
      <c r="C376" s="196" t="s">
        <v>1341</v>
      </c>
      <c r="D376" s="197"/>
      <c r="E376" s="198" t="s">
        <v>202</v>
      </c>
      <c r="F376" s="199"/>
    </row>
    <row r="377" customHeight="1" spans="1:6">
      <c r="A377" s="6" t="s">
        <v>1342</v>
      </c>
      <c r="B377" s="195" t="s">
        <v>1343</v>
      </c>
      <c r="C377" s="202" t="s">
        <v>1344</v>
      </c>
      <c r="D377" s="152" t="s">
        <v>1345</v>
      </c>
      <c r="E377" s="154" t="s">
        <v>232</v>
      </c>
      <c r="F377" s="180"/>
    </row>
    <row r="378" customHeight="1" spans="1:6">
      <c r="A378" s="6" t="s">
        <v>1346</v>
      </c>
      <c r="B378" s="195" t="s">
        <v>1347</v>
      </c>
      <c r="C378" s="202" t="s">
        <v>1348</v>
      </c>
      <c r="D378" s="152" t="s">
        <v>1349</v>
      </c>
      <c r="E378" s="154" t="s">
        <v>232</v>
      </c>
      <c r="F378" s="180"/>
    </row>
    <row r="379" customHeight="1" spans="1:6">
      <c r="A379" s="6" t="s">
        <v>1350</v>
      </c>
      <c r="B379" s="200" t="s">
        <v>1351</v>
      </c>
      <c r="C379" s="202" t="s">
        <v>1352</v>
      </c>
      <c r="D379" s="152"/>
      <c r="E379" s="154" t="s">
        <v>232</v>
      </c>
      <c r="F379" s="180"/>
    </row>
    <row r="380" customHeight="1" spans="1:6">
      <c r="A380" s="6" t="s">
        <v>1353</v>
      </c>
      <c r="B380" s="195" t="s">
        <v>1354</v>
      </c>
      <c r="C380" s="196" t="s">
        <v>1355</v>
      </c>
      <c r="D380" s="197" t="s">
        <v>1356</v>
      </c>
      <c r="E380" s="198" t="s">
        <v>216</v>
      </c>
      <c r="F380" s="199"/>
    </row>
    <row r="381" customHeight="1" spans="1:6">
      <c r="A381" s="6" t="s">
        <v>1357</v>
      </c>
      <c r="B381" s="200" t="s">
        <v>1358</v>
      </c>
      <c r="C381" s="236" t="s">
        <v>1359</v>
      </c>
      <c r="D381" s="194"/>
      <c r="E381" s="154" t="s">
        <v>104</v>
      </c>
      <c r="F381" s="191"/>
    </row>
    <row r="382" customHeight="1" spans="1:6">
      <c r="A382" s="6" t="s">
        <v>1360</v>
      </c>
      <c r="B382" s="200" t="s">
        <v>1361</v>
      </c>
      <c r="C382" s="202" t="s">
        <v>1362</v>
      </c>
      <c r="D382" s="158" t="s">
        <v>1363</v>
      </c>
      <c r="E382" s="154"/>
      <c r="F382" s="180"/>
    </row>
    <row r="383" customHeight="1" spans="1:6">
      <c r="A383" s="6" t="s">
        <v>1364</v>
      </c>
      <c r="B383" s="195" t="s">
        <v>1365</v>
      </c>
      <c r="C383" s="202" t="s">
        <v>1366</v>
      </c>
      <c r="D383" s="152"/>
      <c r="E383" s="154"/>
      <c r="F383" s="180"/>
    </row>
    <row r="384" customHeight="1" spans="1:6">
      <c r="A384" s="6" t="s">
        <v>1367</v>
      </c>
      <c r="B384" s="200" t="s">
        <v>1368</v>
      </c>
      <c r="C384" s="236" t="s">
        <v>1369</v>
      </c>
      <c r="D384" s="194"/>
      <c r="E384" s="154" t="s">
        <v>104</v>
      </c>
      <c r="F384" s="191"/>
    </row>
    <row r="385" customHeight="1" spans="1:6">
      <c r="A385" s="6" t="s">
        <v>1370</v>
      </c>
      <c r="B385" s="205" t="s">
        <v>1371</v>
      </c>
      <c r="C385" s="205" t="s">
        <v>1372</v>
      </c>
      <c r="D385" s="206" t="s">
        <v>1373</v>
      </c>
      <c r="E385" s="193" t="s">
        <v>120</v>
      </c>
      <c r="F385" s="221" t="s">
        <v>1374</v>
      </c>
    </row>
    <row r="386" customHeight="1" spans="1:6">
      <c r="A386" s="6" t="s">
        <v>1375</v>
      </c>
      <c r="B386" s="195" t="s">
        <v>1376</v>
      </c>
      <c r="C386" s="202" t="s">
        <v>1377</v>
      </c>
      <c r="D386" s="158"/>
      <c r="E386" s="154" t="s">
        <v>310</v>
      </c>
      <c r="F386" s="180"/>
    </row>
    <row r="387" customHeight="1" spans="1:6">
      <c r="A387" s="6" t="s">
        <v>1378</v>
      </c>
      <c r="B387" s="26" t="s">
        <v>1379</v>
      </c>
      <c r="C387" s="26" t="s">
        <v>1380</v>
      </c>
      <c r="D387" s="194"/>
      <c r="E387" s="220" t="s">
        <v>92</v>
      </c>
      <c r="F387" s="220"/>
    </row>
    <row r="388" customHeight="1" spans="1:6">
      <c r="A388" s="6" t="s">
        <v>1381</v>
      </c>
      <c r="B388" s="197" t="s">
        <v>1382</v>
      </c>
      <c r="C388" s="202" t="s">
        <v>1383</v>
      </c>
      <c r="D388" s="248">
        <v>936346728</v>
      </c>
      <c r="E388" s="154" t="s">
        <v>104</v>
      </c>
      <c r="F388" s="180"/>
    </row>
    <row r="389" customHeight="1" spans="1:6">
      <c r="A389" s="6" t="s">
        <v>1384</v>
      </c>
      <c r="B389" s="200" t="s">
        <v>1385</v>
      </c>
      <c r="C389" s="202" t="s">
        <v>1386</v>
      </c>
      <c r="D389" s="152" t="s">
        <v>1387</v>
      </c>
      <c r="E389" s="154" t="s">
        <v>104</v>
      </c>
      <c r="F389" s="180"/>
    </row>
    <row r="390" customHeight="1" spans="1:6">
      <c r="A390" s="6" t="s">
        <v>1388</v>
      </c>
      <c r="B390" s="214" t="s">
        <v>1389</v>
      </c>
      <c r="C390" s="214" t="s">
        <v>1390</v>
      </c>
      <c r="D390" s="194"/>
      <c r="E390" s="204" t="s">
        <v>92</v>
      </c>
      <c r="F390" s="204"/>
    </row>
    <row r="391" customHeight="1" spans="1:6">
      <c r="A391" s="6" t="s">
        <v>1391</v>
      </c>
      <c r="B391" s="201" t="s">
        <v>1392</v>
      </c>
      <c r="C391" s="202" t="s">
        <v>1393</v>
      </c>
      <c r="D391" s="154" t="s">
        <v>1394</v>
      </c>
      <c r="E391" s="154" t="s">
        <v>1395</v>
      </c>
      <c r="F391" s="180"/>
    </row>
    <row r="392" customHeight="1" spans="1:6">
      <c r="A392" s="6" t="s">
        <v>1396</v>
      </c>
      <c r="B392" s="200" t="s">
        <v>1397</v>
      </c>
      <c r="C392" s="203" t="s">
        <v>1398</v>
      </c>
      <c r="D392" s="194"/>
      <c r="E392" s="194" t="s">
        <v>253</v>
      </c>
      <c r="F392" s="194"/>
    </row>
    <row r="393" customHeight="1" spans="1:6">
      <c r="A393" s="6" t="s">
        <v>1399</v>
      </c>
      <c r="B393" s="201" t="s">
        <v>1400</v>
      </c>
      <c r="C393" s="202" t="s">
        <v>1401</v>
      </c>
      <c r="D393" s="154"/>
      <c r="E393" s="154"/>
      <c r="F393" s="180"/>
    </row>
    <row r="394" customHeight="1" spans="1:6">
      <c r="A394" s="6" t="s">
        <v>1402</v>
      </c>
      <c r="B394" s="158" t="s">
        <v>1403</v>
      </c>
      <c r="C394" s="202" t="s">
        <v>1404</v>
      </c>
      <c r="D394" s="158"/>
      <c r="E394" s="154" t="s">
        <v>104</v>
      </c>
      <c r="F394" s="180"/>
    </row>
    <row r="395" customHeight="1" spans="1:6">
      <c r="A395" s="6" t="s">
        <v>1405</v>
      </c>
      <c r="B395" s="158" t="s">
        <v>1406</v>
      </c>
      <c r="C395" s="203" t="s">
        <v>1407</v>
      </c>
      <c r="D395" s="158"/>
      <c r="E395" s="158" t="s">
        <v>216</v>
      </c>
      <c r="F395" s="158"/>
    </row>
    <row r="396" customHeight="1" spans="1:6">
      <c r="A396" s="6" t="s">
        <v>1408</v>
      </c>
      <c r="B396" s="200" t="s">
        <v>1409</v>
      </c>
      <c r="C396" s="236" t="s">
        <v>1410</v>
      </c>
      <c r="D396" s="194"/>
      <c r="E396" s="193" t="s">
        <v>202</v>
      </c>
      <c r="F396" s="191"/>
    </row>
    <row r="397" customHeight="1" spans="1:6">
      <c r="A397" s="6" t="s">
        <v>1411</v>
      </c>
      <c r="B397" s="214" t="s">
        <v>1412</v>
      </c>
      <c r="C397" s="214" t="s">
        <v>1413</v>
      </c>
      <c r="D397" s="194"/>
      <c r="E397" s="204" t="s">
        <v>92</v>
      </c>
      <c r="F397" s="204"/>
    </row>
    <row r="398" customHeight="1" spans="1:6">
      <c r="A398" s="6" t="s">
        <v>1414</v>
      </c>
      <c r="B398" s="201" t="s">
        <v>1415</v>
      </c>
      <c r="C398" s="202" t="s">
        <v>1416</v>
      </c>
      <c r="D398" s="154"/>
      <c r="E398" s="154" t="s">
        <v>58</v>
      </c>
      <c r="F398" s="180"/>
    </row>
    <row r="399" customHeight="1" spans="1:6">
      <c r="A399" s="6" t="s">
        <v>1417</v>
      </c>
      <c r="B399" s="197" t="s">
        <v>1418</v>
      </c>
      <c r="C399" s="202" t="s">
        <v>1419</v>
      </c>
      <c r="D399" s="158"/>
      <c r="E399" s="154" t="s">
        <v>243</v>
      </c>
      <c r="F399" s="250"/>
    </row>
    <row r="400" customHeight="1" spans="1:6">
      <c r="A400" s="6" t="s">
        <v>1420</v>
      </c>
      <c r="B400" s="200" t="s">
        <v>1421</v>
      </c>
      <c r="C400" s="202" t="s">
        <v>1422</v>
      </c>
      <c r="D400" s="152"/>
      <c r="E400" s="154" t="s">
        <v>232</v>
      </c>
      <c r="F400" s="180"/>
    </row>
    <row r="401" customHeight="1" spans="1:6">
      <c r="A401" s="6" t="s">
        <v>1423</v>
      </c>
      <c r="B401" s="197" t="s">
        <v>1424</v>
      </c>
      <c r="C401" s="196" t="s">
        <v>1425</v>
      </c>
      <c r="D401" s="197" t="s">
        <v>1426</v>
      </c>
      <c r="E401" s="197" t="s">
        <v>202</v>
      </c>
      <c r="F401" s="197"/>
    </row>
    <row r="402" customHeight="1" spans="1:6">
      <c r="A402" s="6" t="s">
        <v>1427</v>
      </c>
      <c r="B402" s="197" t="s">
        <v>1428</v>
      </c>
      <c r="C402" s="203" t="s">
        <v>1429</v>
      </c>
      <c r="D402" s="197"/>
      <c r="E402" s="197" t="s">
        <v>253</v>
      </c>
      <c r="F402" s="197"/>
    </row>
    <row r="403" customHeight="1" spans="1:6">
      <c r="A403" s="6" t="s">
        <v>1430</v>
      </c>
      <c r="B403" s="195" t="s">
        <v>1431</v>
      </c>
      <c r="C403" s="202" t="s">
        <v>1432</v>
      </c>
      <c r="D403" s="154"/>
      <c r="E403" s="154" t="s">
        <v>181</v>
      </c>
      <c r="F403" s="180"/>
    </row>
    <row r="404" customHeight="1" spans="1:6">
      <c r="A404" s="6" t="s">
        <v>1433</v>
      </c>
      <c r="B404" s="195" t="s">
        <v>1434</v>
      </c>
      <c r="C404" s="212" t="s">
        <v>1435</v>
      </c>
      <c r="D404" s="197" t="s">
        <v>1436</v>
      </c>
      <c r="E404" s="154" t="s">
        <v>104</v>
      </c>
      <c r="F404" s="199"/>
    </row>
    <row r="405" customHeight="1" spans="1:6">
      <c r="A405" s="6" t="s">
        <v>1437</v>
      </c>
      <c r="B405" s="158" t="s">
        <v>1438</v>
      </c>
      <c r="C405" s="202" t="s">
        <v>1439</v>
      </c>
      <c r="D405" s="158" t="s">
        <v>1440</v>
      </c>
      <c r="E405" s="154" t="s">
        <v>211</v>
      </c>
      <c r="F405" s="180"/>
    </row>
    <row r="406" customHeight="1" spans="1:6">
      <c r="A406" s="6" t="s">
        <v>1441</v>
      </c>
      <c r="B406" s="158" t="s">
        <v>1442</v>
      </c>
      <c r="C406" s="202" t="s">
        <v>1443</v>
      </c>
      <c r="D406" s="158">
        <v>918700837</v>
      </c>
      <c r="E406" s="154" t="s">
        <v>104</v>
      </c>
      <c r="F406" s="180"/>
    </row>
    <row r="407" customHeight="1" spans="1:6">
      <c r="A407" s="6" t="s">
        <v>1444</v>
      </c>
      <c r="B407" s="201" t="s">
        <v>1445</v>
      </c>
      <c r="C407" s="202" t="s">
        <v>1446</v>
      </c>
      <c r="D407" s="154" t="s">
        <v>1447</v>
      </c>
      <c r="E407" s="154"/>
      <c r="F407" s="180"/>
    </row>
    <row r="408" customHeight="1" spans="1:6">
      <c r="A408" s="6" t="s">
        <v>1448</v>
      </c>
      <c r="B408" s="200" t="s">
        <v>1449</v>
      </c>
      <c r="C408" s="202" t="s">
        <v>1450</v>
      </c>
      <c r="D408" s="154">
        <v>979680833</v>
      </c>
      <c r="E408" s="154" t="s">
        <v>479</v>
      </c>
      <c r="F408" s="180"/>
    </row>
    <row r="409" customHeight="1" spans="1:6">
      <c r="A409" s="6" t="s">
        <v>1451</v>
      </c>
      <c r="B409" s="200" t="s">
        <v>1452</v>
      </c>
      <c r="C409" s="202" t="s">
        <v>1453</v>
      </c>
      <c r="D409" s="152"/>
      <c r="E409" s="154" t="s">
        <v>104</v>
      </c>
      <c r="F409" s="180"/>
    </row>
    <row r="410" customHeight="1" spans="1:6">
      <c r="A410" s="6" t="s">
        <v>1454</v>
      </c>
      <c r="B410" s="233" t="s">
        <v>1455</v>
      </c>
      <c r="C410" s="233" t="s">
        <v>1456</v>
      </c>
      <c r="D410" s="204" t="s">
        <v>1457</v>
      </c>
      <c r="E410" s="204" t="s">
        <v>605</v>
      </c>
      <c r="F410" s="204" t="s">
        <v>1458</v>
      </c>
    </row>
    <row r="411" customHeight="1" spans="1:6">
      <c r="A411" s="6" t="s">
        <v>1459</v>
      </c>
      <c r="B411" s="200" t="s">
        <v>1460</v>
      </c>
      <c r="C411" s="202" t="s">
        <v>1461</v>
      </c>
      <c r="D411" s="152" t="s">
        <v>1462</v>
      </c>
      <c r="E411" s="154" t="s">
        <v>211</v>
      </c>
      <c r="F411" s="180"/>
    </row>
    <row r="412" customHeight="1" spans="1:6">
      <c r="A412" s="6" t="s">
        <v>1463</v>
      </c>
      <c r="B412" s="158" t="s">
        <v>1464</v>
      </c>
      <c r="C412" s="202" t="s">
        <v>1465</v>
      </c>
      <c r="D412" s="158" t="s">
        <v>1466</v>
      </c>
      <c r="E412" s="154" t="s">
        <v>211</v>
      </c>
      <c r="F412" s="180"/>
    </row>
    <row r="413" customHeight="1" spans="1:6">
      <c r="A413" s="9" t="s">
        <v>1467</v>
      </c>
      <c r="B413" s="224" t="s">
        <v>1468</v>
      </c>
      <c r="C413" s="225" t="s">
        <v>1469</v>
      </c>
      <c r="D413" s="251" t="s">
        <v>1470</v>
      </c>
      <c r="E413" s="229" t="s">
        <v>120</v>
      </c>
      <c r="F413" s="252" t="s">
        <v>1471</v>
      </c>
    </row>
    <row r="414" customHeight="1" spans="1:6">
      <c r="A414" s="6" t="s">
        <v>1472</v>
      </c>
      <c r="B414" s="200" t="s">
        <v>1473</v>
      </c>
      <c r="C414" s="202" t="s">
        <v>1474</v>
      </c>
      <c r="D414" s="158"/>
      <c r="E414" s="154" t="s">
        <v>202</v>
      </c>
      <c r="F414" s="180"/>
    </row>
    <row r="415" customHeight="1" spans="1:6">
      <c r="A415" s="6" t="s">
        <v>1475</v>
      </c>
      <c r="B415" s="200" t="s">
        <v>1476</v>
      </c>
      <c r="C415" s="202" t="s">
        <v>1477</v>
      </c>
      <c r="D415" s="152"/>
      <c r="E415" s="154"/>
      <c r="F415" s="180"/>
    </row>
    <row r="416" customHeight="1" spans="1:6">
      <c r="A416" s="6" t="s">
        <v>1478</v>
      </c>
      <c r="B416" s="200" t="s">
        <v>1479</v>
      </c>
      <c r="C416" s="202" t="s">
        <v>1480</v>
      </c>
      <c r="D416" s="152"/>
      <c r="E416" s="154" t="s">
        <v>9</v>
      </c>
      <c r="F416" s="180"/>
    </row>
    <row r="417" customHeight="1" spans="1:6">
      <c r="A417" s="6" t="s">
        <v>1481</v>
      </c>
      <c r="B417" s="214" t="s">
        <v>1482</v>
      </c>
      <c r="C417" s="214" t="s">
        <v>1483</v>
      </c>
      <c r="D417" s="194"/>
      <c r="E417" s="204" t="s">
        <v>92</v>
      </c>
      <c r="F417" s="204"/>
    </row>
    <row r="418" customHeight="1" spans="1:6">
      <c r="A418" s="6" t="s">
        <v>1484</v>
      </c>
      <c r="B418" s="195" t="s">
        <v>1485</v>
      </c>
      <c r="C418" s="196" t="s">
        <v>1486</v>
      </c>
      <c r="D418" s="197"/>
      <c r="E418" s="198" t="s">
        <v>202</v>
      </c>
      <c r="F418" s="199"/>
    </row>
    <row r="419" customHeight="1" spans="1:6">
      <c r="A419" s="6" t="s">
        <v>1487</v>
      </c>
      <c r="B419" s="214" t="s">
        <v>1488</v>
      </c>
      <c r="C419" s="214" t="s">
        <v>1489</v>
      </c>
      <c r="D419" s="194"/>
      <c r="E419" s="204" t="s">
        <v>92</v>
      </c>
      <c r="F419" s="204"/>
    </row>
    <row r="420" customHeight="1" spans="1:6">
      <c r="A420" s="6" t="s">
        <v>1490</v>
      </c>
      <c r="B420" s="200" t="s">
        <v>1491</v>
      </c>
      <c r="C420" s="202" t="s">
        <v>1492</v>
      </c>
      <c r="D420" s="154"/>
      <c r="E420" s="154" t="s">
        <v>181</v>
      </c>
      <c r="F420" s="180"/>
    </row>
    <row r="421" customHeight="1" spans="1:6">
      <c r="A421" s="6" t="s">
        <v>1493</v>
      </c>
      <c r="B421" s="195" t="s">
        <v>1494</v>
      </c>
      <c r="C421" s="202" t="s">
        <v>1495</v>
      </c>
      <c r="D421" s="152" t="s">
        <v>1496</v>
      </c>
      <c r="E421" s="154" t="s">
        <v>232</v>
      </c>
      <c r="F421" s="180"/>
    </row>
    <row r="422" customHeight="1" spans="1:6">
      <c r="A422" s="6" t="s">
        <v>1497</v>
      </c>
      <c r="B422" s="171" t="s">
        <v>1498</v>
      </c>
      <c r="C422" s="218" t="s">
        <v>1499</v>
      </c>
      <c r="D422" s="155"/>
      <c r="E422" s="154" t="s">
        <v>1218</v>
      </c>
      <c r="F422" s="180"/>
    </row>
    <row r="423" customHeight="1" spans="1:6">
      <c r="A423" s="6" t="s">
        <v>1500</v>
      </c>
      <c r="B423" s="191" t="s">
        <v>1501</v>
      </c>
      <c r="C423" s="192" t="s">
        <v>1502</v>
      </c>
      <c r="D423" s="193"/>
      <c r="E423" s="194" t="s">
        <v>181</v>
      </c>
      <c r="F423" s="194"/>
    </row>
    <row r="424" customHeight="1" spans="1:6">
      <c r="A424" s="6" t="s">
        <v>1503</v>
      </c>
      <c r="B424" s="238" t="s">
        <v>1504</v>
      </c>
      <c r="C424" s="202" t="s">
        <v>1505</v>
      </c>
      <c r="D424" s="154"/>
      <c r="E424" s="154" t="s">
        <v>181</v>
      </c>
      <c r="F424" s="180"/>
    </row>
    <row r="425" customHeight="1" spans="1:6">
      <c r="A425" s="6" t="s">
        <v>1506</v>
      </c>
      <c r="B425" s="160" t="s">
        <v>1507</v>
      </c>
      <c r="C425" s="160" t="s">
        <v>1508</v>
      </c>
      <c r="D425" s="204" t="s">
        <v>1509</v>
      </c>
      <c r="E425" s="204" t="s">
        <v>92</v>
      </c>
      <c r="F425" s="204"/>
    </row>
    <row r="426" customHeight="1" spans="1:6">
      <c r="A426" s="6" t="s">
        <v>1510</v>
      </c>
      <c r="B426" s="201" t="s">
        <v>1511</v>
      </c>
      <c r="C426" s="202" t="s">
        <v>1512</v>
      </c>
      <c r="D426" s="154" t="s">
        <v>1513</v>
      </c>
      <c r="E426" s="154" t="s">
        <v>243</v>
      </c>
      <c r="F426" s="180"/>
    </row>
    <row r="427" customHeight="1" spans="1:6">
      <c r="A427" s="6" t="s">
        <v>1514</v>
      </c>
      <c r="B427" s="223" t="s">
        <v>1515</v>
      </c>
      <c r="C427" s="223" t="s">
        <v>1516</v>
      </c>
      <c r="D427" s="204" t="s">
        <v>1517</v>
      </c>
      <c r="E427" s="204" t="s">
        <v>92</v>
      </c>
      <c r="F427" s="204"/>
    </row>
    <row r="428" customHeight="1" spans="1:6">
      <c r="A428" s="6" t="s">
        <v>1518</v>
      </c>
      <c r="B428" s="214" t="s">
        <v>1519</v>
      </c>
      <c r="C428" s="214" t="s">
        <v>1520</v>
      </c>
      <c r="D428" s="194"/>
      <c r="E428" s="204" t="s">
        <v>92</v>
      </c>
      <c r="F428" s="204"/>
    </row>
    <row r="429" customHeight="1" spans="1:6">
      <c r="A429" s="6" t="s">
        <v>1521</v>
      </c>
      <c r="B429" s="201" t="s">
        <v>1522</v>
      </c>
      <c r="C429" s="202" t="s">
        <v>1523</v>
      </c>
      <c r="D429" s="154" t="s">
        <v>1524</v>
      </c>
      <c r="E429" s="154" t="s">
        <v>186</v>
      </c>
      <c r="F429" s="180"/>
    </row>
    <row r="430" customHeight="1" spans="1:6">
      <c r="A430" s="6" t="s">
        <v>1525</v>
      </c>
      <c r="B430" s="220" t="str">
        <f>IFERROR(__xludf.DUMMYFUNCTION("""COMPUTED_VALUE"""),"Abebech Feyisa Begna")</f>
        <v>Abebech Feyisa Begna</v>
      </c>
      <c r="C430" s="220" t="str">
        <f>IFERROR(__xludf.DUMMYFUNCTION("""COMPUTED_VALUE"""),"ኣበበች ፈይሳ ቤኛ")</f>
        <v>ኣበበች ፈይሳ ቤኛ</v>
      </c>
      <c r="D430" s="220" t="str">
        <f>IFERROR(__xludf.DUMMYFUNCTION("""COMPUTED_VALUE"""),"912742596")</f>
        <v>912742596</v>
      </c>
      <c r="E430" s="220" t="str">
        <f>IFERROR(__xludf.DUMMYFUNCTION("""COMPUTED_VALUE"""),"Addis Abeba")</f>
        <v>Addis Abeba</v>
      </c>
      <c r="F430" s="220"/>
    </row>
    <row r="431" customHeight="1" spans="1:6">
      <c r="A431" s="6" t="s">
        <v>1526</v>
      </c>
      <c r="B431" s="180" t="s">
        <v>1527</v>
      </c>
      <c r="C431" s="192" t="s">
        <v>1528</v>
      </c>
      <c r="D431" s="193"/>
      <c r="E431" s="194" t="s">
        <v>181</v>
      </c>
      <c r="F431" s="194"/>
    </row>
    <row r="432" customHeight="1" spans="1:6">
      <c r="A432" s="6" t="s">
        <v>1529</v>
      </c>
      <c r="B432" s="222" t="str">
        <f>IFERROR(__xludf.DUMMYFUNCTION("""COMPUTED_VALUE"""),"Abebech Jimma Bedassa")</f>
        <v>Abebech Jimma Bedassa</v>
      </c>
      <c r="C432" s="222" t="str">
        <f>IFERROR(__xludf.DUMMYFUNCTION("""COMPUTED_VALUE"""),"አበበች ጅማ በዳሳ")</f>
        <v>አበበች ጅማ በዳሳ</v>
      </c>
      <c r="D432" s="222" t="str">
        <f>IFERROR(__xludf.DUMMYFUNCTION("""COMPUTED_VALUE"""),"0910708590
 0912965644")</f>
        <v>0910708590
 0912965644</v>
      </c>
      <c r="E432" s="222" t="str">
        <f>IFERROR(__xludf.DUMMYFUNCTION("""COMPUTED_VALUE"""),"Addis Ababa")</f>
        <v>Addis Ababa</v>
      </c>
      <c r="F432" s="222"/>
    </row>
    <row r="433" customHeight="1" spans="1:6">
      <c r="A433" s="6" t="s">
        <v>1530</v>
      </c>
      <c r="B433" s="205" t="s">
        <v>1531</v>
      </c>
      <c r="C433" s="205" t="s">
        <v>1532</v>
      </c>
      <c r="D433" s="206" t="s">
        <v>1533</v>
      </c>
      <c r="E433" s="193" t="s">
        <v>120</v>
      </c>
      <c r="F433" s="221" t="s">
        <v>1534</v>
      </c>
    </row>
    <row r="434" customHeight="1" spans="1:6">
      <c r="A434" s="6" t="s">
        <v>1535</v>
      </c>
      <c r="B434" s="201" t="s">
        <v>1536</v>
      </c>
      <c r="C434" s="202" t="s">
        <v>1537</v>
      </c>
      <c r="D434" s="154" t="s">
        <v>1538</v>
      </c>
      <c r="E434" s="154" t="s">
        <v>243</v>
      </c>
      <c r="F434" s="180"/>
    </row>
    <row r="435" customHeight="1" spans="1:6">
      <c r="A435" s="6" t="s">
        <v>1539</v>
      </c>
      <c r="B435" s="201" t="s">
        <v>1540</v>
      </c>
      <c r="C435" s="202" t="s">
        <v>1541</v>
      </c>
      <c r="D435" s="154" t="s">
        <v>1542</v>
      </c>
      <c r="E435" s="154" t="s">
        <v>211</v>
      </c>
      <c r="F435" s="180"/>
    </row>
    <row r="436" customHeight="1" spans="1:6">
      <c r="A436" s="6" t="s">
        <v>1543</v>
      </c>
      <c r="B436" s="200" t="s">
        <v>1544</v>
      </c>
      <c r="C436" s="192" t="s">
        <v>1545</v>
      </c>
      <c r="D436" s="194"/>
      <c r="E436" s="194" t="s">
        <v>243</v>
      </c>
      <c r="F436" s="194"/>
    </row>
    <row r="437" customHeight="1" spans="1:6">
      <c r="A437" s="6" t="s">
        <v>1546</v>
      </c>
      <c r="B437" s="214" t="s">
        <v>1547</v>
      </c>
      <c r="C437" s="214" t="s">
        <v>1548</v>
      </c>
      <c r="D437" s="204" t="s">
        <v>1549</v>
      </c>
      <c r="E437" s="204" t="s">
        <v>92</v>
      </c>
      <c r="F437" s="204"/>
    </row>
    <row r="438" customHeight="1" spans="1:6">
      <c r="A438" s="6" t="s">
        <v>1550</v>
      </c>
      <c r="B438" s="200" t="s">
        <v>1551</v>
      </c>
      <c r="C438" s="202" t="s">
        <v>1552</v>
      </c>
      <c r="D438" s="154"/>
      <c r="E438" s="154" t="s">
        <v>1218</v>
      </c>
      <c r="F438" s="180"/>
    </row>
    <row r="439" customHeight="1" spans="1:6">
      <c r="A439" s="6" t="s">
        <v>1553</v>
      </c>
      <c r="B439" s="214" t="s">
        <v>1554</v>
      </c>
      <c r="C439" s="214" t="s">
        <v>1555</v>
      </c>
      <c r="D439" s="204" t="s">
        <v>1556</v>
      </c>
      <c r="E439" s="204" t="s">
        <v>92</v>
      </c>
      <c r="F439" s="204"/>
    </row>
    <row r="440" customHeight="1" spans="1:6">
      <c r="A440" s="6" t="s">
        <v>1557</v>
      </c>
      <c r="B440" s="214" t="s">
        <v>1558</v>
      </c>
      <c r="C440" s="214" t="s">
        <v>1559</v>
      </c>
      <c r="D440" s="204" t="s">
        <v>1560</v>
      </c>
      <c r="E440" s="204" t="s">
        <v>92</v>
      </c>
      <c r="F440" s="204"/>
    </row>
    <row r="441" customHeight="1" spans="1:6">
      <c r="A441" s="6" t="s">
        <v>1561</v>
      </c>
      <c r="B441" s="214" t="s">
        <v>1562</v>
      </c>
      <c r="C441" s="214" t="s">
        <v>1563</v>
      </c>
      <c r="D441" s="194"/>
      <c r="E441" s="204" t="s">
        <v>92</v>
      </c>
      <c r="F441" s="204"/>
    </row>
    <row r="442" customHeight="1" spans="1:6">
      <c r="A442" s="6" t="s">
        <v>1564</v>
      </c>
      <c r="B442" s="214" t="s">
        <v>1565</v>
      </c>
      <c r="C442" s="214" t="s">
        <v>1566</v>
      </c>
      <c r="D442" s="194"/>
      <c r="E442" s="204" t="s">
        <v>92</v>
      </c>
      <c r="F442" s="204"/>
    </row>
    <row r="443" customHeight="1" spans="1:6">
      <c r="A443" s="6" t="s">
        <v>1567</v>
      </c>
      <c r="B443" s="153" t="s">
        <v>1568</v>
      </c>
      <c r="C443" s="202" t="s">
        <v>1569</v>
      </c>
      <c r="D443" s="154"/>
      <c r="E443" s="154" t="s">
        <v>310</v>
      </c>
      <c r="F443" s="153"/>
    </row>
    <row r="444" customHeight="1" spans="1:6">
      <c r="A444" s="6" t="s">
        <v>1570</v>
      </c>
      <c r="B444" s="194" t="s">
        <v>1571</v>
      </c>
      <c r="C444" s="202" t="s">
        <v>1572</v>
      </c>
      <c r="D444" s="158">
        <v>916555722</v>
      </c>
      <c r="E444" s="158" t="s">
        <v>1218</v>
      </c>
      <c r="F444" s="153"/>
    </row>
    <row r="445" customHeight="1" spans="1:6">
      <c r="A445" s="6" t="s">
        <v>1573</v>
      </c>
      <c r="B445" s="201" t="s">
        <v>1574</v>
      </c>
      <c r="C445" s="202" t="s">
        <v>1575</v>
      </c>
      <c r="D445" s="154" t="s">
        <v>1576</v>
      </c>
      <c r="E445" s="154"/>
      <c r="F445" s="180"/>
    </row>
    <row r="446" customHeight="1" spans="1:6">
      <c r="A446" s="6" t="s">
        <v>1577</v>
      </c>
      <c r="B446" s="205" t="s">
        <v>1578</v>
      </c>
      <c r="C446" s="205" t="s">
        <v>1579</v>
      </c>
      <c r="D446" s="206" t="s">
        <v>1580</v>
      </c>
      <c r="E446" s="193" t="s">
        <v>120</v>
      </c>
      <c r="F446" s="221" t="s">
        <v>1581</v>
      </c>
    </row>
    <row r="447" customHeight="1" spans="1:6">
      <c r="A447" s="6" t="s">
        <v>1582</v>
      </c>
      <c r="B447" s="200" t="s">
        <v>1583</v>
      </c>
      <c r="C447" s="192" t="s">
        <v>1584</v>
      </c>
      <c r="D447" s="194" t="s">
        <v>1585</v>
      </c>
      <c r="E447" s="193" t="s">
        <v>216</v>
      </c>
      <c r="F447" s="191"/>
    </row>
    <row r="448" customHeight="1" spans="1:6">
      <c r="A448" s="6" t="s">
        <v>1586</v>
      </c>
      <c r="B448" s="200" t="s">
        <v>1587</v>
      </c>
      <c r="C448" s="202" t="s">
        <v>1588</v>
      </c>
      <c r="D448" s="152" t="s">
        <v>1589</v>
      </c>
      <c r="E448" s="154" t="s">
        <v>232</v>
      </c>
      <c r="F448" s="180"/>
    </row>
    <row r="449" customHeight="1" spans="1:6">
      <c r="A449" s="6" t="s">
        <v>1590</v>
      </c>
      <c r="B449" s="195" t="s">
        <v>1591</v>
      </c>
      <c r="C449" s="202" t="s">
        <v>1592</v>
      </c>
      <c r="D449" s="152" t="s">
        <v>1593</v>
      </c>
      <c r="E449" s="154"/>
      <c r="F449" s="180"/>
    </row>
    <row r="450" customHeight="1" spans="1:6">
      <c r="A450" s="6" t="s">
        <v>1594</v>
      </c>
      <c r="B450" s="223" t="s">
        <v>1595</v>
      </c>
      <c r="C450" s="223" t="s">
        <v>1596</v>
      </c>
      <c r="D450" s="204" t="s">
        <v>1597</v>
      </c>
      <c r="E450" s="173" t="s">
        <v>92</v>
      </c>
      <c r="F450" s="234" t="s">
        <v>1598</v>
      </c>
    </row>
    <row r="451" customHeight="1" spans="1:6">
      <c r="A451" s="6" t="s">
        <v>1599</v>
      </c>
      <c r="B451" s="197" t="s">
        <v>1600</v>
      </c>
      <c r="C451" s="202" t="s">
        <v>1601</v>
      </c>
      <c r="D451" s="158"/>
      <c r="E451" s="158" t="s">
        <v>216</v>
      </c>
      <c r="F451" s="153"/>
    </row>
    <row r="452" customHeight="1" spans="1:6">
      <c r="A452" s="6" t="s">
        <v>1602</v>
      </c>
      <c r="B452" s="200" t="s">
        <v>1603</v>
      </c>
      <c r="C452" s="202" t="s">
        <v>1604</v>
      </c>
      <c r="D452" s="152" t="s">
        <v>1605</v>
      </c>
      <c r="E452" s="154"/>
      <c r="F452" s="180"/>
    </row>
    <row r="453" customHeight="1" spans="1:6">
      <c r="A453" s="6" t="s">
        <v>1606</v>
      </c>
      <c r="B453" s="153" t="s">
        <v>1607</v>
      </c>
      <c r="C453" s="202" t="s">
        <v>1608</v>
      </c>
      <c r="D453" s="154" t="s">
        <v>1609</v>
      </c>
      <c r="E453" s="154" t="s">
        <v>202</v>
      </c>
      <c r="F453" s="180"/>
    </row>
    <row r="454" customHeight="1" spans="1:6">
      <c r="A454" s="6" t="s">
        <v>1610</v>
      </c>
      <c r="B454" s="195" t="s">
        <v>1611</v>
      </c>
      <c r="C454" s="212" t="s">
        <v>1612</v>
      </c>
      <c r="D454" s="197"/>
      <c r="E454" s="198" t="s">
        <v>216</v>
      </c>
      <c r="F454" s="199"/>
    </row>
    <row r="455" customHeight="1" spans="1:6">
      <c r="A455" s="6" t="s">
        <v>1613</v>
      </c>
      <c r="B455" s="201" t="s">
        <v>1614</v>
      </c>
      <c r="C455" s="202" t="s">
        <v>1615</v>
      </c>
      <c r="D455" s="154"/>
      <c r="E455" s="154" t="s">
        <v>58</v>
      </c>
      <c r="F455" s="180"/>
    </row>
    <row r="456" customHeight="1" spans="1:6">
      <c r="A456" s="9" t="s">
        <v>1616</v>
      </c>
      <c r="B456" s="253" t="s">
        <v>1617</v>
      </c>
      <c r="C456" s="253" t="s">
        <v>1618</v>
      </c>
      <c r="D456" s="240" t="s">
        <v>1619</v>
      </c>
      <c r="E456" s="240" t="s">
        <v>92</v>
      </c>
      <c r="F456" s="240"/>
    </row>
    <row r="457" customHeight="1" spans="1:6">
      <c r="A457" s="6" t="s">
        <v>1620</v>
      </c>
      <c r="B457" s="200" t="s">
        <v>1621</v>
      </c>
      <c r="C457" s="192" t="s">
        <v>1622</v>
      </c>
      <c r="D457" s="194" t="s">
        <v>1623</v>
      </c>
      <c r="E457" s="194" t="s">
        <v>32</v>
      </c>
      <c r="F457" s="194"/>
    </row>
    <row r="458" customHeight="1" spans="1:6">
      <c r="A458" s="6" t="s">
        <v>1624</v>
      </c>
      <c r="B458" s="160" t="s">
        <v>1625</v>
      </c>
      <c r="C458" s="160" t="s">
        <v>1626</v>
      </c>
      <c r="D458" s="204" t="s">
        <v>1627</v>
      </c>
      <c r="E458" s="204" t="s">
        <v>92</v>
      </c>
      <c r="F458" s="204"/>
    </row>
    <row r="459" customHeight="1" spans="1:6">
      <c r="A459" s="6" t="s">
        <v>1628</v>
      </c>
      <c r="B459" s="195" t="s">
        <v>1629</v>
      </c>
      <c r="C459" s="196" t="s">
        <v>1630</v>
      </c>
      <c r="D459" s="197"/>
      <c r="E459" s="197" t="s">
        <v>310</v>
      </c>
      <c r="F459" s="197"/>
    </row>
    <row r="460" customHeight="1" spans="1:6">
      <c r="A460" s="6" t="s">
        <v>1631</v>
      </c>
      <c r="B460" s="199" t="s">
        <v>1632</v>
      </c>
      <c r="C460" s="196" t="s">
        <v>1633</v>
      </c>
      <c r="D460" s="198" t="s">
        <v>1634</v>
      </c>
      <c r="E460" s="197" t="s">
        <v>9</v>
      </c>
      <c r="F460" s="197"/>
    </row>
    <row r="461" customHeight="1" spans="1:6">
      <c r="A461" s="6" t="s">
        <v>1635</v>
      </c>
      <c r="B461" s="200" t="s">
        <v>1636</v>
      </c>
      <c r="C461" s="236" t="s">
        <v>1637</v>
      </c>
      <c r="D461" s="194" t="s">
        <v>1638</v>
      </c>
      <c r="E461" s="154" t="s">
        <v>104</v>
      </c>
      <c r="F461" s="191"/>
    </row>
    <row r="462" customHeight="1" spans="1:6">
      <c r="A462" s="6" t="s">
        <v>1639</v>
      </c>
      <c r="B462" s="201" t="s">
        <v>1640</v>
      </c>
      <c r="C462" s="202" t="s">
        <v>1641</v>
      </c>
      <c r="D462" s="154" t="s">
        <v>1642</v>
      </c>
      <c r="E462" s="154" t="s">
        <v>202</v>
      </c>
      <c r="F462" s="180"/>
    </row>
    <row r="463" customHeight="1" spans="1:6">
      <c r="A463" s="6" t="s">
        <v>1643</v>
      </c>
      <c r="B463" s="195" t="s">
        <v>1644</v>
      </c>
      <c r="C463" s="196" t="s">
        <v>1645</v>
      </c>
      <c r="D463" s="197" t="s">
        <v>1646</v>
      </c>
      <c r="E463" s="197" t="s">
        <v>32</v>
      </c>
      <c r="F463" s="197"/>
    </row>
    <row r="464" customHeight="1" spans="1:6">
      <c r="A464" s="6" t="s">
        <v>1647</v>
      </c>
      <c r="B464" s="197" t="s">
        <v>1648</v>
      </c>
      <c r="C464" s="202" t="s">
        <v>1649</v>
      </c>
      <c r="D464" s="158">
        <v>921256810</v>
      </c>
      <c r="E464" s="158" t="s">
        <v>1218</v>
      </c>
      <c r="F464" s="153"/>
    </row>
    <row r="465" customHeight="1" spans="1:6">
      <c r="A465" s="6" t="s">
        <v>1650</v>
      </c>
      <c r="B465" s="200" t="s">
        <v>1651</v>
      </c>
      <c r="C465" s="202" t="s">
        <v>1652</v>
      </c>
      <c r="D465" s="154">
        <v>964731137</v>
      </c>
      <c r="E465" s="154" t="s">
        <v>104</v>
      </c>
      <c r="F465" s="180"/>
    </row>
    <row r="466" customHeight="1" spans="1:6">
      <c r="A466" s="6" t="s">
        <v>1653</v>
      </c>
      <c r="B466" s="200" t="s">
        <v>1654</v>
      </c>
      <c r="C466" s="236" t="s">
        <v>1655</v>
      </c>
      <c r="D466" s="194" t="s">
        <v>1656</v>
      </c>
      <c r="E466" s="193" t="s">
        <v>216</v>
      </c>
      <c r="F466" s="191"/>
    </row>
    <row r="467" customHeight="1" spans="1:6">
      <c r="A467" s="6" t="s">
        <v>1657</v>
      </c>
      <c r="B467" s="200" t="s">
        <v>1658</v>
      </c>
      <c r="C467" s="192" t="s">
        <v>1659</v>
      </c>
      <c r="D467" s="194" t="s">
        <v>1660</v>
      </c>
      <c r="E467" s="193" t="s">
        <v>216</v>
      </c>
      <c r="F467" s="191"/>
    </row>
    <row r="468" customHeight="1" spans="1:6">
      <c r="A468" s="6" t="s">
        <v>1661</v>
      </c>
      <c r="B468" s="200" t="s">
        <v>1662</v>
      </c>
      <c r="C468" s="202" t="s">
        <v>1663</v>
      </c>
      <c r="D468" s="152"/>
      <c r="E468" s="154" t="s">
        <v>232</v>
      </c>
      <c r="F468" s="180"/>
    </row>
    <row r="469" customHeight="1" spans="1:6">
      <c r="A469" s="6" t="s">
        <v>1664</v>
      </c>
      <c r="B469" s="197" t="s">
        <v>1665</v>
      </c>
      <c r="C469" s="254" t="s">
        <v>1666</v>
      </c>
      <c r="D469" s="197"/>
      <c r="E469" s="197" t="s">
        <v>202</v>
      </c>
      <c r="F469" s="197"/>
    </row>
    <row r="470" customHeight="1" spans="1:6">
      <c r="A470" s="6" t="s">
        <v>1667</v>
      </c>
      <c r="B470" s="194" t="s">
        <v>1668</v>
      </c>
      <c r="C470" s="202" t="s">
        <v>1669</v>
      </c>
      <c r="D470" s="248"/>
      <c r="E470" s="154" t="s">
        <v>104</v>
      </c>
      <c r="F470" s="180"/>
    </row>
    <row r="471" customHeight="1" spans="1:6">
      <c r="A471" s="6" t="s">
        <v>1670</v>
      </c>
      <c r="B471" s="194" t="s">
        <v>1671</v>
      </c>
      <c r="C471" s="202" t="s">
        <v>1672</v>
      </c>
      <c r="D471" s="158"/>
      <c r="E471" s="158" t="s">
        <v>216</v>
      </c>
      <c r="F471" s="153"/>
    </row>
    <row r="472" customHeight="1" spans="1:6">
      <c r="A472" s="6" t="s">
        <v>1673</v>
      </c>
      <c r="B472" s="201" t="s">
        <v>1674</v>
      </c>
      <c r="C472" s="202" t="s">
        <v>1675</v>
      </c>
      <c r="D472" s="154" t="s">
        <v>1676</v>
      </c>
      <c r="E472" s="154" t="s">
        <v>202</v>
      </c>
      <c r="F472" s="180"/>
    </row>
    <row r="473" customHeight="1" spans="1:6">
      <c r="A473" s="6" t="s">
        <v>1677</v>
      </c>
      <c r="B473" s="200" t="s">
        <v>1678</v>
      </c>
      <c r="C473" s="202" t="s">
        <v>1679</v>
      </c>
      <c r="D473" s="154"/>
      <c r="E473" s="154" t="s">
        <v>104</v>
      </c>
      <c r="F473" s="180"/>
    </row>
    <row r="474" customHeight="1" spans="1:6">
      <c r="A474" s="6" t="s">
        <v>1680</v>
      </c>
      <c r="B474" s="223" t="s">
        <v>1681</v>
      </c>
      <c r="C474" s="223" t="s">
        <v>1682</v>
      </c>
      <c r="D474" s="204" t="s">
        <v>1160</v>
      </c>
      <c r="E474" s="204" t="s">
        <v>92</v>
      </c>
      <c r="F474" s="204"/>
    </row>
    <row r="475" customHeight="1" spans="1:6">
      <c r="A475" s="6" t="s">
        <v>1683</v>
      </c>
      <c r="B475" s="195" t="s">
        <v>1684</v>
      </c>
      <c r="C475" s="196" t="s">
        <v>1685</v>
      </c>
      <c r="D475" s="197"/>
      <c r="E475" s="198" t="s">
        <v>202</v>
      </c>
      <c r="F475" s="199"/>
    </row>
    <row r="476" customHeight="1" spans="1:6">
      <c r="A476" s="6" t="s">
        <v>1686</v>
      </c>
      <c r="B476" s="201" t="s">
        <v>1687</v>
      </c>
      <c r="C476" s="202" t="s">
        <v>1688</v>
      </c>
      <c r="D476" s="154" t="s">
        <v>1689</v>
      </c>
      <c r="E476" s="154" t="s">
        <v>1395</v>
      </c>
      <c r="F476" s="180"/>
    </row>
    <row r="477" customHeight="1" spans="1:6">
      <c r="A477" s="6" t="s">
        <v>1690</v>
      </c>
      <c r="B477" s="201" t="s">
        <v>1691</v>
      </c>
      <c r="C477" s="202" t="s">
        <v>1692</v>
      </c>
      <c r="D477" s="154" t="s">
        <v>1693</v>
      </c>
      <c r="E477" s="154"/>
      <c r="F477" s="180"/>
    </row>
    <row r="478" customHeight="1" spans="1:6">
      <c r="A478" s="6" t="s">
        <v>1694</v>
      </c>
      <c r="B478" s="214" t="s">
        <v>1695</v>
      </c>
      <c r="C478" s="214" t="s">
        <v>1696</v>
      </c>
      <c r="D478" s="194"/>
      <c r="E478" s="204" t="s">
        <v>92</v>
      </c>
      <c r="F478" s="204"/>
    </row>
    <row r="479" customHeight="1" spans="1:6">
      <c r="A479" s="6" t="s">
        <v>1697</v>
      </c>
      <c r="B479" s="255" t="s">
        <v>1698</v>
      </c>
      <c r="C479" s="255" t="s">
        <v>1699</v>
      </c>
      <c r="D479" s="256" t="s">
        <v>1700</v>
      </c>
      <c r="E479" s="26" t="s">
        <v>1701</v>
      </c>
      <c r="F479" s="257" t="s">
        <v>1702</v>
      </c>
    </row>
    <row r="480" customHeight="1" spans="1:6">
      <c r="A480" s="6" t="s">
        <v>1703</v>
      </c>
      <c r="B480" s="223" t="s">
        <v>1704</v>
      </c>
      <c r="C480" s="223" t="s">
        <v>1705</v>
      </c>
      <c r="D480" s="194"/>
      <c r="E480" s="204" t="s">
        <v>92</v>
      </c>
      <c r="F480" s="204"/>
    </row>
    <row r="481" customHeight="1" spans="1:6">
      <c r="A481" s="6" t="s">
        <v>1706</v>
      </c>
      <c r="B481" s="223" t="s">
        <v>1707</v>
      </c>
      <c r="C481" s="223" t="s">
        <v>1708</v>
      </c>
      <c r="D481" s="204" t="s">
        <v>1709</v>
      </c>
      <c r="E481" s="204" t="s">
        <v>92</v>
      </c>
      <c r="F481" s="204"/>
    </row>
    <row r="482" customHeight="1" spans="1:6">
      <c r="A482" s="6" t="s">
        <v>1710</v>
      </c>
      <c r="B482" s="214" t="s">
        <v>1711</v>
      </c>
      <c r="C482" s="214" t="s">
        <v>1712</v>
      </c>
      <c r="D482" s="194"/>
      <c r="E482" s="204" t="s">
        <v>92</v>
      </c>
      <c r="F482" s="204"/>
    </row>
    <row r="483" customHeight="1" spans="1:6">
      <c r="A483" s="6" t="s">
        <v>1713</v>
      </c>
      <c r="B483" s="214" t="s">
        <v>1714</v>
      </c>
      <c r="C483" s="214" t="s">
        <v>1715</v>
      </c>
      <c r="D483" s="204">
        <v>953104730</v>
      </c>
      <c r="E483" s="204" t="s">
        <v>92</v>
      </c>
      <c r="F483" s="204"/>
    </row>
    <row r="484" customHeight="1" spans="1:6">
      <c r="A484" s="6" t="s">
        <v>1716</v>
      </c>
      <c r="B484" s="166" t="s">
        <v>1717</v>
      </c>
      <c r="C484" s="166" t="s">
        <v>1718</v>
      </c>
      <c r="D484" s="166">
        <v>911924162</v>
      </c>
      <c r="E484" s="166" t="s">
        <v>691</v>
      </c>
      <c r="F484" s="166"/>
    </row>
    <row r="485" customHeight="1" spans="1:6">
      <c r="A485" s="6" t="s">
        <v>1719</v>
      </c>
      <c r="B485" s="223" t="s">
        <v>1720</v>
      </c>
      <c r="C485" s="223" t="s">
        <v>1721</v>
      </c>
      <c r="D485" s="204" t="s">
        <v>1722</v>
      </c>
      <c r="E485" s="204" t="s">
        <v>92</v>
      </c>
      <c r="F485" s="204"/>
    </row>
    <row r="486" customHeight="1" spans="1:6">
      <c r="A486" s="6" t="s">
        <v>1723</v>
      </c>
      <c r="B486" s="214" t="s">
        <v>1724</v>
      </c>
      <c r="C486" s="214" t="s">
        <v>1725</v>
      </c>
      <c r="D486" s="194"/>
      <c r="E486" s="204" t="s">
        <v>92</v>
      </c>
      <c r="F486" s="204"/>
    </row>
    <row r="487" customHeight="1" spans="1:6">
      <c r="A487" s="6" t="s">
        <v>1726</v>
      </c>
      <c r="B487" s="223" t="s">
        <v>1727</v>
      </c>
      <c r="C487" s="223" t="s">
        <v>1728</v>
      </c>
      <c r="D487" s="204" t="s">
        <v>1729</v>
      </c>
      <c r="E487" s="204" t="s">
        <v>92</v>
      </c>
      <c r="F487" s="204"/>
    </row>
    <row r="488" customHeight="1" spans="1:6">
      <c r="A488" s="6" t="s">
        <v>1730</v>
      </c>
      <c r="B488" s="160" t="s">
        <v>1731</v>
      </c>
      <c r="C488" s="160" t="s">
        <v>1732</v>
      </c>
      <c r="D488" s="204" t="s">
        <v>1733</v>
      </c>
      <c r="E488" s="204" t="s">
        <v>92</v>
      </c>
      <c r="F488" s="204"/>
    </row>
    <row r="489" customHeight="1" spans="1:6">
      <c r="A489" s="6" t="s">
        <v>1734</v>
      </c>
      <c r="B489" s="214" t="s">
        <v>1735</v>
      </c>
      <c r="C489" s="214" t="s">
        <v>1736</v>
      </c>
      <c r="D489" s="194"/>
      <c r="E489" s="204" t="s">
        <v>92</v>
      </c>
      <c r="F489" s="204"/>
    </row>
    <row r="490" customHeight="1" spans="1:6">
      <c r="A490" s="6" t="s">
        <v>1737</v>
      </c>
      <c r="B490" s="160" t="s">
        <v>1738</v>
      </c>
      <c r="C490" s="160" t="s">
        <v>1739</v>
      </c>
      <c r="D490" s="204" t="s">
        <v>1740</v>
      </c>
      <c r="E490" s="204" t="s">
        <v>92</v>
      </c>
      <c r="F490" s="204"/>
    </row>
    <row r="491" customHeight="1" spans="1:6">
      <c r="A491" s="6" t="s">
        <v>1741</v>
      </c>
      <c r="B491" s="214" t="s">
        <v>1742</v>
      </c>
      <c r="C491" s="214" t="s">
        <v>1743</v>
      </c>
      <c r="D491" s="194"/>
      <c r="E491" s="204" t="s">
        <v>92</v>
      </c>
      <c r="F491" s="204"/>
    </row>
    <row r="492" customHeight="1" spans="1:6">
      <c r="A492" s="6" t="s">
        <v>1744</v>
      </c>
      <c r="B492" s="214" t="s">
        <v>1745</v>
      </c>
      <c r="C492" s="214" t="s">
        <v>1746</v>
      </c>
      <c r="D492" s="194"/>
      <c r="E492" s="204" t="s">
        <v>92</v>
      </c>
      <c r="F492" s="204"/>
    </row>
    <row r="493" customHeight="1" spans="1:6">
      <c r="A493" s="6" t="s">
        <v>1747</v>
      </c>
      <c r="B493" s="214" t="s">
        <v>1748</v>
      </c>
      <c r="C493" s="214" t="s">
        <v>1749</v>
      </c>
      <c r="D493" s="204" t="s">
        <v>1750</v>
      </c>
      <c r="E493" s="204" t="s">
        <v>92</v>
      </c>
      <c r="F493" s="204"/>
    </row>
    <row r="494" customHeight="1" spans="1:6">
      <c r="A494" s="6" t="s">
        <v>1751</v>
      </c>
      <c r="B494" s="222" t="str">
        <f>IFERROR(__xludf.DUMMYFUNCTION("""COMPUTED_VALUE"""),"Abel Getu Bedebo /ato")</f>
        <v>Abel Getu Bedebo /ato</v>
      </c>
      <c r="C494" s="222" t="str">
        <f>IFERROR(__xludf.DUMMYFUNCTION("""COMPUTED_VALUE"""),"አቤል ጌቱ ባዴቦ /አቶ")</f>
        <v>አቤል ጌቱ ባዴቦ /አቶ</v>
      </c>
      <c r="D494" s="222" t="str">
        <f>IFERROR(__xludf.DUMMYFUNCTION("""COMPUTED_VALUE"""),"0911-602715")</f>
        <v>0911-602715</v>
      </c>
      <c r="E494" s="222" t="str">
        <f>IFERROR(__xludf.DUMMYFUNCTION("""COMPUTED_VALUE"""),"Addis Abeba")</f>
        <v>Addis Abeba</v>
      </c>
      <c r="F494" s="222"/>
    </row>
    <row r="495" customHeight="1" spans="1:6">
      <c r="A495" s="6" t="s">
        <v>1752</v>
      </c>
      <c r="B495" s="214" t="s">
        <v>1753</v>
      </c>
      <c r="C495" s="214" t="s">
        <v>1754</v>
      </c>
      <c r="D495" s="194"/>
      <c r="E495" s="204" t="s">
        <v>92</v>
      </c>
      <c r="F495" s="204"/>
    </row>
    <row r="496" customHeight="1" spans="1:6">
      <c r="A496" s="6" t="s">
        <v>1755</v>
      </c>
      <c r="B496" s="205" t="s">
        <v>1753</v>
      </c>
      <c r="C496" s="205" t="s">
        <v>1756</v>
      </c>
      <c r="D496" s="206" t="s">
        <v>1757</v>
      </c>
      <c r="E496" s="193" t="s">
        <v>120</v>
      </c>
      <c r="F496" s="239" t="s">
        <v>1758</v>
      </c>
    </row>
    <row r="497" customHeight="1" spans="1:6">
      <c r="A497" s="6" t="s">
        <v>1759</v>
      </c>
      <c r="B497" s="160" t="s">
        <v>1760</v>
      </c>
      <c r="C497" s="160" t="s">
        <v>1761</v>
      </c>
      <c r="D497" s="204" t="s">
        <v>1762</v>
      </c>
      <c r="E497" s="204" t="s">
        <v>92</v>
      </c>
      <c r="F497" s="204"/>
    </row>
    <row r="498" customHeight="1" spans="1:6">
      <c r="A498" s="6" t="s">
        <v>1763</v>
      </c>
      <c r="B498" s="201" t="s">
        <v>1764</v>
      </c>
      <c r="C498" s="202" t="s">
        <v>1765</v>
      </c>
      <c r="D498" s="154"/>
      <c r="E498" s="154" t="s">
        <v>243</v>
      </c>
      <c r="F498" s="180"/>
    </row>
    <row r="499" customHeight="1" spans="1:6">
      <c r="A499" s="6" t="s">
        <v>1766</v>
      </c>
      <c r="B499" s="223" t="s">
        <v>1767</v>
      </c>
      <c r="C499" s="223" t="s">
        <v>1768</v>
      </c>
      <c r="D499" s="204" t="s">
        <v>1769</v>
      </c>
      <c r="E499" s="204" t="s">
        <v>92</v>
      </c>
      <c r="F499" s="204"/>
    </row>
    <row r="500" customHeight="1" spans="1:6">
      <c r="A500" s="6" t="s">
        <v>1770</v>
      </c>
      <c r="B500" s="214" t="s">
        <v>1771</v>
      </c>
      <c r="C500" s="214" t="s">
        <v>1772</v>
      </c>
      <c r="D500" s="204" t="s">
        <v>1773</v>
      </c>
      <c r="E500" s="204" t="s">
        <v>92</v>
      </c>
      <c r="F500" s="204"/>
    </row>
    <row r="501" customHeight="1" spans="1:6">
      <c r="A501" s="6" t="s">
        <v>1774</v>
      </c>
      <c r="B501" s="214" t="s">
        <v>1775</v>
      </c>
      <c r="C501" s="214" t="s">
        <v>1776</v>
      </c>
      <c r="D501" s="194"/>
      <c r="E501" s="204" t="s">
        <v>92</v>
      </c>
      <c r="F501" s="204"/>
    </row>
    <row r="502" customHeight="1" spans="1:6">
      <c r="A502" s="6" t="s">
        <v>1777</v>
      </c>
      <c r="B502" s="223" t="s">
        <v>1778</v>
      </c>
      <c r="C502" s="223" t="s">
        <v>1779</v>
      </c>
      <c r="D502" s="204" t="s">
        <v>1780</v>
      </c>
      <c r="E502" s="204" t="s">
        <v>92</v>
      </c>
      <c r="F502" s="204"/>
    </row>
    <row r="503" customHeight="1" spans="1:6">
      <c r="A503" s="6" t="s">
        <v>1781</v>
      </c>
      <c r="B503" s="223" t="s">
        <v>1782</v>
      </c>
      <c r="C503" s="223" t="s">
        <v>1783</v>
      </c>
      <c r="D503" s="204" t="s">
        <v>1784</v>
      </c>
      <c r="E503" s="204" t="s">
        <v>92</v>
      </c>
      <c r="F503" s="204"/>
    </row>
    <row r="504" customHeight="1" spans="1:6">
      <c r="A504" s="9" t="s">
        <v>1785</v>
      </c>
      <c r="B504" s="258" t="s">
        <v>1786</v>
      </c>
      <c r="C504" s="258" t="s">
        <v>1787</v>
      </c>
      <c r="D504" s="240" t="s">
        <v>1788</v>
      </c>
      <c r="E504" s="240" t="s">
        <v>92</v>
      </c>
      <c r="F504" s="240"/>
    </row>
    <row r="505" customHeight="1" spans="1:6">
      <c r="A505" s="6" t="s">
        <v>1789</v>
      </c>
      <c r="B505" s="233" t="s">
        <v>1790</v>
      </c>
      <c r="C505" s="233" t="s">
        <v>1791</v>
      </c>
      <c r="D505" s="204" t="s">
        <v>1792</v>
      </c>
      <c r="E505" s="204" t="s">
        <v>605</v>
      </c>
      <c r="F505" s="204" t="s">
        <v>1793</v>
      </c>
    </row>
    <row r="506" customHeight="1" spans="1:6">
      <c r="A506" s="6" t="s">
        <v>1794</v>
      </c>
      <c r="B506" s="259" t="s">
        <v>1795</v>
      </c>
      <c r="C506" s="259" t="s">
        <v>1796</v>
      </c>
      <c r="D506" s="204" t="s">
        <v>1797</v>
      </c>
      <c r="E506" s="204" t="s">
        <v>92</v>
      </c>
      <c r="F506" s="204"/>
    </row>
    <row r="507" customHeight="1" spans="1:6">
      <c r="A507" s="6" t="s">
        <v>1798</v>
      </c>
      <c r="B507" s="233" t="s">
        <v>1799</v>
      </c>
      <c r="C507" s="233" t="s">
        <v>1800</v>
      </c>
      <c r="D507" s="204" t="s">
        <v>1801</v>
      </c>
      <c r="E507" s="204" t="s">
        <v>605</v>
      </c>
      <c r="F507" s="204" t="s">
        <v>1802</v>
      </c>
    </row>
    <row r="508" customHeight="1" spans="1:6">
      <c r="A508" s="6" t="s">
        <v>1803</v>
      </c>
      <c r="B508" s="160" t="s">
        <v>1804</v>
      </c>
      <c r="C508" s="160" t="s">
        <v>1805</v>
      </c>
      <c r="D508" s="204"/>
      <c r="E508" s="204" t="s">
        <v>92</v>
      </c>
      <c r="F508" s="204"/>
    </row>
    <row r="509" customHeight="1" spans="1:6">
      <c r="A509" s="6" t="s">
        <v>1806</v>
      </c>
      <c r="B509" s="160" t="s">
        <v>1807</v>
      </c>
      <c r="C509" s="160" t="s">
        <v>1808</v>
      </c>
      <c r="D509" s="204" t="s">
        <v>1809</v>
      </c>
      <c r="E509" s="204" t="s">
        <v>92</v>
      </c>
      <c r="F509" s="204"/>
    </row>
    <row r="510" customHeight="1" spans="1:6">
      <c r="A510" s="6" t="s">
        <v>1810</v>
      </c>
      <c r="B510" s="223" t="s">
        <v>1811</v>
      </c>
      <c r="C510" s="223" t="s">
        <v>1812</v>
      </c>
      <c r="D510" s="204" t="s">
        <v>1813</v>
      </c>
      <c r="E510" s="204" t="s">
        <v>92</v>
      </c>
      <c r="F510" s="204"/>
    </row>
    <row r="511" customHeight="1" spans="1:6">
      <c r="A511" s="6" t="s">
        <v>1814</v>
      </c>
      <c r="B511" s="214" t="s">
        <v>1815</v>
      </c>
      <c r="C511" s="214" t="s">
        <v>1816</v>
      </c>
      <c r="D511" s="240">
        <v>918543255</v>
      </c>
      <c r="E511" s="204" t="s">
        <v>92</v>
      </c>
      <c r="F511" s="204"/>
    </row>
    <row r="512" customHeight="1" spans="1:6">
      <c r="A512" s="6" t="s">
        <v>1817</v>
      </c>
      <c r="B512" s="160" t="s">
        <v>1818</v>
      </c>
      <c r="C512" s="160" t="s">
        <v>1819</v>
      </c>
      <c r="D512" s="204" t="s">
        <v>1820</v>
      </c>
      <c r="E512" s="204" t="s">
        <v>92</v>
      </c>
      <c r="F512" s="204"/>
    </row>
    <row r="513" customHeight="1" spans="1:6">
      <c r="A513" s="6" t="s">
        <v>1821</v>
      </c>
      <c r="B513" s="223" t="s">
        <v>1822</v>
      </c>
      <c r="C513" s="223" t="s">
        <v>1823</v>
      </c>
      <c r="D513" s="204" t="s">
        <v>1824</v>
      </c>
      <c r="E513" s="204" t="s">
        <v>92</v>
      </c>
      <c r="F513" s="204"/>
    </row>
    <row r="514" customHeight="1" spans="1:6">
      <c r="A514" s="6" t="s">
        <v>1825</v>
      </c>
      <c r="B514" s="223" t="s">
        <v>1826</v>
      </c>
      <c r="C514" s="223" t="s">
        <v>1827</v>
      </c>
      <c r="D514" s="204" t="s">
        <v>1828</v>
      </c>
      <c r="E514" s="204" t="s">
        <v>92</v>
      </c>
      <c r="F514" s="204"/>
    </row>
    <row r="515" customHeight="1" spans="1:6">
      <c r="A515" s="6" t="s">
        <v>1829</v>
      </c>
      <c r="B515" s="205" t="s">
        <v>1830</v>
      </c>
      <c r="C515" s="205" t="s">
        <v>1831</v>
      </c>
      <c r="D515" s="206" t="s">
        <v>1832</v>
      </c>
      <c r="E515" s="193" t="s">
        <v>120</v>
      </c>
      <c r="F515" s="221" t="s">
        <v>1833</v>
      </c>
    </row>
    <row r="516" customHeight="1" spans="1:6">
      <c r="A516" s="6" t="s">
        <v>1834</v>
      </c>
      <c r="B516" s="200" t="s">
        <v>1835</v>
      </c>
      <c r="C516" s="202" t="s">
        <v>1836</v>
      </c>
      <c r="D516" s="154">
        <v>933910038</v>
      </c>
      <c r="E516" s="154" t="s">
        <v>104</v>
      </c>
      <c r="F516" s="180"/>
    </row>
    <row r="517" customHeight="1" spans="1:6">
      <c r="A517" s="6" t="s">
        <v>1837</v>
      </c>
      <c r="B517" s="222" t="str">
        <f>IFERROR(__xludf.DUMMYFUNCTION("""COMPUTED_VALUE"""),"Abel Tesfaw Wale /Ato")</f>
        <v>Abel Tesfaw Wale /Ato</v>
      </c>
      <c r="C517" s="222" t="str">
        <f>IFERROR(__xludf.DUMMYFUNCTION("""COMPUTED_VALUE"""),"አቤል ተስፋው ዋለ /አቶ")</f>
        <v>አቤል ተስፋው ዋለ /አቶ</v>
      </c>
      <c r="D517" s="222" t="str">
        <f>IFERROR(__xludf.DUMMYFUNCTION("""COMPUTED_VALUE"""),"0911-801850
0949505287")</f>
        <v>0911-801850
0949505287</v>
      </c>
      <c r="E517" s="222" t="str">
        <f>IFERROR(__xludf.DUMMYFUNCTION("""COMPUTED_VALUE"""),"Addis Ababa")</f>
        <v>Addis Ababa</v>
      </c>
      <c r="F517" s="222"/>
    </row>
    <row r="518" customHeight="1" spans="1:6">
      <c r="A518" s="6" t="s">
        <v>1838</v>
      </c>
      <c r="B518" s="160" t="s">
        <v>1839</v>
      </c>
      <c r="C518" s="160" t="s">
        <v>1840</v>
      </c>
      <c r="D518" s="204" t="s">
        <v>1841</v>
      </c>
      <c r="E518" s="204" t="s">
        <v>92</v>
      </c>
      <c r="F518" s="204"/>
    </row>
    <row r="519" customHeight="1" spans="1:6">
      <c r="A519" s="6" t="s">
        <v>1842</v>
      </c>
      <c r="B519" s="214" t="s">
        <v>1843</v>
      </c>
      <c r="C519" s="214" t="s">
        <v>1844</v>
      </c>
      <c r="D519" s="194"/>
      <c r="E519" s="204" t="s">
        <v>92</v>
      </c>
      <c r="F519" s="204"/>
    </row>
    <row r="520" customHeight="1" spans="1:6">
      <c r="A520" s="6" t="s">
        <v>1845</v>
      </c>
      <c r="B520" s="200" t="s">
        <v>1846</v>
      </c>
      <c r="C520" s="236" t="s">
        <v>1847</v>
      </c>
      <c r="D520" s="194" t="s">
        <v>1848</v>
      </c>
      <c r="E520" s="154" t="s">
        <v>104</v>
      </c>
      <c r="F520" s="191"/>
    </row>
    <row r="521" customHeight="1" spans="1:6">
      <c r="A521" s="6" t="s">
        <v>1849</v>
      </c>
      <c r="B521" s="195" t="s">
        <v>1850</v>
      </c>
      <c r="C521" s="213" t="s">
        <v>1851</v>
      </c>
      <c r="D521" s="197"/>
      <c r="E521" s="197" t="s">
        <v>1852</v>
      </c>
      <c r="F521" s="197"/>
    </row>
    <row r="522" customHeight="1" spans="1:6">
      <c r="A522" s="6" t="s">
        <v>1853</v>
      </c>
      <c r="B522" s="223" t="s">
        <v>1854</v>
      </c>
      <c r="C522" s="223" t="s">
        <v>1855</v>
      </c>
      <c r="D522" s="204" t="s">
        <v>1856</v>
      </c>
      <c r="E522" s="204" t="s">
        <v>92</v>
      </c>
      <c r="F522" s="204"/>
    </row>
    <row r="523" customHeight="1" spans="1:6">
      <c r="A523" s="6" t="s">
        <v>1857</v>
      </c>
      <c r="B523" s="233" t="s">
        <v>1858</v>
      </c>
      <c r="C523" s="233" t="s">
        <v>1859</v>
      </c>
      <c r="D523" s="204" t="s">
        <v>1860</v>
      </c>
      <c r="E523" s="204" t="s">
        <v>92</v>
      </c>
      <c r="F523" s="204" t="s">
        <v>1861</v>
      </c>
    </row>
    <row r="524" customHeight="1" spans="1:6">
      <c r="A524" s="6" t="s">
        <v>1862</v>
      </c>
      <c r="B524" s="223" t="s">
        <v>1863</v>
      </c>
      <c r="C524" s="223" t="s">
        <v>1864</v>
      </c>
      <c r="D524" s="194"/>
      <c r="E524" s="204" t="s">
        <v>92</v>
      </c>
      <c r="F524" s="204"/>
    </row>
    <row r="525" customHeight="1" spans="1:6">
      <c r="A525" s="6" t="s">
        <v>1865</v>
      </c>
      <c r="B525" s="219" t="s">
        <v>1866</v>
      </c>
      <c r="C525" s="219" t="s">
        <v>1867</v>
      </c>
      <c r="D525" s="194"/>
      <c r="E525" s="204" t="s">
        <v>92</v>
      </c>
      <c r="F525" s="204"/>
    </row>
    <row r="526" customHeight="1" spans="1:6">
      <c r="A526" s="6" t="s">
        <v>1868</v>
      </c>
      <c r="B526" s="200" t="s">
        <v>1869</v>
      </c>
      <c r="C526" s="192" t="s">
        <v>1870</v>
      </c>
      <c r="D526" s="194"/>
      <c r="E526" s="194" t="s">
        <v>104</v>
      </c>
      <c r="F526" s="194"/>
    </row>
    <row r="527" customHeight="1" spans="1:6">
      <c r="A527" s="6" t="s">
        <v>1871</v>
      </c>
      <c r="B527" s="214" t="s">
        <v>1872</v>
      </c>
      <c r="C527" s="214" t="s">
        <v>1873</v>
      </c>
      <c r="D527" s="194"/>
      <c r="E527" s="204" t="s">
        <v>92</v>
      </c>
      <c r="F527" s="204"/>
    </row>
    <row r="528" customHeight="1" spans="1:6">
      <c r="A528" s="6" t="s">
        <v>1874</v>
      </c>
      <c r="B528" s="201" t="s">
        <v>1875</v>
      </c>
      <c r="C528" s="202" t="s">
        <v>1876</v>
      </c>
      <c r="D528" s="154" t="s">
        <v>1877</v>
      </c>
      <c r="E528" s="154" t="s">
        <v>243</v>
      </c>
      <c r="F528" s="180"/>
    </row>
    <row r="529" customHeight="1" spans="1:6">
      <c r="A529" s="6" t="s">
        <v>1878</v>
      </c>
      <c r="B529" s="233" t="s">
        <v>1879</v>
      </c>
      <c r="C529" s="233" t="s">
        <v>1880</v>
      </c>
      <c r="D529" s="223" t="s">
        <v>1881</v>
      </c>
      <c r="E529" s="204" t="s">
        <v>605</v>
      </c>
      <c r="F529" s="204" t="s">
        <v>1882</v>
      </c>
    </row>
    <row r="530" customHeight="1" spans="1:6">
      <c r="A530" s="6" t="s">
        <v>1883</v>
      </c>
      <c r="B530" s="160" t="s">
        <v>1884</v>
      </c>
      <c r="C530" s="160" t="s">
        <v>1885</v>
      </c>
      <c r="D530" s="204" t="s">
        <v>1886</v>
      </c>
      <c r="E530" s="204" t="s">
        <v>92</v>
      </c>
      <c r="F530" s="204"/>
    </row>
    <row r="531" customHeight="1" spans="1:6">
      <c r="A531" s="6" t="s">
        <v>1887</v>
      </c>
      <c r="B531" s="214" t="s">
        <v>1888</v>
      </c>
      <c r="C531" s="214" t="s">
        <v>1889</v>
      </c>
      <c r="D531" s="204" t="s">
        <v>1890</v>
      </c>
      <c r="E531" s="204" t="s">
        <v>92</v>
      </c>
      <c r="F531" s="204"/>
    </row>
    <row r="532" customHeight="1" spans="1:6">
      <c r="A532" s="6" t="s">
        <v>1891</v>
      </c>
      <c r="B532" s="214" t="s">
        <v>1892</v>
      </c>
      <c r="C532" s="214" t="s">
        <v>1893</v>
      </c>
      <c r="D532" s="194"/>
      <c r="E532" s="204" t="s">
        <v>92</v>
      </c>
      <c r="F532" s="204"/>
    </row>
    <row r="533" customHeight="1" spans="1:6">
      <c r="A533" s="6" t="s">
        <v>1894</v>
      </c>
      <c r="B533" s="205" t="s">
        <v>1895</v>
      </c>
      <c r="C533" s="205" t="s">
        <v>1896</v>
      </c>
      <c r="D533" s="206" t="s">
        <v>1897</v>
      </c>
      <c r="E533" s="193" t="s">
        <v>120</v>
      </c>
      <c r="F533" s="221" t="s">
        <v>1898</v>
      </c>
    </row>
    <row r="534" customHeight="1" spans="1:6">
      <c r="A534" s="6" t="s">
        <v>1899</v>
      </c>
      <c r="B534" s="204" t="s">
        <v>1900</v>
      </c>
      <c r="C534" s="204" t="s">
        <v>1901</v>
      </c>
      <c r="D534" s="194"/>
      <c r="E534" s="204" t="s">
        <v>92</v>
      </c>
      <c r="F534" s="204"/>
    </row>
    <row r="535" customHeight="1" spans="1:6">
      <c r="A535" s="6" t="s">
        <v>1902</v>
      </c>
      <c r="B535" s="233" t="s">
        <v>1903</v>
      </c>
      <c r="C535" s="233" t="s">
        <v>1904</v>
      </c>
      <c r="D535" s="204" t="s">
        <v>1905</v>
      </c>
      <c r="E535" s="204" t="s">
        <v>92</v>
      </c>
      <c r="F535" s="204" t="s">
        <v>1906</v>
      </c>
    </row>
    <row r="536" customHeight="1" spans="1:6">
      <c r="A536" s="6" t="s">
        <v>1907</v>
      </c>
      <c r="B536" s="160" t="s">
        <v>1908</v>
      </c>
      <c r="C536" s="160" t="s">
        <v>1909</v>
      </c>
      <c r="D536" s="204" t="s">
        <v>1910</v>
      </c>
      <c r="E536" s="204" t="s">
        <v>92</v>
      </c>
      <c r="F536" s="204"/>
    </row>
    <row r="537" customHeight="1" spans="1:6">
      <c r="A537" s="6" t="s">
        <v>1911</v>
      </c>
      <c r="B537" s="160" t="s">
        <v>1912</v>
      </c>
      <c r="C537" s="160" t="s">
        <v>1913</v>
      </c>
      <c r="D537" s="204" t="s">
        <v>1914</v>
      </c>
      <c r="E537" s="204" t="s">
        <v>92</v>
      </c>
      <c r="F537" s="204"/>
    </row>
    <row r="538" customHeight="1" spans="1:6">
      <c r="A538" s="6" t="s">
        <v>1915</v>
      </c>
      <c r="B538" s="223" t="s">
        <v>1916</v>
      </c>
      <c r="C538" s="223" t="s">
        <v>1917</v>
      </c>
      <c r="D538" s="204" t="s">
        <v>1918</v>
      </c>
      <c r="E538" s="204" t="s">
        <v>92</v>
      </c>
      <c r="F538" s="204"/>
    </row>
    <row r="539" customHeight="1" spans="1:6">
      <c r="A539" s="6" t="s">
        <v>1919</v>
      </c>
      <c r="B539" s="160" t="s">
        <v>1920</v>
      </c>
      <c r="C539" s="160" t="s">
        <v>1921</v>
      </c>
      <c r="D539" s="204" t="s">
        <v>1922</v>
      </c>
      <c r="E539" s="204" t="s">
        <v>92</v>
      </c>
      <c r="F539" s="204"/>
    </row>
    <row r="540" customHeight="1" spans="1:6">
      <c r="A540" s="6" t="s">
        <v>1923</v>
      </c>
      <c r="B540" s="160" t="s">
        <v>1924</v>
      </c>
      <c r="C540" s="160" t="s">
        <v>1925</v>
      </c>
      <c r="D540" s="204" t="s">
        <v>1926</v>
      </c>
      <c r="E540" s="204" t="s">
        <v>92</v>
      </c>
      <c r="F540" s="204"/>
    </row>
    <row r="541" customHeight="1" spans="1:6">
      <c r="A541" s="6" t="s">
        <v>1927</v>
      </c>
      <c r="B541" s="195" t="s">
        <v>1928</v>
      </c>
      <c r="C541" s="213" t="s">
        <v>1929</v>
      </c>
      <c r="D541" s="197"/>
      <c r="E541" s="197" t="s">
        <v>1852</v>
      </c>
      <c r="F541" s="197"/>
    </row>
    <row r="542" customHeight="1" spans="1:6">
      <c r="A542" s="6" t="s">
        <v>1930</v>
      </c>
      <c r="B542" s="153" t="s">
        <v>1931</v>
      </c>
      <c r="C542" s="202" t="s">
        <v>1932</v>
      </c>
      <c r="D542" s="154" t="s">
        <v>1933</v>
      </c>
      <c r="E542" s="154" t="s">
        <v>243</v>
      </c>
      <c r="F542" s="180"/>
    </row>
    <row r="543" customHeight="1" spans="1:6">
      <c r="A543" s="6" t="s">
        <v>1934</v>
      </c>
      <c r="B543" s="200" t="s">
        <v>1935</v>
      </c>
      <c r="C543" s="236" t="s">
        <v>1936</v>
      </c>
      <c r="D543" s="194">
        <v>947972705</v>
      </c>
      <c r="E543" s="193" t="s">
        <v>202</v>
      </c>
      <c r="F543" s="191"/>
    </row>
    <row r="544" customHeight="1" spans="1:6">
      <c r="A544" s="6" t="s">
        <v>1937</v>
      </c>
      <c r="B544" s="195" t="s">
        <v>1938</v>
      </c>
      <c r="C544" s="212" t="s">
        <v>1939</v>
      </c>
      <c r="D544" s="197" t="s">
        <v>1940</v>
      </c>
      <c r="E544" s="154" t="s">
        <v>104</v>
      </c>
      <c r="F544" s="199"/>
    </row>
    <row r="545" customHeight="1" spans="1:6">
      <c r="A545" s="6" t="s">
        <v>1941</v>
      </c>
      <c r="B545" s="200" t="s">
        <v>1942</v>
      </c>
      <c r="C545" s="202" t="s">
        <v>1943</v>
      </c>
      <c r="D545" s="152" t="s">
        <v>1944</v>
      </c>
      <c r="E545" s="154" t="s">
        <v>243</v>
      </c>
      <c r="F545" s="180"/>
    </row>
    <row r="546" customHeight="1" spans="1:6">
      <c r="A546" s="6" t="s">
        <v>1945</v>
      </c>
      <c r="B546" s="214" t="s">
        <v>1946</v>
      </c>
      <c r="C546" s="214" t="s">
        <v>1947</v>
      </c>
      <c r="D546" s="194"/>
      <c r="E546" s="204" t="s">
        <v>92</v>
      </c>
      <c r="F546" s="204"/>
    </row>
    <row r="547" customHeight="1" spans="1:6">
      <c r="A547" s="6" t="s">
        <v>1948</v>
      </c>
      <c r="B547" s="195" t="s">
        <v>1949</v>
      </c>
      <c r="C547" s="196" t="s">
        <v>1950</v>
      </c>
      <c r="D547" s="197"/>
      <c r="E547" s="197" t="s">
        <v>186</v>
      </c>
      <c r="F547" s="197"/>
    </row>
    <row r="548" customHeight="1" spans="1:6">
      <c r="A548" s="6" t="s">
        <v>1951</v>
      </c>
      <c r="B548" s="195" t="s">
        <v>1952</v>
      </c>
      <c r="C548" s="202" t="s">
        <v>1953</v>
      </c>
      <c r="D548" s="152" t="s">
        <v>1954</v>
      </c>
      <c r="E548" s="154"/>
      <c r="F548" s="180"/>
    </row>
    <row r="549" customHeight="1" spans="1:6">
      <c r="A549" s="6" t="s">
        <v>1955</v>
      </c>
      <c r="B549" s="195" t="s">
        <v>1956</v>
      </c>
      <c r="C549" s="196" t="s">
        <v>1957</v>
      </c>
      <c r="D549" s="197"/>
      <c r="E549" s="198" t="s">
        <v>1958</v>
      </c>
      <c r="F549" s="199"/>
    </row>
    <row r="550" customHeight="1" spans="1:6">
      <c r="A550" s="6" t="s">
        <v>1959</v>
      </c>
      <c r="B550" s="200" t="s">
        <v>1960</v>
      </c>
      <c r="C550" s="246" t="s">
        <v>1961</v>
      </c>
      <c r="D550" s="194" t="s">
        <v>1962</v>
      </c>
      <c r="E550" s="194" t="s">
        <v>186</v>
      </c>
      <c r="F550" s="194"/>
    </row>
    <row r="551" customHeight="1" spans="1:6">
      <c r="A551" s="6" t="s">
        <v>1963</v>
      </c>
      <c r="B551" s="201" t="s">
        <v>1964</v>
      </c>
      <c r="C551" s="202" t="s">
        <v>1965</v>
      </c>
      <c r="D551" s="154" t="s">
        <v>1966</v>
      </c>
      <c r="E551" s="154" t="s">
        <v>243</v>
      </c>
      <c r="F551" s="180"/>
    </row>
    <row r="552" customHeight="1" spans="1:6">
      <c r="A552" s="6" t="s">
        <v>1967</v>
      </c>
      <c r="B552" s="194" t="s">
        <v>1968</v>
      </c>
      <c r="C552" s="202" t="s">
        <v>1969</v>
      </c>
      <c r="D552" s="158">
        <v>916160705</v>
      </c>
      <c r="E552" s="158" t="s">
        <v>1218</v>
      </c>
      <c r="F552" s="153"/>
    </row>
    <row r="553" customHeight="1" spans="1:6">
      <c r="A553" s="6" t="s">
        <v>1970</v>
      </c>
      <c r="B553" s="200" t="s">
        <v>1971</v>
      </c>
      <c r="C553" s="202" t="s">
        <v>1972</v>
      </c>
      <c r="D553" s="152"/>
      <c r="E553" s="154" t="s">
        <v>181</v>
      </c>
      <c r="F553" s="180"/>
    </row>
    <row r="554" customHeight="1" spans="1:6">
      <c r="A554" s="6" t="s">
        <v>1973</v>
      </c>
      <c r="B554" s="201" t="s">
        <v>1974</v>
      </c>
      <c r="C554" s="202" t="s">
        <v>1975</v>
      </c>
      <c r="D554" s="154"/>
      <c r="E554" s="154" t="s">
        <v>243</v>
      </c>
      <c r="F554" s="180"/>
    </row>
    <row r="555" customHeight="1" spans="1:6">
      <c r="A555" s="6" t="s">
        <v>1976</v>
      </c>
      <c r="B555" s="201" t="s">
        <v>1977</v>
      </c>
      <c r="C555" s="202" t="s">
        <v>1978</v>
      </c>
      <c r="D555" s="158">
        <v>988372877</v>
      </c>
      <c r="E555" s="158" t="s">
        <v>211</v>
      </c>
      <c r="F555" s="153"/>
    </row>
    <row r="556" customHeight="1" spans="1:6">
      <c r="A556" s="6" t="s">
        <v>1979</v>
      </c>
      <c r="B556" s="153" t="s">
        <v>1980</v>
      </c>
      <c r="C556" s="202" t="s">
        <v>1981</v>
      </c>
      <c r="D556" s="154">
        <v>918502833</v>
      </c>
      <c r="E556" s="154" t="s">
        <v>104</v>
      </c>
      <c r="F556" s="180"/>
    </row>
    <row r="557" customHeight="1" spans="1:6">
      <c r="A557" s="6" t="s">
        <v>1982</v>
      </c>
      <c r="B557" s="214" t="s">
        <v>1983</v>
      </c>
      <c r="C557" s="214" t="s">
        <v>1984</v>
      </c>
      <c r="D557" s="194"/>
      <c r="E557" s="204" t="s">
        <v>92</v>
      </c>
      <c r="F557" s="204"/>
    </row>
    <row r="558" customHeight="1" spans="1:6">
      <c r="A558" s="6" t="s">
        <v>1985</v>
      </c>
      <c r="B558" s="195" t="s">
        <v>1986</v>
      </c>
      <c r="C558" s="202" t="s">
        <v>1987</v>
      </c>
      <c r="D558" s="341" t="s">
        <v>1988</v>
      </c>
      <c r="E558" s="154" t="s">
        <v>181</v>
      </c>
      <c r="F558" s="180"/>
    </row>
    <row r="559" customHeight="1" spans="1:6">
      <c r="A559" s="6" t="s">
        <v>1989</v>
      </c>
      <c r="B559" s="194" t="s">
        <v>1990</v>
      </c>
      <c r="C559" s="192" t="s">
        <v>1991</v>
      </c>
      <c r="D559" s="197"/>
      <c r="E559" s="197" t="s">
        <v>310</v>
      </c>
      <c r="F559" s="197"/>
    </row>
    <row r="560" customHeight="1" spans="1:6">
      <c r="A560" s="6" t="s">
        <v>1992</v>
      </c>
      <c r="B560" s="195" t="s">
        <v>1993</v>
      </c>
      <c r="C560" s="202" t="s">
        <v>1994</v>
      </c>
      <c r="D560" s="152"/>
      <c r="E560" s="154" t="s">
        <v>211</v>
      </c>
      <c r="F560" s="180"/>
    </row>
    <row r="561" customHeight="1" spans="1:6">
      <c r="A561" s="6" t="s">
        <v>1995</v>
      </c>
      <c r="B561" s="217" t="s">
        <v>1996</v>
      </c>
      <c r="C561" s="218" t="s">
        <v>1997</v>
      </c>
      <c r="D561" s="155"/>
      <c r="E561" s="154" t="s">
        <v>1218</v>
      </c>
      <c r="F561" s="180"/>
    </row>
    <row r="562" customHeight="1" spans="1:6">
      <c r="A562" s="6" t="s">
        <v>1998</v>
      </c>
      <c r="B562" s="153" t="s">
        <v>1999</v>
      </c>
      <c r="C562" s="202" t="s">
        <v>2000</v>
      </c>
      <c r="D562" s="154"/>
      <c r="E562" s="154" t="s">
        <v>181</v>
      </c>
      <c r="F562" s="180"/>
    </row>
    <row r="563" customHeight="1" spans="1:6">
      <c r="A563" s="6" t="s">
        <v>2001</v>
      </c>
      <c r="B563" s="200" t="s">
        <v>2002</v>
      </c>
      <c r="C563" s="202" t="s">
        <v>2003</v>
      </c>
      <c r="D563" s="152" t="s">
        <v>2004</v>
      </c>
      <c r="E563" s="154" t="s">
        <v>181</v>
      </c>
      <c r="F563" s="180"/>
    </row>
    <row r="564" customHeight="1" spans="1:6">
      <c r="A564" s="6" t="s">
        <v>2005</v>
      </c>
      <c r="B564" s="153" t="s">
        <v>2006</v>
      </c>
      <c r="C564" s="202" t="s">
        <v>2007</v>
      </c>
      <c r="D564" s="154"/>
      <c r="E564" s="154" t="s">
        <v>161</v>
      </c>
      <c r="F564" s="180"/>
    </row>
    <row r="565" customHeight="1" spans="1:6">
      <c r="A565" s="6" t="s">
        <v>2008</v>
      </c>
      <c r="B565" s="158" t="s">
        <v>2009</v>
      </c>
      <c r="C565" s="202" t="s">
        <v>2010</v>
      </c>
      <c r="D565" s="158" t="s">
        <v>2011</v>
      </c>
      <c r="E565" s="154" t="s">
        <v>211</v>
      </c>
      <c r="F565" s="180"/>
    </row>
    <row r="566" customHeight="1" spans="1:6">
      <c r="A566" s="9" t="s">
        <v>2012</v>
      </c>
      <c r="B566" s="258" t="s">
        <v>2013</v>
      </c>
      <c r="C566" s="258" t="s">
        <v>2014</v>
      </c>
      <c r="D566" s="240" t="s">
        <v>2015</v>
      </c>
      <c r="E566" s="240" t="s">
        <v>92</v>
      </c>
      <c r="F566" s="240"/>
    </row>
    <row r="567" customHeight="1" spans="1:6">
      <c r="A567" s="6" t="s">
        <v>2016</v>
      </c>
      <c r="B567" s="195" t="s">
        <v>2017</v>
      </c>
      <c r="C567" s="196" t="s">
        <v>2018</v>
      </c>
      <c r="D567" s="197"/>
      <c r="E567" s="198" t="s">
        <v>202</v>
      </c>
      <c r="F567" s="199"/>
    </row>
    <row r="568" customHeight="1" spans="1:6">
      <c r="A568" s="6" t="s">
        <v>2019</v>
      </c>
      <c r="B568" s="201" t="s">
        <v>2020</v>
      </c>
      <c r="C568" s="202" t="s">
        <v>2021</v>
      </c>
      <c r="D568" s="154" t="s">
        <v>2022</v>
      </c>
      <c r="E568" s="154" t="s">
        <v>243</v>
      </c>
      <c r="F568" s="180"/>
    </row>
    <row r="569" customHeight="1" spans="1:6">
      <c r="A569" s="6" t="s">
        <v>2023</v>
      </c>
      <c r="B569" s="201" t="s">
        <v>2024</v>
      </c>
      <c r="C569" s="202" t="s">
        <v>2025</v>
      </c>
      <c r="D569" s="154"/>
      <c r="E569" s="154" t="s">
        <v>243</v>
      </c>
      <c r="F569" s="180"/>
    </row>
    <row r="570" customHeight="1" spans="1:6">
      <c r="A570" s="6" t="s">
        <v>2026</v>
      </c>
      <c r="B570" s="223" t="s">
        <v>2027</v>
      </c>
      <c r="C570" s="223" t="s">
        <v>2028</v>
      </c>
      <c r="D570" s="204" t="s">
        <v>2029</v>
      </c>
      <c r="E570" s="204" t="s">
        <v>92</v>
      </c>
      <c r="F570" s="204"/>
    </row>
    <row r="571" customHeight="1" spans="1:6">
      <c r="A571" s="6" t="s">
        <v>2030</v>
      </c>
      <c r="B571" s="200" t="s">
        <v>2031</v>
      </c>
      <c r="C571" s="202" t="s">
        <v>2032</v>
      </c>
      <c r="D571" s="152" t="s">
        <v>2033</v>
      </c>
      <c r="E571" s="154"/>
      <c r="F571" s="180"/>
    </row>
    <row r="572" customHeight="1" spans="1:6">
      <c r="A572" s="6" t="s">
        <v>2034</v>
      </c>
      <c r="B572" s="195" t="s">
        <v>2035</v>
      </c>
      <c r="C572" s="202" t="s">
        <v>2036</v>
      </c>
      <c r="D572" s="152"/>
      <c r="E572" s="154" t="s">
        <v>232</v>
      </c>
      <c r="F572" s="180"/>
    </row>
    <row r="573" customHeight="1" spans="1:6">
      <c r="A573" s="6" t="s">
        <v>2037</v>
      </c>
      <c r="B573" s="160" t="s">
        <v>2038</v>
      </c>
      <c r="C573" s="160" t="s">
        <v>2039</v>
      </c>
      <c r="D573" s="204" t="s">
        <v>2040</v>
      </c>
      <c r="E573" s="204" t="s">
        <v>92</v>
      </c>
      <c r="F573" s="204"/>
    </row>
    <row r="574" customHeight="1" spans="1:6">
      <c r="A574" s="6" t="s">
        <v>2041</v>
      </c>
      <c r="B574" s="201" t="s">
        <v>2042</v>
      </c>
      <c r="C574" s="202" t="s">
        <v>2043</v>
      </c>
      <c r="D574" s="154" t="s">
        <v>2044</v>
      </c>
      <c r="E574" s="154" t="s">
        <v>243</v>
      </c>
      <c r="F574" s="180"/>
    </row>
    <row r="575" customHeight="1" spans="1:6">
      <c r="A575" s="6" t="s">
        <v>2045</v>
      </c>
      <c r="B575" s="200" t="s">
        <v>2046</v>
      </c>
      <c r="C575" s="202" t="s">
        <v>2047</v>
      </c>
      <c r="D575" s="152" t="s">
        <v>2048</v>
      </c>
      <c r="E575" s="154" t="s">
        <v>181</v>
      </c>
      <c r="F575" s="180"/>
    </row>
    <row r="576" customHeight="1" spans="1:6">
      <c r="A576" s="6" t="s">
        <v>2049</v>
      </c>
      <c r="B576" s="214" t="s">
        <v>2050</v>
      </c>
      <c r="C576" s="214" t="s">
        <v>2051</v>
      </c>
      <c r="D576" s="194"/>
      <c r="E576" s="204" t="s">
        <v>92</v>
      </c>
      <c r="F576" s="204"/>
    </row>
    <row r="577" customHeight="1" spans="1:6">
      <c r="A577" s="6" t="s">
        <v>2052</v>
      </c>
      <c r="B577" s="158" t="s">
        <v>2053</v>
      </c>
      <c r="C577" s="202" t="s">
        <v>2054</v>
      </c>
      <c r="D577" s="153"/>
      <c r="E577" s="180" t="s">
        <v>104</v>
      </c>
      <c r="F577" s="180"/>
    </row>
    <row r="578" customHeight="1" spans="1:6">
      <c r="A578" s="6" t="s">
        <v>2055</v>
      </c>
      <c r="B578" s="200" t="s">
        <v>2056</v>
      </c>
      <c r="C578" s="202" t="s">
        <v>2057</v>
      </c>
      <c r="D578" s="154" t="s">
        <v>2058</v>
      </c>
      <c r="E578" s="154" t="s">
        <v>181</v>
      </c>
      <c r="F578" s="180"/>
    </row>
    <row r="579" customHeight="1" spans="1:6">
      <c r="A579" s="6" t="s">
        <v>2059</v>
      </c>
      <c r="B579" s="223" t="s">
        <v>2060</v>
      </c>
      <c r="C579" s="223" t="s">
        <v>2061</v>
      </c>
      <c r="D579" s="204" t="s">
        <v>2062</v>
      </c>
      <c r="E579" s="204" t="s">
        <v>92</v>
      </c>
      <c r="F579" s="204"/>
    </row>
    <row r="580" customHeight="1" spans="1:6">
      <c r="A580" s="9" t="s">
        <v>2063</v>
      </c>
      <c r="B580" s="258" t="s">
        <v>2064</v>
      </c>
      <c r="C580" s="258" t="s">
        <v>2065</v>
      </c>
      <c r="D580" s="240" t="s">
        <v>2066</v>
      </c>
      <c r="E580" s="240" t="s">
        <v>2067</v>
      </c>
      <c r="F580" s="240" t="s">
        <v>2068</v>
      </c>
    </row>
    <row r="581" customHeight="1" spans="1:6">
      <c r="A581" s="6" t="s">
        <v>2069</v>
      </c>
      <c r="B581" s="195" t="s">
        <v>2070</v>
      </c>
      <c r="C581" s="202" t="s">
        <v>2071</v>
      </c>
      <c r="D581" s="154"/>
      <c r="E581" s="154" t="s">
        <v>181</v>
      </c>
      <c r="F581" s="180"/>
    </row>
    <row r="582" customHeight="1" spans="1:6">
      <c r="A582" s="6" t="s">
        <v>2072</v>
      </c>
      <c r="B582" s="200" t="s">
        <v>2073</v>
      </c>
      <c r="C582" s="246" t="s">
        <v>2074</v>
      </c>
      <c r="D582" s="194"/>
      <c r="E582" s="194" t="s">
        <v>243</v>
      </c>
      <c r="F582" s="194"/>
    </row>
    <row r="583" customHeight="1" spans="1:6">
      <c r="A583" s="6" t="s">
        <v>2075</v>
      </c>
      <c r="B583" s="195" t="s">
        <v>2076</v>
      </c>
      <c r="C583" s="202" t="s">
        <v>2077</v>
      </c>
      <c r="D583" s="152" t="s">
        <v>2078</v>
      </c>
      <c r="E583" s="154" t="s">
        <v>181</v>
      </c>
      <c r="F583" s="180"/>
    </row>
    <row r="584" customHeight="1" spans="1:6">
      <c r="A584" s="6" t="s">
        <v>2079</v>
      </c>
      <c r="B584" s="220" t="str">
        <f>IFERROR(__xludf.DUMMYFUNCTION("""COMPUTED_VALUE"""),"Abera Mamo Metito")</f>
        <v>Abera Mamo Metito</v>
      </c>
      <c r="C584" s="220" t="str">
        <f>IFERROR(__xludf.DUMMYFUNCTION("""COMPUTED_VALUE"""),"አበራ ማሞ መቲቶ")</f>
        <v>አበራ ማሞ መቲቶ</v>
      </c>
      <c r="D584" s="220" t="str">
        <f>IFERROR(__xludf.DUMMYFUNCTION("""COMPUTED_VALUE"""),"913732757")</f>
        <v>913732757</v>
      </c>
      <c r="E584" s="220" t="str">
        <f>IFERROR(__xludf.DUMMYFUNCTION("""COMPUTED_VALUE"""),"A A")</f>
        <v>A A</v>
      </c>
      <c r="F584" s="220"/>
    </row>
    <row r="585" customHeight="1" spans="1:6">
      <c r="A585" s="6" t="s">
        <v>2080</v>
      </c>
      <c r="B585" s="195" t="s">
        <v>2081</v>
      </c>
      <c r="C585" s="196" t="s">
        <v>2082</v>
      </c>
      <c r="D585" s="197" t="s">
        <v>2083</v>
      </c>
      <c r="E585" s="197" t="s">
        <v>202</v>
      </c>
      <c r="F585" s="197"/>
    </row>
    <row r="586" customHeight="1" spans="1:6">
      <c r="A586" s="6" t="s">
        <v>2084</v>
      </c>
      <c r="B586" s="201" t="s">
        <v>2085</v>
      </c>
      <c r="C586" s="202" t="s">
        <v>2086</v>
      </c>
      <c r="D586" s="154" t="s">
        <v>2087</v>
      </c>
      <c r="E586" s="154" t="s">
        <v>211</v>
      </c>
      <c r="F586" s="180"/>
    </row>
    <row r="587" customHeight="1" spans="1:6">
      <c r="A587" s="6" t="s">
        <v>2088</v>
      </c>
      <c r="B587" s="195" t="s">
        <v>2089</v>
      </c>
      <c r="C587" s="202" t="s">
        <v>2090</v>
      </c>
      <c r="D587" s="154"/>
      <c r="E587" s="154" t="s">
        <v>181</v>
      </c>
      <c r="F587" s="180"/>
    </row>
    <row r="588" customHeight="1" spans="1:6">
      <c r="A588" s="6" t="s">
        <v>2091</v>
      </c>
      <c r="B588" s="200" t="s">
        <v>2092</v>
      </c>
      <c r="C588" s="202" t="s">
        <v>2093</v>
      </c>
      <c r="D588" s="154"/>
      <c r="E588" s="154" t="s">
        <v>181</v>
      </c>
      <c r="F588" s="180"/>
    </row>
    <row r="589" customHeight="1" spans="1:6">
      <c r="A589" s="6" t="s">
        <v>2094</v>
      </c>
      <c r="B589" s="153" t="s">
        <v>2095</v>
      </c>
      <c r="C589" s="202" t="s">
        <v>2096</v>
      </c>
      <c r="D589" s="154">
        <v>905989769</v>
      </c>
      <c r="E589" s="154" t="s">
        <v>104</v>
      </c>
      <c r="F589" s="180"/>
    </row>
    <row r="590" customHeight="1" spans="1:6">
      <c r="A590" s="6" t="s">
        <v>2097</v>
      </c>
      <c r="B590" s="201" t="s">
        <v>2098</v>
      </c>
      <c r="C590" s="202" t="s">
        <v>2099</v>
      </c>
      <c r="D590" s="154" t="s">
        <v>2100</v>
      </c>
      <c r="E590" s="154" t="s">
        <v>243</v>
      </c>
      <c r="F590" s="180"/>
    </row>
    <row r="591" customHeight="1" spans="1:6">
      <c r="A591" s="6" t="s">
        <v>2101</v>
      </c>
      <c r="B591" s="201" t="s">
        <v>2102</v>
      </c>
      <c r="C591" s="202" t="s">
        <v>2103</v>
      </c>
      <c r="D591" s="154">
        <v>916436245</v>
      </c>
      <c r="E591" s="154" t="s">
        <v>211</v>
      </c>
      <c r="F591" s="180"/>
    </row>
    <row r="592" customHeight="1" spans="1:6">
      <c r="A592" s="6" t="s">
        <v>2104</v>
      </c>
      <c r="B592" s="233" t="s">
        <v>2105</v>
      </c>
      <c r="C592" s="233" t="s">
        <v>2106</v>
      </c>
      <c r="D592" s="204" t="s">
        <v>2107</v>
      </c>
      <c r="E592" s="204" t="s">
        <v>605</v>
      </c>
      <c r="F592" s="204" t="s">
        <v>2108</v>
      </c>
    </row>
    <row r="593" customHeight="1" spans="1:6">
      <c r="A593" s="6" t="s">
        <v>2109</v>
      </c>
      <c r="B593" s="260" t="s">
        <v>2110</v>
      </c>
      <c r="C593" s="243" t="s">
        <v>2111</v>
      </c>
      <c r="D593" s="154">
        <v>986520011</v>
      </c>
      <c r="E593" s="158" t="s">
        <v>243</v>
      </c>
      <c r="F593" s="153"/>
    </row>
    <row r="594" customHeight="1" spans="1:6">
      <c r="A594" s="6" t="s">
        <v>2112</v>
      </c>
      <c r="B594" s="200" t="s">
        <v>2113</v>
      </c>
      <c r="C594" s="202" t="s">
        <v>2114</v>
      </c>
      <c r="D594" s="152"/>
      <c r="E594" s="154"/>
      <c r="F594" s="180"/>
    </row>
    <row r="595" customHeight="1" spans="1:6">
      <c r="A595" s="6" t="s">
        <v>2115</v>
      </c>
      <c r="B595" s="201" t="s">
        <v>2116</v>
      </c>
      <c r="C595" s="202" t="s">
        <v>2117</v>
      </c>
      <c r="D595" s="154" t="s">
        <v>2118</v>
      </c>
      <c r="E595" s="154" t="s">
        <v>58</v>
      </c>
      <c r="F595" s="180"/>
    </row>
    <row r="596" customHeight="1" spans="1:6">
      <c r="A596" s="6" t="s">
        <v>2119</v>
      </c>
      <c r="B596" s="219" t="s">
        <v>2120</v>
      </c>
      <c r="C596" s="219" t="s">
        <v>2121</v>
      </c>
      <c r="D596" s="194"/>
      <c r="E596" s="204" t="s">
        <v>92</v>
      </c>
      <c r="F596" s="204"/>
    </row>
    <row r="597" customHeight="1" spans="1:6">
      <c r="A597" s="6" t="s">
        <v>2122</v>
      </c>
      <c r="B597" s="158" t="s">
        <v>2123</v>
      </c>
      <c r="C597" s="202" t="s">
        <v>2124</v>
      </c>
      <c r="D597" s="158">
        <v>925110929</v>
      </c>
      <c r="E597" s="154" t="s">
        <v>211</v>
      </c>
      <c r="F597" s="180"/>
    </row>
    <row r="598" customHeight="1" spans="1:6">
      <c r="A598" s="6" t="s">
        <v>2125</v>
      </c>
      <c r="B598" s="208" t="s">
        <v>2126</v>
      </c>
      <c r="C598" s="208" t="s">
        <v>2127</v>
      </c>
      <c r="D598" s="194"/>
      <c r="E598" s="204" t="s">
        <v>92</v>
      </c>
      <c r="F598" s="204"/>
    </row>
    <row r="599" customHeight="1" spans="1:6">
      <c r="A599" s="6" t="s">
        <v>2128</v>
      </c>
      <c r="B599" s="201" t="s">
        <v>2129</v>
      </c>
      <c r="C599" s="202" t="s">
        <v>2130</v>
      </c>
      <c r="D599" s="154"/>
      <c r="E599" s="154" t="s">
        <v>243</v>
      </c>
      <c r="F599" s="180"/>
    </row>
    <row r="600" customHeight="1" spans="1:6">
      <c r="A600" s="6" t="s">
        <v>2131</v>
      </c>
      <c r="B600" s="205" t="s">
        <v>2132</v>
      </c>
      <c r="C600" s="205" t="s">
        <v>2133</v>
      </c>
      <c r="D600" s="206" t="s">
        <v>2134</v>
      </c>
      <c r="E600" s="193" t="s">
        <v>120</v>
      </c>
      <c r="F600" s="207" t="s">
        <v>2135</v>
      </c>
    </row>
    <row r="601" customHeight="1" spans="1:6">
      <c r="A601" s="6" t="s">
        <v>2136</v>
      </c>
      <c r="B601" s="233" t="s">
        <v>2137</v>
      </c>
      <c r="C601" s="233" t="s">
        <v>2138</v>
      </c>
      <c r="D601" s="204" t="s">
        <v>2139</v>
      </c>
      <c r="E601" s="204" t="s">
        <v>2067</v>
      </c>
      <c r="F601" s="204" t="s">
        <v>2140</v>
      </c>
    </row>
    <row r="602" customHeight="1" spans="1:6">
      <c r="A602" s="6" t="s">
        <v>2141</v>
      </c>
      <c r="B602" s="158" t="s">
        <v>2142</v>
      </c>
      <c r="C602" s="202" t="s">
        <v>2143</v>
      </c>
      <c r="D602" s="158"/>
      <c r="E602" s="154"/>
      <c r="F602" s="261"/>
    </row>
    <row r="603" customHeight="1" spans="1:6">
      <c r="A603" s="6" t="s">
        <v>2144</v>
      </c>
      <c r="B603" s="201" t="s">
        <v>2145</v>
      </c>
      <c r="C603" s="202" t="s">
        <v>2146</v>
      </c>
      <c r="D603" s="154" t="s">
        <v>2147</v>
      </c>
      <c r="E603" s="210" t="s">
        <v>104</v>
      </c>
      <c r="F603" s="211"/>
    </row>
    <row r="604" customHeight="1" spans="1:6">
      <c r="A604" s="6" t="s">
        <v>2148</v>
      </c>
      <c r="B604" s="222" t="str">
        <f>IFERROR(__xludf.DUMMYFUNCTION("""COMPUTED_VALUE"""),"Abere Abebe Mengesha")</f>
        <v>Abere Abebe Mengesha</v>
      </c>
      <c r="C604" s="222" t="str">
        <f>IFERROR(__xludf.DUMMYFUNCTION("""COMPUTED_VALUE"""),"አበረ አበበ መንገሻ")</f>
        <v>አበረ አበበ መንገሻ</v>
      </c>
      <c r="D604" s="222" t="str">
        <f>IFERROR(__xludf.DUMMYFUNCTION("""COMPUTED_VALUE"""),"0911-141053")</f>
        <v>0911-141053</v>
      </c>
      <c r="E604" s="222" t="str">
        <f>IFERROR(__xludf.DUMMYFUNCTION("""COMPUTED_VALUE"""),"Addis Ababa")</f>
        <v>Addis Ababa</v>
      </c>
      <c r="F604" s="222"/>
    </row>
    <row r="605" customHeight="1" spans="1:6">
      <c r="A605" s="6" t="s">
        <v>2149</v>
      </c>
      <c r="B605" s="195" t="s">
        <v>2150</v>
      </c>
      <c r="C605" s="202" t="s">
        <v>2151</v>
      </c>
      <c r="D605" s="154"/>
      <c r="E605" s="154" t="s">
        <v>104</v>
      </c>
      <c r="F605" s="180"/>
    </row>
    <row r="606" customHeight="1" spans="1:6">
      <c r="A606" s="6" t="s">
        <v>2152</v>
      </c>
      <c r="B606" s="201" t="s">
        <v>2153</v>
      </c>
      <c r="C606" s="202" t="s">
        <v>2154</v>
      </c>
      <c r="D606" s="154" t="s">
        <v>2155</v>
      </c>
      <c r="E606" s="154" t="s">
        <v>243</v>
      </c>
      <c r="F606" s="180"/>
    </row>
    <row r="607" customHeight="1" spans="1:6">
      <c r="A607" s="6" t="s">
        <v>2156</v>
      </c>
      <c r="B607" s="194" t="s">
        <v>2157</v>
      </c>
      <c r="C607" s="202" t="s">
        <v>2158</v>
      </c>
      <c r="D607" s="158" t="s">
        <v>2159</v>
      </c>
      <c r="E607" s="154" t="s">
        <v>104</v>
      </c>
      <c r="F607" s="180"/>
    </row>
    <row r="608" customHeight="1" spans="1:6">
      <c r="A608" s="6" t="s">
        <v>2160</v>
      </c>
      <c r="B608" s="201" t="s">
        <v>2161</v>
      </c>
      <c r="C608" s="202" t="s">
        <v>2162</v>
      </c>
      <c r="D608" s="154"/>
      <c r="E608" s="154"/>
      <c r="F608" s="180"/>
    </row>
    <row r="609" customHeight="1" spans="1:6">
      <c r="A609" s="6" t="s">
        <v>2163</v>
      </c>
      <c r="B609" s="195" t="s">
        <v>2164</v>
      </c>
      <c r="C609" s="202" t="s">
        <v>2165</v>
      </c>
      <c r="D609" s="152"/>
      <c r="E609" s="154" t="s">
        <v>232</v>
      </c>
      <c r="F609" s="180"/>
    </row>
    <row r="610" customHeight="1" spans="1:6">
      <c r="A610" s="6" t="s">
        <v>2166</v>
      </c>
      <c r="B610" s="201" t="s">
        <v>2167</v>
      </c>
      <c r="C610" s="202" t="s">
        <v>2168</v>
      </c>
      <c r="D610" s="154" t="s">
        <v>2169</v>
      </c>
      <c r="E610" s="210" t="s">
        <v>104</v>
      </c>
      <c r="F610" s="211"/>
    </row>
    <row r="611" customHeight="1" spans="1:6">
      <c r="A611" s="6" t="s">
        <v>2170</v>
      </c>
      <c r="B611" s="201" t="s">
        <v>2171</v>
      </c>
      <c r="C611" s="202" t="s">
        <v>2172</v>
      </c>
      <c r="D611" s="153"/>
      <c r="E611" s="180" t="s">
        <v>104</v>
      </c>
      <c r="F611" s="180"/>
    </row>
    <row r="612" customHeight="1" spans="1:6">
      <c r="A612" s="6" t="s">
        <v>2173</v>
      </c>
      <c r="B612" s="200" t="s">
        <v>2174</v>
      </c>
      <c r="C612" s="202" t="s">
        <v>2175</v>
      </c>
      <c r="D612" s="152"/>
      <c r="E612" s="154" t="s">
        <v>232</v>
      </c>
      <c r="F612" s="180"/>
    </row>
    <row r="613" customHeight="1" spans="1:6">
      <c r="A613" s="6" t="s">
        <v>2176</v>
      </c>
      <c r="B613" s="201" t="s">
        <v>2177</v>
      </c>
      <c r="C613" s="202" t="s">
        <v>2178</v>
      </c>
      <c r="D613" s="154"/>
      <c r="E613" s="154" t="s">
        <v>58</v>
      </c>
      <c r="F613" s="180"/>
    </row>
    <row r="614" customHeight="1" spans="1:6">
      <c r="A614" s="6" t="s">
        <v>2179</v>
      </c>
      <c r="B614" s="153" t="s">
        <v>2180</v>
      </c>
      <c r="C614" s="202" t="s">
        <v>2181</v>
      </c>
      <c r="D614" s="154">
        <v>919359705</v>
      </c>
      <c r="E614" s="154" t="s">
        <v>232</v>
      </c>
      <c r="F614" s="180"/>
    </row>
    <row r="615" customHeight="1" spans="1:6">
      <c r="A615" s="6" t="s">
        <v>2182</v>
      </c>
      <c r="B615" s="200" t="s">
        <v>2183</v>
      </c>
      <c r="C615" s="246" t="s">
        <v>2184</v>
      </c>
      <c r="D615" s="194" t="s">
        <v>2185</v>
      </c>
      <c r="E615" s="194" t="s">
        <v>243</v>
      </c>
      <c r="F615" s="194"/>
    </row>
    <row r="616" customHeight="1" spans="1:6">
      <c r="A616" s="6" t="s">
        <v>2186</v>
      </c>
      <c r="B616" s="153" t="s">
        <v>2187</v>
      </c>
      <c r="C616" s="246" t="s">
        <v>2188</v>
      </c>
      <c r="D616" s="194"/>
      <c r="E616" s="194" t="s">
        <v>243</v>
      </c>
      <c r="F616" s="194"/>
    </row>
    <row r="617" customHeight="1" spans="1:6">
      <c r="A617" s="6" t="s">
        <v>2189</v>
      </c>
      <c r="B617" s="158" t="s">
        <v>2190</v>
      </c>
      <c r="C617" s="202" t="s">
        <v>2191</v>
      </c>
      <c r="D617" s="158"/>
      <c r="E617" s="154" t="s">
        <v>211</v>
      </c>
      <c r="F617" s="180"/>
    </row>
    <row r="618" customHeight="1" spans="1:6">
      <c r="A618" s="6" t="s">
        <v>2192</v>
      </c>
      <c r="B618" s="195" t="s">
        <v>2193</v>
      </c>
      <c r="C618" s="196" t="s">
        <v>2194</v>
      </c>
      <c r="D618" s="197" t="s">
        <v>2195</v>
      </c>
      <c r="E618" s="197" t="s">
        <v>186</v>
      </c>
      <c r="F618" s="197"/>
    </row>
    <row r="619" customHeight="1" spans="1:6">
      <c r="A619" s="6" t="s">
        <v>2196</v>
      </c>
      <c r="B619" s="194" t="s">
        <v>2197</v>
      </c>
      <c r="C619" s="192" t="s">
        <v>2198</v>
      </c>
      <c r="D619" s="197"/>
      <c r="E619" s="197" t="s">
        <v>310</v>
      </c>
      <c r="F619" s="197"/>
    </row>
    <row r="620" customHeight="1" spans="1:6">
      <c r="A620" s="6" t="s">
        <v>2199</v>
      </c>
      <c r="B620" s="195" t="s">
        <v>2200</v>
      </c>
      <c r="C620" s="213" t="s">
        <v>2201</v>
      </c>
      <c r="D620" s="197"/>
      <c r="E620" s="197" t="s">
        <v>243</v>
      </c>
      <c r="F620" s="197"/>
    </row>
    <row r="621" customHeight="1" spans="1:6">
      <c r="A621" s="6" t="s">
        <v>2202</v>
      </c>
      <c r="B621" s="214" t="s">
        <v>2203</v>
      </c>
      <c r="C621" s="214" t="s">
        <v>2204</v>
      </c>
      <c r="D621" s="194"/>
      <c r="E621" s="204" t="s">
        <v>92</v>
      </c>
      <c r="F621" s="204"/>
    </row>
    <row r="622" customHeight="1" spans="1:6">
      <c r="A622" s="6" t="s">
        <v>2205</v>
      </c>
      <c r="B622" s="195" t="s">
        <v>2206</v>
      </c>
      <c r="C622" s="202" t="s">
        <v>2207</v>
      </c>
      <c r="D622" s="152"/>
      <c r="E622" s="154"/>
      <c r="F622" s="180"/>
    </row>
    <row r="623" customHeight="1" spans="1:6">
      <c r="A623" s="6" t="s">
        <v>2208</v>
      </c>
      <c r="B623" s="214" t="s">
        <v>2209</v>
      </c>
      <c r="C623" s="214" t="s">
        <v>2210</v>
      </c>
      <c r="D623" s="194"/>
      <c r="E623" s="204" t="s">
        <v>92</v>
      </c>
      <c r="F623" s="204"/>
    </row>
    <row r="624" customHeight="1" spans="1:6">
      <c r="A624" s="6" t="s">
        <v>2211</v>
      </c>
      <c r="B624" s="208" t="s">
        <v>2212</v>
      </c>
      <c r="C624" s="208" t="s">
        <v>2213</v>
      </c>
      <c r="D624" s="194"/>
      <c r="E624" s="204" t="s">
        <v>92</v>
      </c>
      <c r="F624" s="204"/>
    </row>
    <row r="625" customHeight="1" spans="1:6">
      <c r="A625" s="6" t="s">
        <v>2214</v>
      </c>
      <c r="B625" s="200" t="s">
        <v>2215</v>
      </c>
      <c r="C625" s="192" t="s">
        <v>2216</v>
      </c>
      <c r="D625" s="194" t="s">
        <v>2217</v>
      </c>
      <c r="E625" s="194" t="s">
        <v>58</v>
      </c>
      <c r="F625" s="194"/>
    </row>
    <row r="626" customHeight="1" spans="1:6">
      <c r="A626" s="6" t="s">
        <v>2218</v>
      </c>
      <c r="B626" s="222" t="str">
        <f>IFERROR(__xludf.DUMMYFUNCTION("""COMPUTED_VALUE"""),"Abeselom Dawit Girmay")</f>
        <v>Abeselom Dawit Girmay</v>
      </c>
      <c r="C626" s="222" t="str">
        <f>IFERROR(__xludf.DUMMYFUNCTION("""COMPUTED_VALUE"""),"አቤሴሎም ዳዊት ግርማ")</f>
        <v>አቤሴሎም ዳዊት ግርማ</v>
      </c>
      <c r="D626" s="222" t="str">
        <f>IFERROR(__xludf.DUMMYFUNCTION("""COMPUTED_VALUE"""),"0911-740716")</f>
        <v>0911-740716</v>
      </c>
      <c r="E626" s="222" t="str">
        <f>IFERROR(__xludf.DUMMYFUNCTION("""COMPUTED_VALUE"""),"Addis Ababa")</f>
        <v>Addis Ababa</v>
      </c>
      <c r="F626" s="222" t="str">
        <f>IFERROR(__xludf.DUMMYFUNCTION("""COMPUTED_VALUE"""),"abeselom582058@gmail.com")</f>
        <v>abeselom582058@gmail.com</v>
      </c>
    </row>
    <row r="627" customHeight="1" spans="1:6">
      <c r="A627" s="6" t="s">
        <v>2219</v>
      </c>
      <c r="B627" s="215" t="s">
        <v>2220</v>
      </c>
      <c r="C627" s="205" t="s">
        <v>2221</v>
      </c>
      <c r="D627" s="342" t="s">
        <v>2222</v>
      </c>
      <c r="E627" s="193" t="s">
        <v>120</v>
      </c>
      <c r="F627" s="262" t="s">
        <v>2223</v>
      </c>
    </row>
    <row r="628" customHeight="1" spans="1:6">
      <c r="A628" s="6" t="s">
        <v>2224</v>
      </c>
      <c r="B628" s="195" t="s">
        <v>2225</v>
      </c>
      <c r="C628" s="196" t="s">
        <v>2226</v>
      </c>
      <c r="D628" s="197"/>
      <c r="E628" s="197" t="s">
        <v>104</v>
      </c>
      <c r="F628" s="197"/>
    </row>
    <row r="629" customHeight="1" spans="1:6">
      <c r="A629" s="6" t="s">
        <v>2227</v>
      </c>
      <c r="B629" s="200" t="s">
        <v>2228</v>
      </c>
      <c r="C629" s="202" t="s">
        <v>2229</v>
      </c>
      <c r="D629" s="154"/>
      <c r="E629" s="154" t="s">
        <v>104</v>
      </c>
      <c r="F629" s="180"/>
    </row>
    <row r="630" customHeight="1" spans="1:6">
      <c r="A630" s="6" t="s">
        <v>2230</v>
      </c>
      <c r="B630" s="233" t="s">
        <v>2231</v>
      </c>
      <c r="C630" s="233" t="s">
        <v>2232</v>
      </c>
      <c r="D630" s="204"/>
      <c r="E630" s="204" t="s">
        <v>2233</v>
      </c>
      <c r="F630" s="204" t="s">
        <v>2234</v>
      </c>
    </row>
    <row r="631" customHeight="1" spans="1:6">
      <c r="A631" s="6" t="s">
        <v>2235</v>
      </c>
      <c r="B631" s="214" t="s">
        <v>2231</v>
      </c>
      <c r="C631" s="214" t="s">
        <v>2236</v>
      </c>
      <c r="D631" s="194"/>
      <c r="E631" s="204" t="s">
        <v>92</v>
      </c>
      <c r="F631" s="204"/>
    </row>
    <row r="632" customHeight="1" spans="1:6">
      <c r="A632" s="6" t="s">
        <v>2237</v>
      </c>
      <c r="B632" s="200" t="s">
        <v>2238</v>
      </c>
      <c r="C632" s="202" t="s">
        <v>2239</v>
      </c>
      <c r="D632" s="152" t="s">
        <v>2240</v>
      </c>
      <c r="E632" s="154" t="s">
        <v>104</v>
      </c>
      <c r="F632" s="180"/>
    </row>
    <row r="633" customHeight="1" spans="1:6">
      <c r="A633" s="6" t="s">
        <v>2241</v>
      </c>
      <c r="B633" s="195" t="s">
        <v>2242</v>
      </c>
      <c r="C633" s="202" t="s">
        <v>2243</v>
      </c>
      <c r="D633" s="158"/>
      <c r="E633" s="154" t="s">
        <v>202</v>
      </c>
      <c r="F633" s="180"/>
    </row>
    <row r="634" customHeight="1" spans="1:6">
      <c r="A634" s="6" t="s">
        <v>2244</v>
      </c>
      <c r="B634" s="160" t="s">
        <v>2245</v>
      </c>
      <c r="C634" s="160" t="s">
        <v>2246</v>
      </c>
      <c r="D634" s="204" t="s">
        <v>2247</v>
      </c>
      <c r="E634" s="204" t="s">
        <v>92</v>
      </c>
      <c r="F634" s="204"/>
    </row>
    <row r="635" customHeight="1" spans="1:6">
      <c r="A635" s="6" t="s">
        <v>2248</v>
      </c>
      <c r="B635" s="200" t="s">
        <v>2249</v>
      </c>
      <c r="C635" s="202" t="s">
        <v>2250</v>
      </c>
      <c r="D635" s="152" t="s">
        <v>2251</v>
      </c>
      <c r="E635" s="154" t="s">
        <v>104</v>
      </c>
      <c r="F635" s="180"/>
    </row>
    <row r="636" customHeight="1" spans="1:6">
      <c r="A636" s="6" t="s">
        <v>2252</v>
      </c>
      <c r="B636" s="255" t="s">
        <v>2253</v>
      </c>
      <c r="C636" s="255" t="s">
        <v>2254</v>
      </c>
      <c r="D636" s="256" t="s">
        <v>2255</v>
      </c>
      <c r="E636" s="26" t="s">
        <v>1701</v>
      </c>
      <c r="F636" s="263"/>
    </row>
    <row r="637" customHeight="1" spans="1:6">
      <c r="A637" s="6" t="s">
        <v>2256</v>
      </c>
      <c r="B637" s="200" t="s">
        <v>2257</v>
      </c>
      <c r="C637" s="192" t="s">
        <v>2258</v>
      </c>
      <c r="D637" s="194"/>
      <c r="E637" s="194" t="s">
        <v>202</v>
      </c>
      <c r="F637" s="194"/>
    </row>
    <row r="638" customHeight="1" spans="1:6">
      <c r="A638" s="6" t="s">
        <v>2259</v>
      </c>
      <c r="B638" s="201" t="s">
        <v>2260</v>
      </c>
      <c r="C638" s="202" t="s">
        <v>2261</v>
      </c>
      <c r="D638" s="154"/>
      <c r="E638" s="154" t="s">
        <v>202</v>
      </c>
      <c r="F638" s="180"/>
    </row>
    <row r="639" customHeight="1" spans="1:6">
      <c r="A639" s="6" t="s">
        <v>2262</v>
      </c>
      <c r="B639" s="194" t="s">
        <v>2263</v>
      </c>
      <c r="C639" s="202" t="s">
        <v>2264</v>
      </c>
      <c r="D639" s="158"/>
      <c r="E639" s="158" t="s">
        <v>216</v>
      </c>
      <c r="F639" s="153"/>
    </row>
    <row r="640" customHeight="1" spans="1:6">
      <c r="A640" s="6" t="s">
        <v>2265</v>
      </c>
      <c r="B640" s="200" t="s">
        <v>2266</v>
      </c>
      <c r="C640" s="203" t="s">
        <v>2267</v>
      </c>
      <c r="D640" s="194"/>
      <c r="E640" s="194" t="s">
        <v>273</v>
      </c>
      <c r="F640" s="194"/>
    </row>
    <row r="641" customHeight="1" spans="1:6">
      <c r="A641" s="6" t="s">
        <v>2268</v>
      </c>
      <c r="B641" s="200" t="s">
        <v>2269</v>
      </c>
      <c r="C641" s="192" t="s">
        <v>2270</v>
      </c>
      <c r="D641" s="194"/>
      <c r="E641" s="194" t="s">
        <v>202</v>
      </c>
      <c r="F641" s="197"/>
    </row>
    <row r="642" customHeight="1" spans="1:6">
      <c r="A642" s="6" t="s">
        <v>2271</v>
      </c>
      <c r="B642" s="200" t="s">
        <v>2272</v>
      </c>
      <c r="C642" s="192" t="s">
        <v>2273</v>
      </c>
      <c r="D642" s="194"/>
      <c r="E642" s="194" t="s">
        <v>202</v>
      </c>
      <c r="F642" s="197"/>
    </row>
    <row r="643" customHeight="1" spans="1:6">
      <c r="A643" s="6" t="s">
        <v>2274</v>
      </c>
      <c r="B643" s="214" t="s">
        <v>2275</v>
      </c>
      <c r="C643" s="214" t="s">
        <v>2276</v>
      </c>
      <c r="D643" s="194"/>
      <c r="E643" s="204" t="s">
        <v>92</v>
      </c>
      <c r="F643" s="204"/>
    </row>
    <row r="644" customHeight="1" spans="1:6">
      <c r="A644" s="6" t="s">
        <v>2277</v>
      </c>
      <c r="B644" s="153" t="s">
        <v>2278</v>
      </c>
      <c r="C644" s="202" t="s">
        <v>2279</v>
      </c>
      <c r="D644" s="341" t="s">
        <v>2280</v>
      </c>
      <c r="E644" s="154" t="s">
        <v>1218</v>
      </c>
      <c r="F644" s="180"/>
    </row>
    <row r="645" customHeight="1" spans="1:6">
      <c r="A645" s="6" t="s">
        <v>2281</v>
      </c>
      <c r="B645" s="200" t="s">
        <v>2282</v>
      </c>
      <c r="C645" s="202" t="s">
        <v>2283</v>
      </c>
      <c r="D645" s="158" t="s">
        <v>2284</v>
      </c>
      <c r="E645" s="154"/>
      <c r="F645" s="180"/>
    </row>
    <row r="646" customHeight="1" spans="1:6">
      <c r="A646" s="6" t="s">
        <v>2285</v>
      </c>
      <c r="B646" s="195" t="s">
        <v>2286</v>
      </c>
      <c r="C646" s="202" t="s">
        <v>2287</v>
      </c>
      <c r="D646" s="152"/>
      <c r="E646" s="154" t="s">
        <v>104</v>
      </c>
      <c r="F646" s="180"/>
    </row>
    <row r="647" customHeight="1" spans="1:6">
      <c r="A647" s="6" t="s">
        <v>2288</v>
      </c>
      <c r="B647" s="195" t="s">
        <v>2289</v>
      </c>
      <c r="C647" s="196" t="s">
        <v>2290</v>
      </c>
      <c r="D647" s="197"/>
      <c r="E647" s="197" t="s">
        <v>125</v>
      </c>
      <c r="F647" s="197"/>
    </row>
    <row r="648" customHeight="1" spans="1:6">
      <c r="A648" s="6" t="s">
        <v>2291</v>
      </c>
      <c r="B648" s="195" t="s">
        <v>2292</v>
      </c>
      <c r="C648" s="202" t="s">
        <v>2293</v>
      </c>
      <c r="D648" s="152"/>
      <c r="E648" s="154" t="s">
        <v>232</v>
      </c>
      <c r="F648" s="180"/>
    </row>
    <row r="649" customHeight="1" spans="1:6">
      <c r="A649" s="6" t="s">
        <v>2294</v>
      </c>
      <c r="B649" s="195" t="s">
        <v>2295</v>
      </c>
      <c r="C649" s="202" t="s">
        <v>2296</v>
      </c>
      <c r="D649" s="152"/>
      <c r="E649" s="154" t="s">
        <v>232</v>
      </c>
      <c r="F649" s="180"/>
    </row>
    <row r="650" customHeight="1" spans="1:6">
      <c r="A650" s="6" t="s">
        <v>2297</v>
      </c>
      <c r="B650" s="201" t="s">
        <v>2298</v>
      </c>
      <c r="C650" s="202" t="s">
        <v>2299</v>
      </c>
      <c r="D650" s="154" t="s">
        <v>2300</v>
      </c>
      <c r="E650" s="210" t="s">
        <v>104</v>
      </c>
      <c r="F650" s="211"/>
    </row>
    <row r="651" customHeight="1" spans="1:6">
      <c r="A651" s="6" t="s">
        <v>2301</v>
      </c>
      <c r="B651" s="195" t="s">
        <v>2302</v>
      </c>
      <c r="C651" s="212" t="s">
        <v>2303</v>
      </c>
      <c r="D651" s="197" t="s">
        <v>2304</v>
      </c>
      <c r="E651" s="198" t="s">
        <v>216</v>
      </c>
      <c r="F651" s="199"/>
    </row>
    <row r="652" customHeight="1" spans="1:6">
      <c r="A652" s="6" t="s">
        <v>2305</v>
      </c>
      <c r="B652" s="201" t="s">
        <v>2306</v>
      </c>
      <c r="C652" s="202" t="s">
        <v>2307</v>
      </c>
      <c r="D652" s="154"/>
      <c r="E652" s="154"/>
      <c r="F652" s="180"/>
    </row>
    <row r="653" customHeight="1" spans="1:6">
      <c r="A653" s="6" t="s">
        <v>2308</v>
      </c>
      <c r="B653" s="195" t="s">
        <v>2309</v>
      </c>
      <c r="C653" s="202" t="s">
        <v>2310</v>
      </c>
      <c r="D653" s="152"/>
      <c r="E653" s="154" t="s">
        <v>232</v>
      </c>
      <c r="F653" s="180"/>
    </row>
    <row r="654" customHeight="1" spans="1:6">
      <c r="A654" s="6" t="s">
        <v>2311</v>
      </c>
      <c r="B654" s="194" t="s">
        <v>2312</v>
      </c>
      <c r="C654" s="264" t="s">
        <v>2313</v>
      </c>
      <c r="D654" s="194"/>
      <c r="E654" s="194"/>
      <c r="F654" s="194"/>
    </row>
    <row r="655" customHeight="1" spans="1:6">
      <c r="A655" s="6" t="s">
        <v>2314</v>
      </c>
      <c r="B655" s="195" t="s">
        <v>2315</v>
      </c>
      <c r="C655" s="196" t="s">
        <v>2316</v>
      </c>
      <c r="D655" s="197"/>
      <c r="E655" s="197" t="s">
        <v>273</v>
      </c>
      <c r="F655" s="197"/>
    </row>
    <row r="656" customHeight="1" spans="1:6">
      <c r="A656" s="6" t="s">
        <v>2317</v>
      </c>
      <c r="B656" s="158" t="s">
        <v>2318</v>
      </c>
      <c r="C656" s="202" t="s">
        <v>2319</v>
      </c>
      <c r="D656" s="158"/>
      <c r="E656" s="154" t="s">
        <v>104</v>
      </c>
      <c r="F656" s="180"/>
    </row>
    <row r="657" customHeight="1" spans="1:6">
      <c r="A657" s="6" t="s">
        <v>2320</v>
      </c>
      <c r="B657" s="223" t="s">
        <v>2321</v>
      </c>
      <c r="C657" s="223" t="s">
        <v>2322</v>
      </c>
      <c r="D657" s="204" t="s">
        <v>2323</v>
      </c>
      <c r="E657" s="204" t="s">
        <v>92</v>
      </c>
      <c r="F657" s="204"/>
    </row>
    <row r="658" customHeight="1" spans="1:6">
      <c r="A658" s="6" t="s">
        <v>2324</v>
      </c>
      <c r="B658" s="222" t="str">
        <f>IFERROR(__xludf.DUMMYFUNCTION("""COMPUTED_VALUE"""),"Abigiya Deribew Dessie")</f>
        <v>Abigiya Deribew Dessie</v>
      </c>
      <c r="C658" s="222" t="str">
        <f>IFERROR(__xludf.DUMMYFUNCTION("""COMPUTED_VALUE"""),"አቢጊያ ደርበው ደሴ")</f>
        <v>አቢጊያ ደርበው ደሴ</v>
      </c>
      <c r="D658" s="222" t="str">
        <f>IFERROR(__xludf.DUMMYFUNCTION("""COMPUTED_VALUE"""),"936829614")</f>
        <v>936829614</v>
      </c>
      <c r="E658" s="222" t="str">
        <f>IFERROR(__xludf.DUMMYFUNCTION("""COMPUTED_VALUE"""),"Addis Abeba")</f>
        <v>Addis Abeba</v>
      </c>
      <c r="F658" s="222"/>
    </row>
    <row r="659" customHeight="1" spans="1:6">
      <c r="A659" s="6" t="s">
        <v>2325</v>
      </c>
      <c r="B659" s="153" t="s">
        <v>2326</v>
      </c>
      <c r="C659" s="202" t="s">
        <v>2327</v>
      </c>
      <c r="D659" s="180"/>
      <c r="E659" s="154" t="s">
        <v>104</v>
      </c>
      <c r="F659" s="180"/>
    </row>
    <row r="660" customHeight="1" spans="1:6">
      <c r="A660" s="6" t="s">
        <v>2328</v>
      </c>
      <c r="B660" s="214" t="s">
        <v>2329</v>
      </c>
      <c r="C660" s="214" t="s">
        <v>2330</v>
      </c>
      <c r="D660" s="223" t="s">
        <v>2331</v>
      </c>
      <c r="E660" s="204" t="s">
        <v>92</v>
      </c>
      <c r="F660" s="204"/>
    </row>
    <row r="661" customHeight="1" spans="1:6">
      <c r="A661" s="6" t="s">
        <v>2332</v>
      </c>
      <c r="B661" s="222" t="str">
        <f>IFERROR(__xludf.DUMMYFUNCTION("""COMPUTED_VALUE"""),"Abinet Agonafir Gashaw /Ato/")</f>
        <v>Abinet Agonafir Gashaw /Ato/</v>
      </c>
      <c r="C661" s="222" t="str">
        <f>IFERROR(__xludf.DUMMYFUNCTION("""COMPUTED_VALUE"""),"አብነት አጎናፍር ጋሻው /አቶ/")</f>
        <v>አብነት አጎናፍር ጋሻው /አቶ/</v>
      </c>
      <c r="D661" s="222" t="str">
        <f>IFERROR(__xludf.DUMMYFUNCTION("""COMPUTED_VALUE"""),"0967-331019")</f>
        <v>0967-331019</v>
      </c>
      <c r="E661" s="222" t="str">
        <f>IFERROR(__xludf.DUMMYFUNCTION("""COMPUTED_VALUE"""),"A/A")</f>
        <v>A/A</v>
      </c>
      <c r="F661" s="222" t="str">
        <f>IFERROR(__xludf.DUMMYFUNCTION("""COMPUTED_VALUE"""),"Abinetab@.com
 Abinetabazonair@.com")</f>
        <v>Abinetab@.com
 Abinetabazonair@.com</v>
      </c>
    </row>
    <row r="662" customHeight="1" spans="1:6">
      <c r="A662" s="6" t="s">
        <v>2333</v>
      </c>
      <c r="B662" s="223" t="s">
        <v>2334</v>
      </c>
      <c r="C662" s="223" t="s">
        <v>2335</v>
      </c>
      <c r="D662" s="204" t="s">
        <v>2336</v>
      </c>
      <c r="E662" s="204" t="s">
        <v>92</v>
      </c>
      <c r="F662" s="204"/>
    </row>
    <row r="663" customHeight="1" spans="1:6">
      <c r="A663" s="6" t="s">
        <v>2337</v>
      </c>
      <c r="B663" s="214" t="s">
        <v>2338</v>
      </c>
      <c r="C663" s="214" t="s">
        <v>2339</v>
      </c>
      <c r="D663" s="194"/>
      <c r="E663" s="204" t="s">
        <v>92</v>
      </c>
      <c r="F663" s="204"/>
    </row>
    <row r="664" customHeight="1" spans="1:6">
      <c r="A664" s="6" t="s">
        <v>2340</v>
      </c>
      <c r="B664" s="223" t="s">
        <v>2341</v>
      </c>
      <c r="C664" s="223" t="s">
        <v>2342</v>
      </c>
      <c r="D664" s="204" t="s">
        <v>2343</v>
      </c>
      <c r="E664" s="204" t="s">
        <v>92</v>
      </c>
      <c r="F664" s="204"/>
    </row>
    <row r="665" customHeight="1" spans="1:6">
      <c r="A665" s="6" t="s">
        <v>2344</v>
      </c>
      <c r="B665" s="205" t="s">
        <v>2345</v>
      </c>
      <c r="C665" s="205" t="s">
        <v>2346</v>
      </c>
      <c r="D665" s="206" t="s">
        <v>2347</v>
      </c>
      <c r="E665" s="193" t="s">
        <v>120</v>
      </c>
      <c r="F665" s="221" t="s">
        <v>2348</v>
      </c>
    </row>
    <row r="666" customHeight="1" spans="1:6">
      <c r="A666" s="6" t="s">
        <v>2349</v>
      </c>
      <c r="B666" s="215" t="s">
        <v>2345</v>
      </c>
      <c r="C666" s="205" t="s">
        <v>2346</v>
      </c>
      <c r="D666" s="244" t="s">
        <v>2347</v>
      </c>
      <c r="E666" s="26" t="s">
        <v>92</v>
      </c>
      <c r="F666" s="26" t="s">
        <v>2350</v>
      </c>
    </row>
    <row r="667" customHeight="1" spans="1:6">
      <c r="A667" s="6" t="s">
        <v>2351</v>
      </c>
      <c r="B667" s="200" t="s">
        <v>2352</v>
      </c>
      <c r="C667" s="202" t="s">
        <v>2353</v>
      </c>
      <c r="D667" s="152"/>
      <c r="E667" s="154" t="s">
        <v>104</v>
      </c>
      <c r="F667" s="180"/>
    </row>
    <row r="668" customHeight="1" spans="1:6">
      <c r="A668" s="6" t="s">
        <v>2354</v>
      </c>
      <c r="B668" s="223" t="s">
        <v>2355</v>
      </c>
      <c r="C668" s="223" t="s">
        <v>2356</v>
      </c>
      <c r="D668" s="204" t="s">
        <v>2357</v>
      </c>
      <c r="E668" s="204" t="s">
        <v>92</v>
      </c>
      <c r="F668" s="204"/>
    </row>
    <row r="669" customHeight="1" spans="1:6">
      <c r="A669" s="6" t="s">
        <v>2358</v>
      </c>
      <c r="B669" s="222" t="str">
        <f>IFERROR(__xludf.DUMMYFUNCTION("""COMPUTED_VALUE"""),"Abinet Nekatibeb")</f>
        <v>Abinet Nekatibeb</v>
      </c>
      <c r="C669" s="222" t="str">
        <f>IFERROR(__xludf.DUMMYFUNCTION("""COMPUTED_VALUE"""),"አብነት ነቅአጥበብ")</f>
        <v>አብነት ነቅአጥበብ</v>
      </c>
      <c r="D669" s="222" t="str">
        <f>IFERROR(__xludf.DUMMYFUNCTION("""COMPUTED_VALUE"""),"911723171")</f>
        <v>911723171</v>
      </c>
      <c r="E669" s="222" t="str">
        <f>IFERROR(__xludf.DUMMYFUNCTION("""COMPUTED_VALUE"""),"addis abeba")</f>
        <v>addis abeba</v>
      </c>
      <c r="F669" s="222"/>
    </row>
    <row r="670" customHeight="1" spans="1:6">
      <c r="A670" s="6" t="s">
        <v>2359</v>
      </c>
      <c r="B670" s="214" t="s">
        <v>2360</v>
      </c>
      <c r="C670" s="214" t="s">
        <v>2361</v>
      </c>
      <c r="D670" s="194"/>
      <c r="E670" s="204" t="s">
        <v>92</v>
      </c>
      <c r="F670" s="204"/>
    </row>
    <row r="671" customHeight="1" spans="1:6">
      <c r="A671" s="6" t="s">
        <v>2362</v>
      </c>
      <c r="B671" s="153" t="s">
        <v>2363</v>
      </c>
      <c r="C671" s="202" t="s">
        <v>2364</v>
      </c>
      <c r="D671" s="154">
        <v>931165795</v>
      </c>
      <c r="E671" s="154" t="s">
        <v>104</v>
      </c>
      <c r="F671" s="180"/>
    </row>
    <row r="672" customHeight="1" spans="1:6">
      <c r="A672" s="6" t="s">
        <v>2365</v>
      </c>
      <c r="B672" s="201" t="s">
        <v>2366</v>
      </c>
      <c r="C672" s="202" t="s">
        <v>2367</v>
      </c>
      <c r="D672" s="154" t="s">
        <v>2368</v>
      </c>
      <c r="E672" s="154"/>
      <c r="F672" s="180"/>
    </row>
    <row r="673" customHeight="1" spans="1:6">
      <c r="A673" s="6" t="s">
        <v>2369</v>
      </c>
      <c r="B673" s="200" t="s">
        <v>2370</v>
      </c>
      <c r="C673" s="192" t="s">
        <v>2371</v>
      </c>
      <c r="D673" s="194"/>
      <c r="E673" s="194" t="s">
        <v>243</v>
      </c>
      <c r="F673" s="194"/>
    </row>
    <row r="674" customHeight="1" spans="1:6">
      <c r="A674" s="6" t="s">
        <v>2372</v>
      </c>
      <c r="B674" s="195" t="s">
        <v>2373</v>
      </c>
      <c r="C674" s="254" t="s">
        <v>2374</v>
      </c>
      <c r="D674" s="197" t="s">
        <v>2375</v>
      </c>
      <c r="E674" s="197" t="s">
        <v>243</v>
      </c>
      <c r="F674" s="197"/>
    </row>
    <row r="675" customHeight="1" spans="1:6">
      <c r="A675" s="6" t="s">
        <v>2376</v>
      </c>
      <c r="B675" s="195" t="s">
        <v>2377</v>
      </c>
      <c r="C675" s="202" t="s">
        <v>2378</v>
      </c>
      <c r="D675" s="152"/>
      <c r="E675" s="154"/>
      <c r="F675" s="180"/>
    </row>
    <row r="676" customHeight="1" spans="1:6">
      <c r="A676" s="6" t="s">
        <v>2379</v>
      </c>
      <c r="B676" s="195" t="s">
        <v>2380</v>
      </c>
      <c r="C676" s="202" t="s">
        <v>2381</v>
      </c>
      <c r="D676" s="152" t="s">
        <v>2382</v>
      </c>
      <c r="E676" s="154" t="s">
        <v>243</v>
      </c>
      <c r="F676" s="180"/>
    </row>
    <row r="677" customHeight="1" spans="1:6">
      <c r="A677" s="6" t="s">
        <v>2383</v>
      </c>
      <c r="B677" s="200" t="s">
        <v>2384</v>
      </c>
      <c r="C677" s="202" t="s">
        <v>2385</v>
      </c>
      <c r="D677" s="152" t="s">
        <v>2386</v>
      </c>
      <c r="E677" s="154"/>
      <c r="F677" s="180"/>
    </row>
    <row r="678" customHeight="1" spans="1:6">
      <c r="A678" s="6" t="s">
        <v>2387</v>
      </c>
      <c r="B678" s="201" t="s">
        <v>2388</v>
      </c>
      <c r="C678" s="202" t="s">
        <v>2389</v>
      </c>
      <c r="D678" s="154"/>
      <c r="E678" s="154" t="s">
        <v>243</v>
      </c>
      <c r="F678" s="180"/>
    </row>
    <row r="679" customHeight="1" spans="1:6">
      <c r="A679" s="6" t="s">
        <v>2390</v>
      </c>
      <c r="B679" s="201" t="s">
        <v>2391</v>
      </c>
      <c r="C679" s="202" t="s">
        <v>2392</v>
      </c>
      <c r="D679" s="154"/>
      <c r="E679" s="154" t="s">
        <v>211</v>
      </c>
      <c r="F679" s="180"/>
    </row>
    <row r="680" customHeight="1" spans="1:6">
      <c r="A680" s="6" t="s">
        <v>2393</v>
      </c>
      <c r="B680" s="195" t="s">
        <v>2394</v>
      </c>
      <c r="C680" s="196" t="s">
        <v>2395</v>
      </c>
      <c r="D680" s="197" t="s">
        <v>2396</v>
      </c>
      <c r="E680" s="198" t="s">
        <v>216</v>
      </c>
      <c r="F680" s="199"/>
    </row>
    <row r="681" customHeight="1" spans="1:6">
      <c r="A681" s="6" t="s">
        <v>2397</v>
      </c>
      <c r="B681" s="201" t="s">
        <v>2398</v>
      </c>
      <c r="C681" s="202" t="s">
        <v>2399</v>
      </c>
      <c r="D681" s="154" t="s">
        <v>2400</v>
      </c>
      <c r="E681" s="154"/>
      <c r="F681" s="180"/>
    </row>
    <row r="682" customHeight="1" spans="1:6">
      <c r="A682" s="6" t="s">
        <v>2401</v>
      </c>
      <c r="B682" s="200" t="s">
        <v>2402</v>
      </c>
      <c r="C682" s="202" t="s">
        <v>2403</v>
      </c>
      <c r="D682" s="152"/>
      <c r="E682" s="154" t="s">
        <v>181</v>
      </c>
      <c r="F682" s="180"/>
    </row>
    <row r="683" customHeight="1" spans="1:6">
      <c r="A683" s="6" t="s">
        <v>2404</v>
      </c>
      <c r="B683" s="200" t="s">
        <v>2405</v>
      </c>
      <c r="C683" s="236" t="s">
        <v>2406</v>
      </c>
      <c r="D683" s="194" t="s">
        <v>2407</v>
      </c>
      <c r="E683" s="194" t="s">
        <v>216</v>
      </c>
      <c r="F683" s="194"/>
    </row>
    <row r="684" customHeight="1" spans="1:6">
      <c r="A684" s="6" t="s">
        <v>2408</v>
      </c>
      <c r="B684" s="200" t="s">
        <v>2409</v>
      </c>
      <c r="C684" s="202" t="s">
        <v>2410</v>
      </c>
      <c r="D684" s="154">
        <v>916698793</v>
      </c>
      <c r="E684" s="154" t="s">
        <v>1281</v>
      </c>
      <c r="F684" s="180"/>
    </row>
    <row r="685" customHeight="1" spans="1:6">
      <c r="A685" s="6" t="s">
        <v>2411</v>
      </c>
      <c r="B685" s="200" t="s">
        <v>2412</v>
      </c>
      <c r="C685" s="202" t="s">
        <v>2413</v>
      </c>
      <c r="D685" s="152" t="s">
        <v>2414</v>
      </c>
      <c r="E685" s="154"/>
      <c r="F685" s="180"/>
    </row>
    <row r="686" customHeight="1" spans="1:6">
      <c r="A686" s="6" t="s">
        <v>2415</v>
      </c>
      <c r="B686" s="200" t="s">
        <v>2416</v>
      </c>
      <c r="C686" s="202" t="s">
        <v>2417</v>
      </c>
      <c r="D686" s="158"/>
      <c r="E686" s="154"/>
      <c r="F686" s="180"/>
    </row>
    <row r="687" customHeight="1" spans="1:6">
      <c r="A687" s="6" t="s">
        <v>2418</v>
      </c>
      <c r="B687" s="201" t="s">
        <v>2419</v>
      </c>
      <c r="C687" s="202" t="s">
        <v>2420</v>
      </c>
      <c r="D687" s="154" t="s">
        <v>2421</v>
      </c>
      <c r="E687" s="154" t="s">
        <v>243</v>
      </c>
      <c r="F687" s="180"/>
    </row>
    <row r="688" customHeight="1" spans="1:6">
      <c r="A688" s="6" t="s">
        <v>2422</v>
      </c>
      <c r="B688" s="197" t="s">
        <v>2423</v>
      </c>
      <c r="C688" s="203" t="s">
        <v>2424</v>
      </c>
      <c r="D688" s="197"/>
      <c r="E688" s="197" t="s">
        <v>253</v>
      </c>
      <c r="F688" s="197"/>
    </row>
    <row r="689" customHeight="1" spans="1:6">
      <c r="A689" s="6" t="s">
        <v>2425</v>
      </c>
      <c r="B689" s="195" t="s">
        <v>2426</v>
      </c>
      <c r="C689" s="212" t="s">
        <v>2427</v>
      </c>
      <c r="D689" s="197" t="s">
        <v>2428</v>
      </c>
      <c r="E689" s="154" t="s">
        <v>104</v>
      </c>
      <c r="F689" s="199"/>
    </row>
    <row r="690" customHeight="1" spans="1:6">
      <c r="A690" s="6" t="s">
        <v>2429</v>
      </c>
      <c r="B690" s="195" t="s">
        <v>2430</v>
      </c>
      <c r="C690" s="202" t="s">
        <v>2431</v>
      </c>
      <c r="D690" s="152"/>
      <c r="E690" s="154" t="s">
        <v>232</v>
      </c>
      <c r="F690" s="180"/>
    </row>
    <row r="691" customHeight="1" spans="1:6">
      <c r="A691" s="6" t="s">
        <v>2432</v>
      </c>
      <c r="B691" s="153" t="s">
        <v>2433</v>
      </c>
      <c r="C691" s="202" t="s">
        <v>2434</v>
      </c>
      <c r="D691" s="154">
        <v>964677475</v>
      </c>
      <c r="E691" s="154" t="s">
        <v>104</v>
      </c>
      <c r="F691" s="180"/>
    </row>
    <row r="692" customHeight="1" spans="1:6">
      <c r="A692" s="6" t="s">
        <v>2435</v>
      </c>
      <c r="B692" s="214" t="s">
        <v>2436</v>
      </c>
      <c r="C692" s="214" t="s">
        <v>2437</v>
      </c>
      <c r="D692" s="194"/>
      <c r="E692" s="204" t="s">
        <v>92</v>
      </c>
      <c r="F692" s="204"/>
    </row>
    <row r="693" customHeight="1" spans="1:6">
      <c r="A693" s="6" t="s">
        <v>2438</v>
      </c>
      <c r="B693" s="200" t="s">
        <v>2439</v>
      </c>
      <c r="C693" s="202" t="s">
        <v>2440</v>
      </c>
      <c r="D693" s="152"/>
      <c r="E693" s="154" t="s">
        <v>232</v>
      </c>
      <c r="F693" s="180"/>
    </row>
    <row r="694" customHeight="1" spans="1:6">
      <c r="A694" s="6" t="s">
        <v>2441</v>
      </c>
      <c r="B694" s="195" t="s">
        <v>2442</v>
      </c>
      <c r="C694" s="196" t="s">
        <v>2443</v>
      </c>
      <c r="D694" s="197"/>
      <c r="E694" s="198" t="s">
        <v>202</v>
      </c>
      <c r="F694" s="199"/>
    </row>
    <row r="695" customHeight="1" spans="1:6">
      <c r="A695" s="6" t="s">
        <v>2444</v>
      </c>
      <c r="B695" s="195" t="s">
        <v>2445</v>
      </c>
      <c r="C695" s="202" t="s">
        <v>2446</v>
      </c>
      <c r="D695" s="152" t="s">
        <v>2447</v>
      </c>
      <c r="E695" s="154"/>
      <c r="F695" s="180"/>
    </row>
    <row r="696" customHeight="1" spans="1:6">
      <c r="A696" s="6" t="s">
        <v>2448</v>
      </c>
      <c r="B696" s="201" t="s">
        <v>2449</v>
      </c>
      <c r="C696" s="202" t="s">
        <v>2450</v>
      </c>
      <c r="D696" s="154"/>
      <c r="E696" s="154" t="s">
        <v>58</v>
      </c>
      <c r="F696" s="180"/>
    </row>
    <row r="697" customHeight="1" spans="1:6">
      <c r="A697" s="6" t="s">
        <v>2451</v>
      </c>
      <c r="B697" s="200" t="s">
        <v>2452</v>
      </c>
      <c r="C697" s="203" t="s">
        <v>2453</v>
      </c>
      <c r="D697" s="194"/>
      <c r="E697" s="194" t="s">
        <v>253</v>
      </c>
      <c r="F697" s="194"/>
    </row>
    <row r="698" customHeight="1" spans="1:6">
      <c r="A698" s="6" t="s">
        <v>2454</v>
      </c>
      <c r="B698" s="153" t="s">
        <v>2455</v>
      </c>
      <c r="C698" s="202" t="s">
        <v>2456</v>
      </c>
      <c r="D698" s="154">
        <v>963099417</v>
      </c>
      <c r="E698" s="154" t="s">
        <v>104</v>
      </c>
      <c r="F698" s="180"/>
    </row>
    <row r="699" customHeight="1" spans="1:6">
      <c r="A699" s="6" t="s">
        <v>2457</v>
      </c>
      <c r="B699" s="201" t="s">
        <v>2458</v>
      </c>
      <c r="C699" s="202" t="s">
        <v>2459</v>
      </c>
      <c r="D699" s="153"/>
      <c r="E699" s="180" t="s">
        <v>104</v>
      </c>
      <c r="F699" s="180"/>
    </row>
    <row r="700" customHeight="1" spans="1:6">
      <c r="A700" s="6" t="s">
        <v>2460</v>
      </c>
      <c r="B700" s="195" t="s">
        <v>2461</v>
      </c>
      <c r="C700" s="202" t="s">
        <v>2462</v>
      </c>
      <c r="D700" s="152" t="s">
        <v>2463</v>
      </c>
      <c r="E700" s="154" t="s">
        <v>9</v>
      </c>
      <c r="F700" s="180"/>
    </row>
    <row r="701" customHeight="1" spans="1:6">
      <c r="A701" s="6" t="s">
        <v>2464</v>
      </c>
      <c r="B701" s="201" t="s">
        <v>2465</v>
      </c>
      <c r="C701" s="202" t="s">
        <v>2466</v>
      </c>
      <c r="D701" s="154" t="s">
        <v>2467</v>
      </c>
      <c r="E701" s="154"/>
      <c r="F701" s="180"/>
    </row>
    <row r="702" customHeight="1" spans="1:6">
      <c r="A702" s="6" t="s">
        <v>2468</v>
      </c>
      <c r="B702" s="201" t="s">
        <v>2469</v>
      </c>
      <c r="C702" s="202" t="s">
        <v>2470</v>
      </c>
      <c r="D702" s="154" t="s">
        <v>2471</v>
      </c>
      <c r="E702" s="154" t="s">
        <v>58</v>
      </c>
      <c r="F702" s="180"/>
    </row>
    <row r="703" customHeight="1" spans="1:6">
      <c r="A703" s="6" t="s">
        <v>2472</v>
      </c>
      <c r="B703" s="214" t="s">
        <v>2473</v>
      </c>
      <c r="C703" s="214" t="s">
        <v>2474</v>
      </c>
      <c r="D703" s="194"/>
      <c r="E703" s="204" t="s">
        <v>92</v>
      </c>
      <c r="F703" s="204"/>
    </row>
    <row r="704" customHeight="1" spans="1:6">
      <c r="A704" s="6" t="s">
        <v>2475</v>
      </c>
      <c r="B704" s="214" t="s">
        <v>2476</v>
      </c>
      <c r="C704" s="214" t="s">
        <v>2477</v>
      </c>
      <c r="D704" s="194"/>
      <c r="E704" s="204" t="s">
        <v>92</v>
      </c>
      <c r="F704" s="204"/>
    </row>
    <row r="705" customHeight="1" spans="1:6">
      <c r="A705" s="6" t="s">
        <v>2478</v>
      </c>
      <c r="B705" s="215" t="s">
        <v>2479</v>
      </c>
      <c r="C705" s="205" t="s">
        <v>2480</v>
      </c>
      <c r="D705" s="255" t="s">
        <v>2481</v>
      </c>
      <c r="E705" s="26" t="s">
        <v>92</v>
      </c>
      <c r="F705" s="26" t="s">
        <v>2482</v>
      </c>
    </row>
    <row r="706" customHeight="1" spans="1:6">
      <c r="A706" s="6" t="s">
        <v>2483</v>
      </c>
      <c r="B706" s="160" t="s">
        <v>2484</v>
      </c>
      <c r="C706" s="160" t="s">
        <v>2485</v>
      </c>
      <c r="D706" s="204" t="s">
        <v>2486</v>
      </c>
      <c r="E706" s="204" t="s">
        <v>92</v>
      </c>
      <c r="F706" s="204"/>
    </row>
    <row r="707" customHeight="1" spans="1:6">
      <c r="A707" s="6" t="s">
        <v>2487</v>
      </c>
      <c r="B707" s="233" t="s">
        <v>2488</v>
      </c>
      <c r="C707" s="233" t="s">
        <v>2489</v>
      </c>
      <c r="D707" s="204" t="s">
        <v>2490</v>
      </c>
      <c r="E707" s="204" t="s">
        <v>92</v>
      </c>
      <c r="F707" s="204" t="s">
        <v>2491</v>
      </c>
    </row>
    <row r="708" customHeight="1" spans="1:6">
      <c r="A708" s="6" t="s">
        <v>2492</v>
      </c>
      <c r="B708" s="214" t="s">
        <v>2493</v>
      </c>
      <c r="C708" s="214" t="s">
        <v>2494</v>
      </c>
      <c r="D708" s="204">
        <v>14802782582</v>
      </c>
      <c r="E708" s="204" t="s">
        <v>92</v>
      </c>
      <c r="F708" s="204"/>
    </row>
    <row r="709" customHeight="1" spans="1:6">
      <c r="A709" s="6" t="s">
        <v>2495</v>
      </c>
      <c r="B709" s="214" t="s">
        <v>2496</v>
      </c>
      <c r="C709" s="214" t="s">
        <v>2497</v>
      </c>
      <c r="D709" s="204" t="s">
        <v>2498</v>
      </c>
      <c r="E709" s="204" t="s">
        <v>92</v>
      </c>
      <c r="F709" s="204"/>
    </row>
    <row r="710" customHeight="1" spans="1:6">
      <c r="A710" s="6" t="s">
        <v>2499</v>
      </c>
      <c r="B710" s="233" t="s">
        <v>2500</v>
      </c>
      <c r="C710" s="233" t="s">
        <v>2501</v>
      </c>
      <c r="D710" s="223" t="s">
        <v>2502</v>
      </c>
      <c r="E710" s="204" t="s">
        <v>605</v>
      </c>
      <c r="F710" s="204" t="s">
        <v>2503</v>
      </c>
    </row>
    <row r="711" customHeight="1" spans="1:6">
      <c r="A711" s="9" t="s">
        <v>2504</v>
      </c>
      <c r="B711" s="231" t="str">
        <f>IFERROR(__xludf.DUMMYFUNCTION("""COMPUTED_VALUE"""),"Abiy Getachew Demisse")</f>
        <v>Abiy Getachew Demisse</v>
      </c>
      <c r="C711" s="231" t="str">
        <f>IFERROR(__xludf.DUMMYFUNCTION("""COMPUTED_VALUE"""),"አብይ ጌታቸው ደምሴ")</f>
        <v>አብይ ጌታቸው ደምሴ</v>
      </c>
      <c r="D711" s="231" t="str">
        <f>IFERROR(__xludf.DUMMYFUNCTION("""COMPUTED_VALUE"""),"911153111")</f>
        <v>911153111</v>
      </c>
      <c r="E711" s="231" t="str">
        <f>IFERROR(__xludf.DUMMYFUNCTION("""COMPUTED_VALUE"""),"A/A")</f>
        <v>A/A</v>
      </c>
      <c r="F711" s="231"/>
    </row>
    <row r="712" customHeight="1" spans="1:6">
      <c r="A712" s="9" t="s">
        <v>2505</v>
      </c>
      <c r="B712" s="225" t="s">
        <v>2506</v>
      </c>
      <c r="C712" s="225" t="s">
        <v>2507</v>
      </c>
      <c r="D712" s="228" t="s">
        <v>2508</v>
      </c>
      <c r="E712" s="229" t="s">
        <v>120</v>
      </c>
      <c r="F712" s="247" t="s">
        <v>2509</v>
      </c>
    </row>
    <row r="713" customHeight="1" spans="1:6">
      <c r="A713" s="6" t="s">
        <v>2510</v>
      </c>
      <c r="B713" s="214" t="s">
        <v>2511</v>
      </c>
      <c r="C713" s="214" t="s">
        <v>2512</v>
      </c>
      <c r="D713" s="194"/>
      <c r="E713" s="204" t="s">
        <v>92</v>
      </c>
      <c r="F713" s="204"/>
    </row>
    <row r="714" customHeight="1" spans="1:6">
      <c r="A714" s="6" t="s">
        <v>2513</v>
      </c>
      <c r="B714" s="222" t="str">
        <f>IFERROR(__xludf.DUMMYFUNCTION("""COMPUTED_VALUE"""),"Abiy Legesse Mamo /Ato")</f>
        <v>Abiy Legesse Mamo /Ato</v>
      </c>
      <c r="C714" s="222" t="str">
        <f>IFERROR(__xludf.DUMMYFUNCTION("""COMPUTED_VALUE"""),"አብይ ለገሰ ማሞ /አቶ")</f>
        <v>አብይ ለገሰ ማሞ /አቶ</v>
      </c>
      <c r="D714" s="222" t="str">
        <f>IFERROR(__xludf.DUMMYFUNCTION("""COMPUTED_VALUE"""),"0923-516356")</f>
        <v>0923-516356</v>
      </c>
      <c r="E714" s="222" t="str">
        <f>IFERROR(__xludf.DUMMYFUNCTION("""COMPUTED_VALUE"""),"A/A")</f>
        <v>A/A</v>
      </c>
      <c r="F714" s="222" t="str">
        <f>IFERROR(__xludf.DUMMYFUNCTION("""COMPUTED_VALUE"""),"abilege21@gmail.com")</f>
        <v>abilege21@gmail.com</v>
      </c>
    </row>
    <row r="715" customHeight="1" spans="1:6">
      <c r="A715" s="6" t="s">
        <v>2514</v>
      </c>
      <c r="B715" s="162" t="s">
        <v>2515</v>
      </c>
      <c r="C715" s="205" t="s">
        <v>2516</v>
      </c>
      <c r="D715" s="342" t="s">
        <v>2517</v>
      </c>
      <c r="E715" s="193" t="s">
        <v>120</v>
      </c>
      <c r="F715" s="216"/>
    </row>
    <row r="716" ht="46.5" customHeight="1" spans="1:6">
      <c r="A716" s="9" t="s">
        <v>2518</v>
      </c>
      <c r="B716" s="225" t="s">
        <v>2519</v>
      </c>
      <c r="C716" s="225" t="s">
        <v>2520</v>
      </c>
      <c r="D716" s="228" t="s">
        <v>2521</v>
      </c>
      <c r="E716" s="229" t="s">
        <v>120</v>
      </c>
      <c r="F716" s="230" t="s">
        <v>2522</v>
      </c>
    </row>
    <row r="717" customHeight="1" spans="1:6">
      <c r="A717" s="4" t="s">
        <v>2523</v>
      </c>
      <c r="B717" s="200" t="s">
        <v>2524</v>
      </c>
      <c r="C717" s="236" t="s">
        <v>2525</v>
      </c>
      <c r="D717" s="194"/>
      <c r="E717" s="193" t="s">
        <v>202</v>
      </c>
      <c r="F717" s="191"/>
    </row>
    <row r="718" customHeight="1" spans="1:6">
      <c r="A718" s="4" t="s">
        <v>2526</v>
      </c>
      <c r="B718" s="265" t="str">
        <f>IFERROR(__xludf.DUMMYFUNCTION("""COMPUTED_VALUE"""),"Abiy Sahilu G/Kidan")</f>
        <v>Abiy Sahilu G/Kidan</v>
      </c>
      <c r="C718" s="265" t="str">
        <f>IFERROR(__xludf.DUMMYFUNCTION("""COMPUTED_VALUE"""),"አብይ ሳህሉ ገ/ኪዳን")</f>
        <v>አብይ ሳህሉ ገ/ኪዳን</v>
      </c>
      <c r="D718" s="265" t="str">
        <f>IFERROR(__xludf.DUMMYFUNCTION("""COMPUTED_VALUE"""),"0911-206723")</f>
        <v>0911-206723</v>
      </c>
      <c r="E718" s="265" t="str">
        <f>IFERROR(__xludf.DUMMYFUNCTION("""COMPUTED_VALUE"""),"Addis Ababa")</f>
        <v>Addis Ababa</v>
      </c>
      <c r="F718" s="265" t="str">
        <f>IFERROR(__xludf.DUMMYFUNCTION("""COMPUTED_VALUE"""),"abiys.autog@yahoo.com")</f>
        <v>abiys.autog@yahoo.com</v>
      </c>
    </row>
    <row r="719" customHeight="1" spans="1:6">
      <c r="A719" s="4" t="s">
        <v>2527</v>
      </c>
      <c r="B719" s="160" t="s">
        <v>2528</v>
      </c>
      <c r="C719" s="160" t="s">
        <v>2529</v>
      </c>
      <c r="D719" s="194"/>
      <c r="E719" s="204" t="s">
        <v>92</v>
      </c>
      <c r="F719" s="204"/>
    </row>
    <row r="720" customHeight="1" spans="1:6">
      <c r="A720" s="4" t="s">
        <v>2530</v>
      </c>
      <c r="B720" s="205" t="s">
        <v>2531</v>
      </c>
      <c r="C720" s="205" t="s">
        <v>2532</v>
      </c>
      <c r="D720" s="206" t="s">
        <v>2533</v>
      </c>
      <c r="E720" s="193" t="s">
        <v>120</v>
      </c>
      <c r="F720" s="239" t="s">
        <v>2534</v>
      </c>
    </row>
    <row r="721" customHeight="1" spans="1:6">
      <c r="A721" s="4" t="s">
        <v>2535</v>
      </c>
      <c r="B721" s="233" t="s">
        <v>2536</v>
      </c>
      <c r="C721" s="233" t="s">
        <v>2537</v>
      </c>
      <c r="D721" s="204" t="s">
        <v>2538</v>
      </c>
      <c r="E721" s="204" t="s">
        <v>2067</v>
      </c>
      <c r="F721" s="204" t="s">
        <v>2539</v>
      </c>
    </row>
    <row r="722" customHeight="1" spans="1:6">
      <c r="A722" s="4" t="s">
        <v>2540</v>
      </c>
      <c r="B722" s="200" t="s">
        <v>2541</v>
      </c>
      <c r="C722" s="236" t="s">
        <v>2542</v>
      </c>
      <c r="D722" s="194"/>
      <c r="E722" s="193" t="s">
        <v>202</v>
      </c>
      <c r="F722" s="191"/>
    </row>
    <row r="723" customHeight="1" spans="1:6">
      <c r="A723" s="4" t="s">
        <v>2543</v>
      </c>
      <c r="B723" s="214" t="s">
        <v>2544</v>
      </c>
      <c r="C723" s="214" t="s">
        <v>2545</v>
      </c>
      <c r="D723" s="194"/>
      <c r="E723" s="204" t="s">
        <v>92</v>
      </c>
      <c r="F723" s="204"/>
    </row>
    <row r="724" customHeight="1" spans="1:6">
      <c r="A724" s="4" t="s">
        <v>2546</v>
      </c>
      <c r="B724" s="195" t="s">
        <v>2547</v>
      </c>
      <c r="C724" s="254" t="s">
        <v>2548</v>
      </c>
      <c r="D724" s="197"/>
      <c r="E724" s="197" t="s">
        <v>202</v>
      </c>
      <c r="F724" s="197"/>
    </row>
    <row r="725" customHeight="1" spans="1:6">
      <c r="A725" s="4" t="s">
        <v>2549</v>
      </c>
      <c r="B725" s="195" t="s">
        <v>2550</v>
      </c>
      <c r="C725" s="202" t="s">
        <v>2551</v>
      </c>
      <c r="D725" s="152"/>
      <c r="E725" s="154" t="s">
        <v>232</v>
      </c>
      <c r="F725" s="180"/>
    </row>
    <row r="726" customHeight="1" spans="1:6">
      <c r="A726" s="4" t="s">
        <v>2552</v>
      </c>
      <c r="B726" s="161" t="s">
        <v>2553</v>
      </c>
      <c r="C726" s="161" t="s">
        <v>2554</v>
      </c>
      <c r="D726" s="194"/>
      <c r="E726" s="204" t="s">
        <v>92</v>
      </c>
      <c r="F726" s="204"/>
    </row>
    <row r="727" customHeight="1" spans="1:6">
      <c r="A727" s="4" t="s">
        <v>2555</v>
      </c>
      <c r="B727" s="195" t="s">
        <v>2556</v>
      </c>
      <c r="C727" s="202" t="s">
        <v>2557</v>
      </c>
      <c r="D727" s="152"/>
      <c r="E727" s="154" t="s">
        <v>232</v>
      </c>
      <c r="F727" s="180"/>
    </row>
    <row r="728" customHeight="1" spans="1:6">
      <c r="A728" s="4" t="s">
        <v>2558</v>
      </c>
      <c r="B728" s="200" t="s">
        <v>2559</v>
      </c>
      <c r="C728" s="202" t="s">
        <v>2560</v>
      </c>
      <c r="D728" s="158">
        <v>936340880</v>
      </c>
      <c r="E728" s="154" t="s">
        <v>104</v>
      </c>
      <c r="F728" s="180"/>
    </row>
    <row r="729" customHeight="1" spans="1:6">
      <c r="A729" s="4" t="s">
        <v>2561</v>
      </c>
      <c r="B729" s="195" t="s">
        <v>2562</v>
      </c>
      <c r="C729" s="202" t="s">
        <v>2563</v>
      </c>
      <c r="D729" s="158"/>
      <c r="E729" s="154" t="s">
        <v>243</v>
      </c>
      <c r="F729" s="180"/>
    </row>
    <row r="730" customHeight="1" spans="1:6">
      <c r="A730" s="4" t="s">
        <v>2564</v>
      </c>
      <c r="B730" s="201" t="s">
        <v>2565</v>
      </c>
      <c r="C730" s="202" t="s">
        <v>2566</v>
      </c>
      <c r="D730" s="154"/>
      <c r="E730" s="154" t="s">
        <v>58</v>
      </c>
      <c r="F730" s="180"/>
    </row>
    <row r="731" customHeight="1" spans="1:6">
      <c r="A731" s="4" t="s">
        <v>2567</v>
      </c>
      <c r="B731" s="200" t="s">
        <v>2568</v>
      </c>
      <c r="C731" s="264" t="s">
        <v>2569</v>
      </c>
      <c r="D731" s="194"/>
      <c r="E731" s="194" t="s">
        <v>243</v>
      </c>
      <c r="F731" s="194"/>
    </row>
    <row r="732" customHeight="1" spans="1:6">
      <c r="A732" s="4" t="s">
        <v>2570</v>
      </c>
      <c r="B732" s="200" t="s">
        <v>2571</v>
      </c>
      <c r="C732" s="202" t="s">
        <v>2572</v>
      </c>
      <c r="D732" s="158" t="s">
        <v>2573</v>
      </c>
      <c r="E732" s="154"/>
      <c r="F732" s="180"/>
    </row>
    <row r="733" customHeight="1" spans="1:6">
      <c r="A733" s="4" t="s">
        <v>2574</v>
      </c>
      <c r="B733" s="195" t="s">
        <v>2575</v>
      </c>
      <c r="C733" s="202" t="s">
        <v>2576</v>
      </c>
      <c r="D733" s="152" t="s">
        <v>2577</v>
      </c>
      <c r="E733" s="154" t="s">
        <v>243</v>
      </c>
      <c r="F733" s="180"/>
    </row>
    <row r="734" customHeight="1" spans="1:6">
      <c r="A734" s="4" t="s">
        <v>2578</v>
      </c>
      <c r="B734" s="195" t="s">
        <v>2579</v>
      </c>
      <c r="C734" s="254" t="s">
        <v>2580</v>
      </c>
      <c r="D734" s="197"/>
      <c r="E734" s="197" t="s">
        <v>243</v>
      </c>
      <c r="F734" s="197"/>
    </row>
    <row r="735" customHeight="1" spans="1:6">
      <c r="A735" s="4" t="s">
        <v>2581</v>
      </c>
      <c r="B735" s="153" t="s">
        <v>2582</v>
      </c>
      <c r="C735" s="202" t="s">
        <v>2583</v>
      </c>
      <c r="D735" s="154">
        <v>921671029</v>
      </c>
      <c r="E735" s="154" t="s">
        <v>104</v>
      </c>
      <c r="F735" s="180"/>
    </row>
    <row r="736" customHeight="1" spans="1:6">
      <c r="A736" s="4" t="s">
        <v>2584</v>
      </c>
      <c r="B736" s="201" t="s">
        <v>2585</v>
      </c>
      <c r="C736" s="202" t="s">
        <v>2586</v>
      </c>
      <c r="D736" s="154"/>
      <c r="E736" s="154" t="s">
        <v>58</v>
      </c>
      <c r="F736" s="180"/>
    </row>
    <row r="737" customHeight="1" spans="1:6">
      <c r="A737" s="4" t="s">
        <v>2587</v>
      </c>
      <c r="B737" s="201" t="s">
        <v>2588</v>
      </c>
      <c r="C737" s="202" t="s">
        <v>2589</v>
      </c>
      <c r="D737" s="154" t="s">
        <v>2590</v>
      </c>
      <c r="E737" s="154" t="s">
        <v>211</v>
      </c>
      <c r="F737" s="180"/>
    </row>
    <row r="738" customHeight="1" spans="1:6">
      <c r="A738" s="4" t="s">
        <v>2591</v>
      </c>
      <c r="B738" s="201" t="s">
        <v>2592</v>
      </c>
      <c r="C738" s="202" t="s">
        <v>2593</v>
      </c>
      <c r="D738" s="154" t="s">
        <v>2594</v>
      </c>
      <c r="E738" s="154" t="s">
        <v>1395</v>
      </c>
      <c r="F738" s="180"/>
    </row>
    <row r="739" customHeight="1" spans="1:6">
      <c r="A739" s="4" t="s">
        <v>2595</v>
      </c>
      <c r="B739" s="200" t="s">
        <v>2596</v>
      </c>
      <c r="C739" s="202" t="s">
        <v>2597</v>
      </c>
      <c r="D739" s="152" t="s">
        <v>2598</v>
      </c>
      <c r="E739" s="154" t="s">
        <v>243</v>
      </c>
      <c r="F739" s="180"/>
    </row>
    <row r="740" customHeight="1" spans="1:6">
      <c r="A740" s="4" t="s">
        <v>2599</v>
      </c>
      <c r="B740" s="200" t="s">
        <v>2600</v>
      </c>
      <c r="C740" s="202" t="s">
        <v>2601</v>
      </c>
      <c r="D740" s="152" t="s">
        <v>2602</v>
      </c>
      <c r="E740" s="154"/>
      <c r="F740" s="180"/>
    </row>
    <row r="741" customHeight="1" spans="1:6">
      <c r="A741" s="4" t="s">
        <v>2603</v>
      </c>
      <c r="B741" s="201" t="s">
        <v>2604</v>
      </c>
      <c r="C741" s="202" t="s">
        <v>2605</v>
      </c>
      <c r="D741" s="154"/>
      <c r="E741" s="154"/>
      <c r="F741" s="180"/>
    </row>
    <row r="742" customHeight="1" spans="1:6">
      <c r="A742" s="4" t="s">
        <v>2606</v>
      </c>
      <c r="B742" s="200" t="s">
        <v>2607</v>
      </c>
      <c r="C742" s="202" t="s">
        <v>2608</v>
      </c>
      <c r="D742" s="152" t="s">
        <v>2609</v>
      </c>
      <c r="E742" s="154" t="s">
        <v>9</v>
      </c>
      <c r="F742" s="180"/>
    </row>
    <row r="743" customHeight="1" spans="1:6">
      <c r="A743" s="4" t="s">
        <v>2610</v>
      </c>
      <c r="B743" s="201" t="s">
        <v>2611</v>
      </c>
      <c r="C743" s="202" t="s">
        <v>2612</v>
      </c>
      <c r="D743" s="154" t="s">
        <v>2613</v>
      </c>
      <c r="E743" s="154" t="s">
        <v>243</v>
      </c>
      <c r="F743" s="180"/>
    </row>
    <row r="744" customHeight="1" spans="1:6">
      <c r="A744" s="4" t="s">
        <v>2614</v>
      </c>
      <c r="B744" s="195" t="s">
        <v>2615</v>
      </c>
      <c r="C744" s="203" t="s">
        <v>2616</v>
      </c>
      <c r="D744" s="197"/>
      <c r="E744" s="197" t="s">
        <v>273</v>
      </c>
      <c r="F744" s="197"/>
    </row>
    <row r="745" customHeight="1" spans="1:6">
      <c r="A745" s="4" t="s">
        <v>2617</v>
      </c>
      <c r="B745" s="266" t="s">
        <v>2618</v>
      </c>
      <c r="C745" s="266" t="s">
        <v>2619</v>
      </c>
      <c r="D745" s="256" t="s">
        <v>2620</v>
      </c>
      <c r="E745" s="26" t="s">
        <v>1701</v>
      </c>
      <c r="F745" s="267"/>
    </row>
    <row r="746" customHeight="1" spans="1:6">
      <c r="A746" s="4" t="s">
        <v>2621</v>
      </c>
      <c r="B746" s="200" t="s">
        <v>2622</v>
      </c>
      <c r="C746" s="202" t="s">
        <v>2623</v>
      </c>
      <c r="D746" s="152"/>
      <c r="E746" s="154" t="s">
        <v>232</v>
      </c>
      <c r="F746" s="180"/>
    </row>
    <row r="747" customHeight="1" spans="1:6">
      <c r="A747" s="4" t="s">
        <v>2624</v>
      </c>
      <c r="B747" s="200" t="s">
        <v>2625</v>
      </c>
      <c r="C747" s="202" t="s">
        <v>2626</v>
      </c>
      <c r="D747" s="152"/>
      <c r="E747" s="154" t="s">
        <v>104</v>
      </c>
      <c r="F747" s="180"/>
    </row>
    <row r="748" customHeight="1" spans="1:6">
      <c r="A748" s="4" t="s">
        <v>2627</v>
      </c>
      <c r="B748" s="223" t="s">
        <v>2628</v>
      </c>
      <c r="C748" s="223" t="s">
        <v>2629</v>
      </c>
      <c r="D748" s="204" t="s">
        <v>2630</v>
      </c>
      <c r="E748" s="204" t="s">
        <v>92</v>
      </c>
      <c r="F748" s="204"/>
    </row>
    <row r="749" customHeight="1" spans="1:6">
      <c r="A749" s="4" t="s">
        <v>2631</v>
      </c>
      <c r="B749" s="205" t="s">
        <v>2632</v>
      </c>
      <c r="C749" s="205" t="s">
        <v>2633</v>
      </c>
      <c r="D749" s="206" t="s">
        <v>2634</v>
      </c>
      <c r="E749" s="193" t="s">
        <v>120</v>
      </c>
      <c r="F749" s="207" t="s">
        <v>2635</v>
      </c>
    </row>
    <row r="750" customHeight="1" spans="1:6">
      <c r="A750" s="4" t="s">
        <v>2636</v>
      </c>
      <c r="B750" s="204" t="s">
        <v>2637</v>
      </c>
      <c r="C750" s="204" t="s">
        <v>2638</v>
      </c>
      <c r="D750" s="194"/>
      <c r="E750" s="204" t="s">
        <v>92</v>
      </c>
      <c r="F750" s="204"/>
    </row>
    <row r="751" customHeight="1" spans="1:6">
      <c r="A751" s="4" t="s">
        <v>2639</v>
      </c>
      <c r="B751" s="234" t="s">
        <v>2640</v>
      </c>
      <c r="C751" s="235" t="s">
        <v>2641</v>
      </c>
      <c r="D751" s="36">
        <v>911112585</v>
      </c>
      <c r="E751" s="45" t="s">
        <v>691</v>
      </c>
      <c r="F751" s="268" t="s">
        <v>2642</v>
      </c>
    </row>
    <row r="752" customHeight="1" spans="1:6">
      <c r="A752" s="4" t="s">
        <v>2643</v>
      </c>
      <c r="B752" s="195" t="s">
        <v>2644</v>
      </c>
      <c r="C752" s="202" t="s">
        <v>2645</v>
      </c>
      <c r="D752" s="158"/>
      <c r="E752" s="154" t="s">
        <v>310</v>
      </c>
      <c r="F752" s="180"/>
    </row>
    <row r="753" customHeight="1" spans="1:6">
      <c r="A753" s="4" t="s">
        <v>2646</v>
      </c>
      <c r="B753" s="214" t="s">
        <v>2647</v>
      </c>
      <c r="C753" s="214" t="s">
        <v>2648</v>
      </c>
      <c r="D753" s="194"/>
      <c r="E753" s="204" t="s">
        <v>92</v>
      </c>
      <c r="F753" s="204"/>
    </row>
    <row r="754" customHeight="1" spans="1:6">
      <c r="A754" s="4" t="s">
        <v>2649</v>
      </c>
      <c r="B754" s="195" t="s">
        <v>2650</v>
      </c>
      <c r="C754" s="202" t="s">
        <v>2651</v>
      </c>
      <c r="D754" s="152" t="s">
        <v>2652</v>
      </c>
      <c r="E754" s="154" t="s">
        <v>181</v>
      </c>
      <c r="F754" s="180"/>
    </row>
    <row r="755" customHeight="1" spans="1:6">
      <c r="A755" s="4" t="s">
        <v>2653</v>
      </c>
      <c r="B755" s="195" t="s">
        <v>2654</v>
      </c>
      <c r="C755" s="202" t="s">
        <v>2655</v>
      </c>
      <c r="D755" s="152" t="s">
        <v>2656</v>
      </c>
      <c r="E755" s="154" t="s">
        <v>243</v>
      </c>
      <c r="F755" s="180"/>
    </row>
    <row r="756" customHeight="1" spans="1:6">
      <c r="A756" s="4" t="s">
        <v>2657</v>
      </c>
      <c r="B756" s="160" t="s">
        <v>2658</v>
      </c>
      <c r="C756" s="160" t="s">
        <v>2659</v>
      </c>
      <c r="D756" s="204" t="s">
        <v>2660</v>
      </c>
      <c r="E756" s="204" t="s">
        <v>92</v>
      </c>
      <c r="F756" s="204"/>
    </row>
    <row r="757" customHeight="1" spans="1:6">
      <c r="A757" s="4" t="s">
        <v>2661</v>
      </c>
      <c r="B757" s="200" t="s">
        <v>2662</v>
      </c>
      <c r="C757" s="202" t="s">
        <v>2663</v>
      </c>
      <c r="D757" s="152" t="s">
        <v>2664</v>
      </c>
      <c r="E757" s="154" t="s">
        <v>243</v>
      </c>
      <c r="F757" s="180"/>
    </row>
    <row r="758" customHeight="1" spans="1:6">
      <c r="A758" s="4" t="s">
        <v>2665</v>
      </c>
      <c r="B758" s="205" t="s">
        <v>2666</v>
      </c>
      <c r="C758" s="205" t="s">
        <v>2667</v>
      </c>
      <c r="D758" s="206" t="s">
        <v>2668</v>
      </c>
      <c r="E758" s="193" t="s">
        <v>120</v>
      </c>
      <c r="F758" s="221"/>
    </row>
    <row r="759" customHeight="1" spans="1:6">
      <c r="A759" s="4" t="s">
        <v>2669</v>
      </c>
      <c r="B759" s="166" t="str">
        <f>IFERROR(__xludf.DUMMYFUNCTION("""COMPUTED_VALUE"""),"Abraham Adugna Jimma")</f>
        <v>Abraham Adugna Jimma</v>
      </c>
      <c r="C759" s="166" t="str">
        <f>IFERROR(__xludf.DUMMYFUNCTION("""COMPUTED_VALUE"""),"አብርሃም አዱኛ ጅማ")</f>
        <v>አብርሃም አዱኛ ጅማ</v>
      </c>
      <c r="D759" s="166" t="str">
        <f>IFERROR(__xludf.DUMMYFUNCTION("""COMPUTED_VALUE"""),"911629624")</f>
        <v>911629624</v>
      </c>
      <c r="E759" s="166" t="str">
        <f>IFERROR(__xludf.DUMMYFUNCTION("""COMPUTED_VALUE"""),"A/A")</f>
        <v>A/A</v>
      </c>
      <c r="F759" s="166"/>
    </row>
    <row r="760" customHeight="1" spans="1:6">
      <c r="A760" s="4" t="s">
        <v>2670</v>
      </c>
      <c r="B760" s="214" t="s">
        <v>2671</v>
      </c>
      <c r="C760" s="214" t="s">
        <v>2672</v>
      </c>
      <c r="D760" s="194"/>
      <c r="E760" s="204" t="s">
        <v>92</v>
      </c>
      <c r="F760" s="204"/>
    </row>
    <row r="761" customHeight="1" spans="1:6">
      <c r="A761" s="4" t="s">
        <v>2673</v>
      </c>
      <c r="B761" s="194" t="s">
        <v>2674</v>
      </c>
      <c r="C761" s="202" t="s">
        <v>2675</v>
      </c>
      <c r="D761" s="158" t="s">
        <v>2676</v>
      </c>
      <c r="E761" s="154" t="s">
        <v>243</v>
      </c>
      <c r="F761" s="250"/>
    </row>
    <row r="762" customHeight="1" spans="1:6">
      <c r="A762" s="4" t="s">
        <v>2677</v>
      </c>
      <c r="B762" s="200" t="s">
        <v>2678</v>
      </c>
      <c r="C762" s="202" t="s">
        <v>2679</v>
      </c>
      <c r="D762" s="152" t="s">
        <v>2680</v>
      </c>
      <c r="E762" s="154" t="s">
        <v>181</v>
      </c>
      <c r="F762" s="180"/>
    </row>
    <row r="763" customHeight="1" spans="1:6">
      <c r="A763" s="4" t="s">
        <v>2681</v>
      </c>
      <c r="B763" s="200" t="s">
        <v>2682</v>
      </c>
      <c r="C763" s="264" t="s">
        <v>2683</v>
      </c>
      <c r="D763" s="194" t="s">
        <v>2684</v>
      </c>
      <c r="E763" s="194" t="s">
        <v>243</v>
      </c>
      <c r="F763" s="194"/>
    </row>
    <row r="764" customHeight="1" spans="1:6">
      <c r="A764" s="4" t="s">
        <v>2685</v>
      </c>
      <c r="B764" s="205" t="s">
        <v>2686</v>
      </c>
      <c r="C764" s="205" t="s">
        <v>2687</v>
      </c>
      <c r="D764" s="206" t="s">
        <v>2688</v>
      </c>
      <c r="E764" s="193" t="s">
        <v>120</v>
      </c>
      <c r="F764" s="267"/>
    </row>
    <row r="765" customHeight="1" spans="1:6">
      <c r="A765" s="4" t="s">
        <v>2689</v>
      </c>
      <c r="B765" s="215" t="s">
        <v>2690</v>
      </c>
      <c r="C765" s="205" t="s">
        <v>2691</v>
      </c>
      <c r="D765" s="244" t="s">
        <v>2692</v>
      </c>
      <c r="E765" s="26" t="s">
        <v>92</v>
      </c>
      <c r="F765" s="26" t="s">
        <v>2693</v>
      </c>
    </row>
    <row r="766" customHeight="1" spans="1:6">
      <c r="A766" s="4" t="s">
        <v>2694</v>
      </c>
      <c r="B766" s="195" t="s">
        <v>2695</v>
      </c>
      <c r="C766" s="202" t="s">
        <v>2696</v>
      </c>
      <c r="D766" s="152" t="s">
        <v>2697</v>
      </c>
      <c r="E766" s="154" t="s">
        <v>181</v>
      </c>
      <c r="F766" s="180"/>
    </row>
    <row r="767" customHeight="1" spans="1:6">
      <c r="A767" s="4" t="s">
        <v>2698</v>
      </c>
      <c r="B767" s="160" t="s">
        <v>2699</v>
      </c>
      <c r="C767" s="160" t="s">
        <v>2700</v>
      </c>
      <c r="D767" s="204" t="s">
        <v>2701</v>
      </c>
      <c r="E767" s="204" t="s">
        <v>92</v>
      </c>
      <c r="F767" s="204"/>
    </row>
    <row r="768" customHeight="1" spans="1:6">
      <c r="A768" s="4" t="s">
        <v>2702</v>
      </c>
      <c r="B768" s="219" t="s">
        <v>2703</v>
      </c>
      <c r="C768" s="219" t="s">
        <v>2704</v>
      </c>
      <c r="D768" s="194"/>
      <c r="E768" s="204" t="s">
        <v>92</v>
      </c>
      <c r="F768" s="204"/>
    </row>
    <row r="769" customHeight="1" spans="1:6">
      <c r="A769" s="4" t="s">
        <v>2705</v>
      </c>
      <c r="B769" s="269" t="s">
        <v>2706</v>
      </c>
      <c r="C769" s="269" t="s">
        <v>2707</v>
      </c>
      <c r="D769" s="194"/>
      <c r="E769" s="204" t="s">
        <v>92</v>
      </c>
      <c r="F769" s="204"/>
    </row>
    <row r="770" customHeight="1" spans="1:6">
      <c r="A770" s="4" t="s">
        <v>2708</v>
      </c>
      <c r="B770" s="205" t="s">
        <v>2709</v>
      </c>
      <c r="C770" s="205" t="s">
        <v>2710</v>
      </c>
      <c r="D770" s="206" t="s">
        <v>2711</v>
      </c>
      <c r="E770" s="193" t="s">
        <v>120</v>
      </c>
      <c r="F770" s="221" t="s">
        <v>2712</v>
      </c>
    </row>
    <row r="771" customHeight="1" spans="1:6">
      <c r="A771" s="4" t="s">
        <v>2713</v>
      </c>
      <c r="B771" s="201" t="s">
        <v>2714</v>
      </c>
      <c r="C771" s="202" t="s">
        <v>2715</v>
      </c>
      <c r="D771" s="154"/>
      <c r="E771" s="154" t="s">
        <v>243</v>
      </c>
      <c r="F771" s="180"/>
    </row>
    <row r="772" customHeight="1" spans="1:6">
      <c r="A772" s="4" t="s">
        <v>2716</v>
      </c>
      <c r="B772" s="194" t="s">
        <v>2717</v>
      </c>
      <c r="C772" s="202" t="s">
        <v>2718</v>
      </c>
      <c r="D772" s="158" t="s">
        <v>2719</v>
      </c>
      <c r="E772" s="154" t="s">
        <v>243</v>
      </c>
      <c r="F772" s="250"/>
    </row>
    <row r="773" customHeight="1" spans="1:6">
      <c r="A773" s="4" t="s">
        <v>2720</v>
      </c>
      <c r="B773" s="214" t="s">
        <v>2721</v>
      </c>
      <c r="C773" s="214" t="s">
        <v>2722</v>
      </c>
      <c r="D773" s="194"/>
      <c r="E773" s="204" t="s">
        <v>92</v>
      </c>
      <c r="F773" s="204"/>
    </row>
    <row r="774" customHeight="1" spans="1:6">
      <c r="A774" s="4" t="s">
        <v>2723</v>
      </c>
      <c r="B774" s="205" t="s">
        <v>2724</v>
      </c>
      <c r="C774" s="205" t="s">
        <v>2725</v>
      </c>
      <c r="D774" s="206" t="s">
        <v>2726</v>
      </c>
      <c r="E774" s="193" t="s">
        <v>120</v>
      </c>
      <c r="F774" s="221" t="s">
        <v>2727</v>
      </c>
    </row>
    <row r="775" customHeight="1" spans="1:6">
      <c r="A775" s="4" t="s">
        <v>2728</v>
      </c>
      <c r="B775" s="233" t="s">
        <v>2729</v>
      </c>
      <c r="C775" s="233" t="s">
        <v>2730</v>
      </c>
      <c r="D775" s="204" t="s">
        <v>2731</v>
      </c>
      <c r="E775" s="204" t="s">
        <v>2732</v>
      </c>
      <c r="F775" s="204" t="s">
        <v>2733</v>
      </c>
    </row>
    <row r="776" customHeight="1" spans="1:6">
      <c r="A776" s="4" t="s">
        <v>2734</v>
      </c>
      <c r="B776" s="201" t="s">
        <v>2735</v>
      </c>
      <c r="C776" s="202" t="s">
        <v>2736</v>
      </c>
      <c r="D776" s="154" t="s">
        <v>2737</v>
      </c>
      <c r="E776" s="154" t="s">
        <v>243</v>
      </c>
      <c r="F776" s="180"/>
    </row>
    <row r="777" customHeight="1" spans="1:6">
      <c r="A777" s="4" t="s">
        <v>2738</v>
      </c>
      <c r="B777" s="214" t="s">
        <v>2739</v>
      </c>
      <c r="C777" s="214" t="s">
        <v>2740</v>
      </c>
      <c r="D777" s="194"/>
      <c r="E777" s="204" t="s">
        <v>92</v>
      </c>
      <c r="F777" s="204"/>
    </row>
    <row r="778" customHeight="1" spans="1:6">
      <c r="A778" s="4" t="s">
        <v>2741</v>
      </c>
      <c r="B778" s="205" t="s">
        <v>2742</v>
      </c>
      <c r="C778" s="205" t="s">
        <v>2743</v>
      </c>
      <c r="D778" s="206" t="s">
        <v>2744</v>
      </c>
      <c r="E778" s="193" t="s">
        <v>120</v>
      </c>
      <c r="F778" s="221" t="s">
        <v>2745</v>
      </c>
    </row>
    <row r="779" customHeight="1" spans="1:6">
      <c r="A779" s="4" t="s">
        <v>2746</v>
      </c>
      <c r="B779" s="222" t="str">
        <f>IFERROR(__xludf.DUMMYFUNCTION("""COMPUTED_VALUE"""),"Abraham Tilahun Beyene")</f>
        <v>Abraham Tilahun Beyene</v>
      </c>
      <c r="C779" s="222" t="str">
        <f>IFERROR(__xludf.DUMMYFUNCTION("""COMPUTED_VALUE"""),"አብርሃም ጥላሁን በየነ")</f>
        <v>አብርሃም ጥላሁን በየነ</v>
      </c>
      <c r="D779" s="222" t="str">
        <f>IFERROR(__xludf.DUMMYFUNCTION("""COMPUTED_VALUE"""),"0911-274625")</f>
        <v>0911-274625</v>
      </c>
      <c r="E779" s="222" t="str">
        <f>IFERROR(__xludf.DUMMYFUNCTION("""COMPUTED_VALUE"""),"addis abeba")</f>
        <v>addis abeba</v>
      </c>
      <c r="F779" s="222"/>
    </row>
    <row r="780" customHeight="1" spans="1:6">
      <c r="A780" s="4" t="s">
        <v>2747</v>
      </c>
      <c r="B780" s="197" t="s">
        <v>2748</v>
      </c>
      <c r="C780" s="196" t="s">
        <v>2749</v>
      </c>
      <c r="D780" s="197"/>
      <c r="E780" s="197" t="s">
        <v>243</v>
      </c>
      <c r="F780" s="197"/>
    </row>
    <row r="781" customHeight="1" spans="1:6">
      <c r="A781" s="4" t="s">
        <v>2750</v>
      </c>
      <c r="B781" s="205" t="s">
        <v>2751</v>
      </c>
      <c r="C781" s="205" t="s">
        <v>2752</v>
      </c>
      <c r="D781" s="206" t="s">
        <v>2753</v>
      </c>
      <c r="E781" s="193" t="s">
        <v>120</v>
      </c>
      <c r="F781" s="221" t="s">
        <v>2754</v>
      </c>
    </row>
    <row r="782" customHeight="1" spans="1:6">
      <c r="A782" s="4" t="s">
        <v>2755</v>
      </c>
      <c r="B782" s="194" t="s">
        <v>2756</v>
      </c>
      <c r="C782" s="202" t="s">
        <v>2757</v>
      </c>
      <c r="D782" s="248">
        <v>972043179</v>
      </c>
      <c r="E782" s="154" t="s">
        <v>104</v>
      </c>
      <c r="F782" s="180"/>
    </row>
    <row r="783" customHeight="1" spans="1:6">
      <c r="A783" s="4" t="s">
        <v>2758</v>
      </c>
      <c r="B783" s="200" t="s">
        <v>2759</v>
      </c>
      <c r="C783" s="203" t="s">
        <v>2760</v>
      </c>
      <c r="D783" s="194"/>
      <c r="E783" s="194" t="s">
        <v>104</v>
      </c>
      <c r="F783" s="194"/>
    </row>
    <row r="784" customHeight="1" spans="1:6">
      <c r="A784" s="4" t="s">
        <v>2761</v>
      </c>
      <c r="B784" s="195" t="s">
        <v>2762</v>
      </c>
      <c r="C784" s="196" t="s">
        <v>2763</v>
      </c>
      <c r="D784" s="197"/>
      <c r="E784" s="197" t="s">
        <v>125</v>
      </c>
      <c r="F784" s="197"/>
    </row>
    <row r="785" customHeight="1" spans="1:6">
      <c r="A785" s="4" t="s">
        <v>2764</v>
      </c>
      <c r="B785" s="201" t="s">
        <v>2765</v>
      </c>
      <c r="C785" s="202" t="s">
        <v>2766</v>
      </c>
      <c r="D785" s="154"/>
      <c r="E785" s="154" t="s">
        <v>243</v>
      </c>
      <c r="F785" s="180"/>
    </row>
    <row r="786" customHeight="1" spans="1:6">
      <c r="A786" s="4" t="s">
        <v>2767</v>
      </c>
      <c r="B786" s="194" t="s">
        <v>2768</v>
      </c>
      <c r="C786" s="202" t="s">
        <v>2769</v>
      </c>
      <c r="D786" s="158"/>
      <c r="E786" s="154" t="s">
        <v>243</v>
      </c>
      <c r="F786" s="250"/>
    </row>
    <row r="787" customHeight="1" spans="1:6">
      <c r="A787" s="4" t="s">
        <v>2770</v>
      </c>
      <c r="B787" s="195" t="s">
        <v>2771</v>
      </c>
      <c r="C787" s="213" t="s">
        <v>2772</v>
      </c>
      <c r="D787" s="197"/>
      <c r="E787" s="197" t="s">
        <v>1852</v>
      </c>
      <c r="F787" s="197"/>
    </row>
    <row r="788" customHeight="1" spans="1:6">
      <c r="A788" s="4" t="s">
        <v>2773</v>
      </c>
      <c r="B788" s="200" t="s">
        <v>2774</v>
      </c>
      <c r="C788" s="192" t="s">
        <v>2775</v>
      </c>
      <c r="D788" s="194"/>
      <c r="E788" s="194" t="s">
        <v>202</v>
      </c>
      <c r="F788" s="197"/>
    </row>
    <row r="789" customHeight="1" spans="1:6">
      <c r="A789" s="4" t="s">
        <v>2776</v>
      </c>
      <c r="B789" s="214" t="s">
        <v>2777</v>
      </c>
      <c r="C789" s="214" t="s">
        <v>2778</v>
      </c>
      <c r="D789" s="194"/>
      <c r="E789" s="204" t="s">
        <v>92</v>
      </c>
      <c r="F789" s="204"/>
    </row>
    <row r="790" customHeight="1" spans="1:6">
      <c r="A790" s="4" t="s">
        <v>2779</v>
      </c>
      <c r="B790" s="200" t="s">
        <v>2780</v>
      </c>
      <c r="C790" s="236" t="s">
        <v>2781</v>
      </c>
      <c r="D790" s="194" t="s">
        <v>2782</v>
      </c>
      <c r="E790" s="194" t="s">
        <v>2783</v>
      </c>
      <c r="F790" s="194"/>
    </row>
    <row r="791" customHeight="1" spans="1:6">
      <c r="A791" s="4" t="s">
        <v>2784</v>
      </c>
      <c r="B791" s="194" t="s">
        <v>2785</v>
      </c>
      <c r="C791" s="264" t="s">
        <v>2786</v>
      </c>
      <c r="D791" s="194"/>
      <c r="E791" s="158" t="s">
        <v>216</v>
      </c>
      <c r="F791" s="158"/>
    </row>
    <row r="792" customHeight="1" spans="1:6">
      <c r="A792" s="4" t="s">
        <v>2787</v>
      </c>
      <c r="B792" s="205" t="s">
        <v>2788</v>
      </c>
      <c r="C792" s="205" t="s">
        <v>2789</v>
      </c>
      <c r="D792" s="206" t="s">
        <v>2790</v>
      </c>
      <c r="E792" s="193" t="s">
        <v>120</v>
      </c>
      <c r="F792" s="221"/>
    </row>
    <row r="793" customHeight="1" spans="1:6">
      <c r="A793" s="4" t="s">
        <v>2791</v>
      </c>
      <c r="B793" s="223" t="s">
        <v>2792</v>
      </c>
      <c r="C793" s="223" t="s">
        <v>2793</v>
      </c>
      <c r="D793" s="204" t="s">
        <v>2794</v>
      </c>
      <c r="E793" s="204" t="s">
        <v>92</v>
      </c>
      <c r="F793" s="204"/>
    </row>
    <row r="794" customHeight="1" spans="1:6">
      <c r="A794" s="9" t="s">
        <v>2795</v>
      </c>
      <c r="B794" s="224" t="s">
        <v>2796</v>
      </c>
      <c r="C794" s="225" t="s">
        <v>2797</v>
      </c>
      <c r="D794" s="228" t="s">
        <v>2798</v>
      </c>
      <c r="E794" s="229" t="s">
        <v>120</v>
      </c>
      <c r="F794" s="230" t="s">
        <v>2799</v>
      </c>
    </row>
    <row r="795" customHeight="1" spans="1:6">
      <c r="A795" s="6" t="s">
        <v>2800</v>
      </c>
      <c r="B795" s="200" t="s">
        <v>2801</v>
      </c>
      <c r="C795" s="202" t="s">
        <v>2802</v>
      </c>
      <c r="D795" s="152" t="s">
        <v>2803</v>
      </c>
      <c r="E795" s="154" t="s">
        <v>181</v>
      </c>
      <c r="F795" s="180"/>
    </row>
    <row r="796" customHeight="1" spans="1:6">
      <c r="A796" s="6" t="s">
        <v>2804</v>
      </c>
      <c r="B796" s="214" t="s">
        <v>2805</v>
      </c>
      <c r="C796" s="214" t="s">
        <v>2806</v>
      </c>
      <c r="D796" s="194"/>
      <c r="E796" s="204" t="s">
        <v>92</v>
      </c>
      <c r="F796" s="204"/>
    </row>
    <row r="797" customHeight="1" spans="1:6">
      <c r="A797" s="6" t="s">
        <v>2807</v>
      </c>
      <c r="B797" s="223" t="s">
        <v>2808</v>
      </c>
      <c r="C797" s="223" t="s">
        <v>2809</v>
      </c>
      <c r="D797" s="204" t="s">
        <v>2810</v>
      </c>
      <c r="E797" s="204" t="s">
        <v>92</v>
      </c>
      <c r="F797" s="204"/>
    </row>
    <row r="798" customHeight="1" spans="1:6">
      <c r="A798" s="6" t="s">
        <v>2811</v>
      </c>
      <c r="B798" s="200" t="s">
        <v>2812</v>
      </c>
      <c r="C798" s="202" t="s">
        <v>2813</v>
      </c>
      <c r="D798" s="158"/>
      <c r="E798" s="154"/>
      <c r="F798" s="180"/>
    </row>
    <row r="799" customHeight="1" spans="1:6">
      <c r="A799" s="6" t="s">
        <v>2814</v>
      </c>
      <c r="B799" s="194" t="s">
        <v>2815</v>
      </c>
      <c r="C799" s="192" t="s">
        <v>2816</v>
      </c>
      <c r="D799" s="194"/>
      <c r="E799" s="194" t="s">
        <v>243</v>
      </c>
      <c r="F799" s="194"/>
    </row>
    <row r="800" customHeight="1" spans="1:6">
      <c r="A800" s="6" t="s">
        <v>2817</v>
      </c>
      <c r="B800" s="201" t="s">
        <v>2818</v>
      </c>
      <c r="C800" s="202" t="s">
        <v>2819</v>
      </c>
      <c r="D800" s="154" t="s">
        <v>2820</v>
      </c>
      <c r="E800" s="154" t="s">
        <v>243</v>
      </c>
      <c r="F800" s="180"/>
    </row>
    <row r="801" customHeight="1" spans="1:6">
      <c r="A801" s="6" t="s">
        <v>2821</v>
      </c>
      <c r="B801" s="205" t="s">
        <v>2822</v>
      </c>
      <c r="C801" s="205" t="s">
        <v>2823</v>
      </c>
      <c r="D801" s="206" t="s">
        <v>2824</v>
      </c>
      <c r="E801" s="193" t="s">
        <v>120</v>
      </c>
      <c r="F801" s="207" t="s">
        <v>2825</v>
      </c>
    </row>
    <row r="802" customHeight="1" spans="1:6">
      <c r="A802" s="6" t="s">
        <v>2826</v>
      </c>
      <c r="B802" s="195" t="s">
        <v>2827</v>
      </c>
      <c r="C802" s="196" t="s">
        <v>2828</v>
      </c>
      <c r="D802" s="197" t="s">
        <v>2829</v>
      </c>
      <c r="E802" s="197" t="s">
        <v>186</v>
      </c>
      <c r="F802" s="197"/>
    </row>
    <row r="803" customHeight="1" spans="1:6">
      <c r="A803" s="6" t="s">
        <v>2830</v>
      </c>
      <c r="B803" s="205" t="s">
        <v>2831</v>
      </c>
      <c r="C803" s="205" t="s">
        <v>2832</v>
      </c>
      <c r="D803" s="206" t="s">
        <v>2833</v>
      </c>
      <c r="E803" s="193" t="s">
        <v>120</v>
      </c>
      <c r="F803" s="267"/>
    </row>
    <row r="804" customHeight="1" spans="1:6">
      <c r="A804" s="6" t="s">
        <v>2834</v>
      </c>
      <c r="B804" s="160" t="s">
        <v>2835</v>
      </c>
      <c r="C804" s="160" t="s">
        <v>2836</v>
      </c>
      <c r="D804" s="204" t="s">
        <v>2837</v>
      </c>
      <c r="E804" s="204" t="s">
        <v>92</v>
      </c>
      <c r="F804" s="204"/>
    </row>
    <row r="805" customHeight="1" spans="1:6">
      <c r="A805" s="6" t="s">
        <v>2838</v>
      </c>
      <c r="B805" s="219" t="s">
        <v>2839</v>
      </c>
      <c r="C805" s="219" t="s">
        <v>2840</v>
      </c>
      <c r="D805" s="194"/>
      <c r="E805" s="204" t="s">
        <v>92</v>
      </c>
      <c r="F805" s="204"/>
    </row>
    <row r="806" customHeight="1" spans="1:6">
      <c r="A806" s="6" t="s">
        <v>2841</v>
      </c>
      <c r="B806" s="214" t="s">
        <v>2842</v>
      </c>
      <c r="C806" s="214" t="s">
        <v>2843</v>
      </c>
      <c r="D806" s="194"/>
      <c r="E806" s="204" t="s">
        <v>92</v>
      </c>
      <c r="F806" s="204"/>
    </row>
    <row r="807" customHeight="1" spans="1:6">
      <c r="A807" s="6" t="s">
        <v>2844</v>
      </c>
      <c r="B807" s="195" t="s">
        <v>2845</v>
      </c>
      <c r="C807" s="202" t="s">
        <v>2846</v>
      </c>
      <c r="D807" s="152" t="s">
        <v>2847</v>
      </c>
      <c r="E807" s="154" t="s">
        <v>181</v>
      </c>
      <c r="F807" s="180"/>
    </row>
    <row r="808" customHeight="1" spans="1:6">
      <c r="A808" s="6" t="s">
        <v>2848</v>
      </c>
      <c r="B808" s="214" t="s">
        <v>2849</v>
      </c>
      <c r="C808" s="214" t="s">
        <v>2850</v>
      </c>
      <c r="D808" s="204" t="s">
        <v>2851</v>
      </c>
      <c r="E808" s="204" t="s">
        <v>92</v>
      </c>
      <c r="F808" s="204"/>
    </row>
    <row r="809" customHeight="1" spans="1:6">
      <c r="A809" s="6" t="s">
        <v>2852</v>
      </c>
      <c r="B809" s="200" t="s">
        <v>2853</v>
      </c>
      <c r="C809" s="192" t="s">
        <v>2854</v>
      </c>
      <c r="D809" s="194"/>
      <c r="E809" s="193" t="s">
        <v>202</v>
      </c>
      <c r="F809" s="191"/>
    </row>
    <row r="810" customHeight="1" spans="1:6">
      <c r="A810" s="6" t="s">
        <v>2855</v>
      </c>
      <c r="B810" s="214" t="s">
        <v>2856</v>
      </c>
      <c r="C810" s="214" t="s">
        <v>2857</v>
      </c>
      <c r="D810" s="194"/>
      <c r="E810" s="204" t="s">
        <v>92</v>
      </c>
      <c r="F810" s="204"/>
    </row>
    <row r="811" customHeight="1" spans="1:6">
      <c r="A811" s="6" t="s">
        <v>2858</v>
      </c>
      <c r="B811" s="205" t="s">
        <v>2859</v>
      </c>
      <c r="C811" s="205" t="s">
        <v>2860</v>
      </c>
      <c r="D811" s="206" t="s">
        <v>2744</v>
      </c>
      <c r="E811" s="193" t="s">
        <v>120</v>
      </c>
      <c r="F811" s="207" t="s">
        <v>2861</v>
      </c>
    </row>
    <row r="812" customHeight="1" spans="1:6">
      <c r="A812" s="6" t="s">
        <v>2862</v>
      </c>
      <c r="B812" s="200" t="s">
        <v>2863</v>
      </c>
      <c r="C812" s="202" t="s">
        <v>2864</v>
      </c>
      <c r="D812" s="152" t="s">
        <v>2865</v>
      </c>
      <c r="E812" s="154" t="s">
        <v>181</v>
      </c>
      <c r="F812" s="180"/>
    </row>
    <row r="813" customHeight="1" spans="1:6">
      <c r="A813" s="6" t="s">
        <v>2866</v>
      </c>
      <c r="B813" s="201" t="s">
        <v>2867</v>
      </c>
      <c r="C813" s="202" t="s">
        <v>2868</v>
      </c>
      <c r="D813" s="154"/>
      <c r="E813" s="154" t="s">
        <v>58</v>
      </c>
      <c r="F813" s="180"/>
    </row>
    <row r="814" customHeight="1" spans="1:6">
      <c r="A814" s="6" t="s">
        <v>2869</v>
      </c>
      <c r="B814" s="201" t="s">
        <v>2870</v>
      </c>
      <c r="C814" s="202" t="s">
        <v>2871</v>
      </c>
      <c r="D814" s="154" t="s">
        <v>2872</v>
      </c>
      <c r="E814" s="154" t="s">
        <v>243</v>
      </c>
      <c r="F814" s="180"/>
    </row>
    <row r="815" customHeight="1" spans="1:6">
      <c r="A815" s="6" t="s">
        <v>2873</v>
      </c>
      <c r="B815" s="223" t="s">
        <v>2874</v>
      </c>
      <c r="C815" s="223" t="s">
        <v>2875</v>
      </c>
      <c r="D815" s="204" t="s">
        <v>2876</v>
      </c>
      <c r="E815" s="204" t="s">
        <v>92</v>
      </c>
      <c r="F815" s="204"/>
    </row>
    <row r="816" customHeight="1" spans="1:6">
      <c r="A816" s="6" t="s">
        <v>2877</v>
      </c>
      <c r="B816" s="200" t="s">
        <v>2878</v>
      </c>
      <c r="C816" s="202" t="s">
        <v>2879</v>
      </c>
      <c r="D816" s="341" t="s">
        <v>2880</v>
      </c>
      <c r="E816" s="154" t="s">
        <v>181</v>
      </c>
      <c r="F816" s="180"/>
    </row>
    <row r="817" customHeight="1" spans="1:6">
      <c r="A817" s="6" t="s">
        <v>2881</v>
      </c>
      <c r="B817" s="205" t="s">
        <v>2882</v>
      </c>
      <c r="C817" s="205" t="s">
        <v>2883</v>
      </c>
      <c r="D817" s="206" t="s">
        <v>2884</v>
      </c>
      <c r="E817" s="193" t="s">
        <v>120</v>
      </c>
      <c r="F817" s="239"/>
    </row>
    <row r="818" customHeight="1" spans="1:6">
      <c r="A818" s="6" t="s">
        <v>2885</v>
      </c>
      <c r="B818" s="214" t="s">
        <v>2886</v>
      </c>
      <c r="C818" s="214" t="s">
        <v>2887</v>
      </c>
      <c r="D818" s="194"/>
      <c r="E818" s="204" t="s">
        <v>92</v>
      </c>
      <c r="F818" s="204"/>
    </row>
    <row r="819" customHeight="1" spans="1:6">
      <c r="A819" s="6" t="s">
        <v>2888</v>
      </c>
      <c r="B819" s="233" t="s">
        <v>2889</v>
      </c>
      <c r="C819" s="233" t="s">
        <v>2890</v>
      </c>
      <c r="D819" s="204" t="s">
        <v>2891</v>
      </c>
      <c r="E819" s="204" t="s">
        <v>605</v>
      </c>
      <c r="F819" s="204" t="s">
        <v>2892</v>
      </c>
    </row>
    <row r="820" customHeight="1" spans="1:6">
      <c r="A820" s="6" t="s">
        <v>2893</v>
      </c>
      <c r="B820" s="223" t="s">
        <v>2894</v>
      </c>
      <c r="C820" s="223" t="s">
        <v>2895</v>
      </c>
      <c r="D820" s="204" t="s">
        <v>2896</v>
      </c>
      <c r="E820" s="204" t="s">
        <v>92</v>
      </c>
      <c r="F820" s="204"/>
    </row>
    <row r="821" customHeight="1" spans="1:6">
      <c r="A821" s="9" t="s">
        <v>2897</v>
      </c>
      <c r="B821" s="224" t="s">
        <v>2898</v>
      </c>
      <c r="C821" s="225" t="s">
        <v>2899</v>
      </c>
      <c r="D821" s="343" t="s">
        <v>2900</v>
      </c>
      <c r="E821" s="229" t="s">
        <v>120</v>
      </c>
      <c r="F821" s="252"/>
    </row>
    <row r="822" customHeight="1" spans="1:6">
      <c r="A822" s="6" t="s">
        <v>2901</v>
      </c>
      <c r="B822" s="214" t="s">
        <v>2902</v>
      </c>
      <c r="C822" s="214" t="s">
        <v>2903</v>
      </c>
      <c r="D822" s="194"/>
      <c r="E822" s="204" t="s">
        <v>92</v>
      </c>
      <c r="F822" s="204"/>
    </row>
    <row r="823" customHeight="1" spans="1:6">
      <c r="A823" s="6" t="s">
        <v>2904</v>
      </c>
      <c r="B823" s="222" t="str">
        <f>IFERROR(__xludf.DUMMYFUNCTION("""COMPUTED_VALUE"""),"Abrham Addis Mekuanent /Ato/")</f>
        <v>Abrham Addis Mekuanent /Ato/</v>
      </c>
      <c r="C823" s="222" t="str">
        <f>IFERROR(__xludf.DUMMYFUNCTION("""COMPUTED_VALUE"""),"አብርሃብ አዲስ መኳንንት /አቶ/")</f>
        <v>አብርሃብ አዲስ መኳንንት /አቶ/</v>
      </c>
      <c r="D823" s="222" t="str">
        <f>IFERROR(__xludf.DUMMYFUNCTION("""COMPUTED_VALUE"""),"0911-360512")</f>
        <v>0911-360512</v>
      </c>
      <c r="E823" s="222" t="str">
        <f>IFERROR(__xludf.DUMMYFUNCTION("""COMPUTED_VALUE"""),"addis abeba")</f>
        <v>addis abeba</v>
      </c>
      <c r="F823" s="222"/>
    </row>
    <row r="824" customHeight="1" spans="1:6">
      <c r="A824" s="6" t="s">
        <v>2905</v>
      </c>
      <c r="B824" s="180" t="s">
        <v>2906</v>
      </c>
      <c r="C824" s="243" t="s">
        <v>2907</v>
      </c>
      <c r="D824" s="154">
        <v>916613441</v>
      </c>
      <c r="E824" s="158" t="s">
        <v>243</v>
      </c>
      <c r="F824" s="153"/>
    </row>
    <row r="825" customHeight="1" spans="1:6">
      <c r="A825" s="6" t="s">
        <v>2908</v>
      </c>
      <c r="B825" s="160" t="s">
        <v>2909</v>
      </c>
      <c r="C825" s="160" t="s">
        <v>2910</v>
      </c>
      <c r="D825" s="204" t="s">
        <v>2911</v>
      </c>
      <c r="E825" s="204" t="s">
        <v>92</v>
      </c>
      <c r="F825" s="204"/>
    </row>
    <row r="826" customHeight="1" spans="1:6">
      <c r="A826" s="6" t="s">
        <v>2912</v>
      </c>
      <c r="B826" s="153" t="s">
        <v>2913</v>
      </c>
      <c r="C826" s="202" t="s">
        <v>2914</v>
      </c>
      <c r="D826" s="154">
        <v>913761774</v>
      </c>
      <c r="E826" s="154" t="s">
        <v>211</v>
      </c>
      <c r="F826" s="180"/>
    </row>
    <row r="827" customHeight="1" spans="1:6">
      <c r="A827" s="6" t="s">
        <v>2915</v>
      </c>
      <c r="B827" s="160" t="s">
        <v>2916</v>
      </c>
      <c r="C827" s="160" t="s">
        <v>2917</v>
      </c>
      <c r="D827" s="204" t="s">
        <v>2918</v>
      </c>
      <c r="E827" s="204" t="s">
        <v>92</v>
      </c>
      <c r="F827" s="204"/>
    </row>
    <row r="828" customHeight="1" spans="1:6">
      <c r="A828" s="6" t="s">
        <v>2919</v>
      </c>
      <c r="B828" s="205" t="s">
        <v>2920</v>
      </c>
      <c r="C828" s="205" t="s">
        <v>2921</v>
      </c>
      <c r="D828" s="206" t="s">
        <v>2922</v>
      </c>
      <c r="E828" s="193" t="s">
        <v>120</v>
      </c>
      <c r="F828" s="221"/>
    </row>
    <row r="829" customHeight="1" spans="1:6">
      <c r="A829" s="6" t="s">
        <v>2923</v>
      </c>
      <c r="B829" s="222" t="str">
        <f>IFERROR(__xludf.DUMMYFUNCTION("""COMPUTED_VALUE"""),"Abrham Damte Araya /Ato")</f>
        <v>Abrham Damte Araya /Ato</v>
      </c>
      <c r="C829" s="222" t="str">
        <f>IFERROR(__xludf.DUMMYFUNCTION("""COMPUTED_VALUE"""),"አብርሃም ዳምጤ አርአያ /አቶ")</f>
        <v>አብርሃም ዳምጤ አርአያ /አቶ</v>
      </c>
      <c r="D829" s="222" t="str">
        <f>IFERROR(__xludf.DUMMYFUNCTION("""COMPUTED_VALUE"""),"921458628")</f>
        <v>921458628</v>
      </c>
      <c r="E829" s="222" t="str">
        <f>IFERROR(__xludf.DUMMYFUNCTION("""COMPUTED_VALUE"""),"addis abeba")</f>
        <v>addis abeba</v>
      </c>
      <c r="F829" s="222" t="str">
        <f>IFERROR(__xludf.DUMMYFUNCTION("""COMPUTED_VALUE"""),"Adonayeyesus@gmail.com")</f>
        <v>Adonayeyesus@gmail.com</v>
      </c>
    </row>
    <row r="830" customHeight="1" spans="1:6">
      <c r="A830" s="6" t="s">
        <v>2924</v>
      </c>
      <c r="B830" s="214" t="s">
        <v>2925</v>
      </c>
      <c r="C830" s="214" t="s">
        <v>2926</v>
      </c>
      <c r="D830" s="194"/>
      <c r="E830" s="204" t="s">
        <v>92</v>
      </c>
      <c r="F830" s="204"/>
    </row>
    <row r="831" customHeight="1" spans="1:6">
      <c r="A831" s="6" t="s">
        <v>2927</v>
      </c>
      <c r="B831" s="200" t="s">
        <v>2928</v>
      </c>
      <c r="C831" s="202" t="s">
        <v>2929</v>
      </c>
      <c r="D831" s="152"/>
      <c r="E831" s="154" t="s">
        <v>211</v>
      </c>
      <c r="F831" s="180"/>
    </row>
    <row r="832" customHeight="1" spans="1:6">
      <c r="A832" s="6" t="s">
        <v>2930</v>
      </c>
      <c r="B832" s="200" t="s">
        <v>2931</v>
      </c>
      <c r="C832" s="202" t="s">
        <v>2932</v>
      </c>
      <c r="D832" s="158" t="s">
        <v>2933</v>
      </c>
      <c r="E832" s="154"/>
      <c r="F832" s="180"/>
    </row>
    <row r="833" customHeight="1" spans="1:6">
      <c r="A833" s="6" t="s">
        <v>2934</v>
      </c>
      <c r="B833" s="215" t="s">
        <v>2935</v>
      </c>
      <c r="C833" s="205" t="s">
        <v>2936</v>
      </c>
      <c r="D833" s="206" t="s">
        <v>2937</v>
      </c>
      <c r="E833" s="193" t="s">
        <v>120</v>
      </c>
      <c r="F833" s="221"/>
    </row>
    <row r="834" customHeight="1" spans="1:6">
      <c r="A834" s="6" t="s">
        <v>2938</v>
      </c>
      <c r="B834" s="222" t="str">
        <f>IFERROR(__xludf.DUMMYFUNCTION("""COMPUTED_VALUE"""),"Abrham Giday Negash /Ato/")</f>
        <v>Abrham Giday Negash /Ato/</v>
      </c>
      <c r="C834" s="222" t="str">
        <f>IFERROR(__xludf.DUMMYFUNCTION("""COMPUTED_VALUE"""),"አብርሃም ግደይ ነጋሽ /አቶ/")</f>
        <v>አብርሃም ግደይ ነጋሽ /አቶ/</v>
      </c>
      <c r="D834" s="222" t="str">
        <f>IFERROR(__xludf.DUMMYFUNCTION("""COMPUTED_VALUE"""),"0911-061614
 0911-078889")</f>
        <v>0911-061614
 0911-078889</v>
      </c>
      <c r="E834" s="222" t="str">
        <f>IFERROR(__xludf.DUMMYFUNCTION("""COMPUTED_VALUE"""),"A/A")</f>
        <v>A/A</v>
      </c>
      <c r="F834" s="222" t="str">
        <f>IFERROR(__xludf.DUMMYFUNCTION("""COMPUTED_VALUE"""),"abrhamgiday@gmail.com")</f>
        <v>abrhamgiday@gmail.com</v>
      </c>
    </row>
    <row r="835" customHeight="1" spans="1:6">
      <c r="A835" s="6" t="s">
        <v>2939</v>
      </c>
      <c r="B835" s="204" t="s">
        <v>2940</v>
      </c>
      <c r="C835" s="204" t="s">
        <v>2941</v>
      </c>
      <c r="D835" s="194"/>
      <c r="E835" s="204" t="s">
        <v>92</v>
      </c>
      <c r="F835" s="204"/>
    </row>
    <row r="836" customHeight="1" spans="1:6">
      <c r="A836" s="6" t="s">
        <v>2942</v>
      </c>
      <c r="B836" s="260" t="s">
        <v>2943</v>
      </c>
      <c r="C836" s="243" t="s">
        <v>2944</v>
      </c>
      <c r="D836" s="154">
        <v>910036325</v>
      </c>
      <c r="E836" s="158" t="s">
        <v>243</v>
      </c>
      <c r="F836" s="153"/>
    </row>
    <row r="837" customHeight="1" spans="1:6">
      <c r="A837" s="6" t="s">
        <v>2945</v>
      </c>
      <c r="B837" s="214" t="s">
        <v>2946</v>
      </c>
      <c r="C837" s="214" t="s">
        <v>2947</v>
      </c>
      <c r="D837" s="204" t="s">
        <v>2948</v>
      </c>
      <c r="E837" s="204" t="s">
        <v>92</v>
      </c>
      <c r="F837" s="204"/>
    </row>
    <row r="838" customHeight="1" spans="1:6">
      <c r="A838" s="6" t="s">
        <v>2949</v>
      </c>
      <c r="B838" s="219" t="s">
        <v>2950</v>
      </c>
      <c r="C838" s="219" t="s">
        <v>2951</v>
      </c>
      <c r="D838" s="194"/>
      <c r="E838" s="204" t="s">
        <v>92</v>
      </c>
      <c r="F838" s="204"/>
    </row>
    <row r="839" customHeight="1" spans="1:6">
      <c r="A839" s="6" t="s">
        <v>2952</v>
      </c>
      <c r="B839" s="215" t="s">
        <v>2950</v>
      </c>
      <c r="C839" s="205" t="s">
        <v>2823</v>
      </c>
      <c r="D839" s="244" t="s">
        <v>2824</v>
      </c>
      <c r="E839" s="26" t="s">
        <v>92</v>
      </c>
      <c r="F839" s="26"/>
    </row>
    <row r="840" customHeight="1" spans="1:6">
      <c r="A840" s="6" t="s">
        <v>2953</v>
      </c>
      <c r="B840" s="160" t="s">
        <v>2954</v>
      </c>
      <c r="C840" s="160" t="s">
        <v>2955</v>
      </c>
      <c r="D840" s="204" t="s">
        <v>2956</v>
      </c>
      <c r="E840" s="204" t="s">
        <v>92</v>
      </c>
      <c r="F840" s="204"/>
    </row>
    <row r="841" customHeight="1" spans="1:6">
      <c r="A841" s="6" t="s">
        <v>2957</v>
      </c>
      <c r="B841" s="160" t="s">
        <v>2958</v>
      </c>
      <c r="C841" s="160" t="s">
        <v>2959</v>
      </c>
      <c r="D841" s="204" t="s">
        <v>2960</v>
      </c>
      <c r="E841" s="204" t="s">
        <v>92</v>
      </c>
      <c r="F841" s="204"/>
    </row>
    <row r="842" customHeight="1" spans="1:6">
      <c r="A842" s="6" t="s">
        <v>2961</v>
      </c>
      <c r="B842" s="220" t="str">
        <f>IFERROR(__xludf.DUMMYFUNCTION("""COMPUTED_VALUE"""),"Abrham Mihiret Ewnetu /Ato/")</f>
        <v>Abrham Mihiret Ewnetu /Ato/</v>
      </c>
      <c r="C842" s="220" t="str">
        <f>IFERROR(__xludf.DUMMYFUNCTION("""COMPUTED_VALUE"""),"አብርሀም ምህረት እውነቱ /አቶ/")</f>
        <v>አብርሀም ምህረት እውነቱ /አቶ/</v>
      </c>
      <c r="D842" s="220" t="str">
        <f>IFERROR(__xludf.DUMMYFUNCTION("""COMPUTED_VALUE"""),"911233358")</f>
        <v>911233358</v>
      </c>
      <c r="E842" s="220" t="str">
        <f>IFERROR(__xludf.DUMMYFUNCTION("""COMPUTED_VALUE"""),"Addis Ababa")</f>
        <v>Addis Ababa</v>
      </c>
      <c r="F842" s="220"/>
    </row>
    <row r="843" customHeight="1" spans="1:6">
      <c r="A843" s="6" t="s">
        <v>2962</v>
      </c>
      <c r="B843" s="195" t="s">
        <v>2963</v>
      </c>
      <c r="C843" s="212" t="s">
        <v>2964</v>
      </c>
      <c r="D843" s="197"/>
      <c r="E843" s="198" t="s">
        <v>216</v>
      </c>
      <c r="F843" s="199"/>
    </row>
    <row r="844" customHeight="1" spans="1:6">
      <c r="A844" s="6" t="s">
        <v>2965</v>
      </c>
      <c r="B844" s="160" t="s">
        <v>2966</v>
      </c>
      <c r="C844" s="160" t="s">
        <v>2967</v>
      </c>
      <c r="D844" s="204" t="s">
        <v>2968</v>
      </c>
      <c r="E844" s="204" t="s">
        <v>92</v>
      </c>
      <c r="F844" s="204"/>
    </row>
    <row r="845" customHeight="1" spans="1:6">
      <c r="A845" s="6" t="s">
        <v>2969</v>
      </c>
      <c r="B845" s="214" t="s">
        <v>2970</v>
      </c>
      <c r="C845" s="214" t="s">
        <v>2971</v>
      </c>
      <c r="D845" s="194"/>
      <c r="E845" s="204" t="s">
        <v>92</v>
      </c>
      <c r="F845" s="204"/>
    </row>
    <row r="846" customHeight="1" spans="1:6">
      <c r="A846" s="6" t="s">
        <v>2972</v>
      </c>
      <c r="B846" s="204" t="s">
        <v>2973</v>
      </c>
      <c r="C846" s="204" t="s">
        <v>2974</v>
      </c>
      <c r="D846" s="194"/>
      <c r="E846" s="204" t="s">
        <v>92</v>
      </c>
      <c r="F846" s="204"/>
    </row>
    <row r="847" customHeight="1" spans="1:6">
      <c r="A847" s="6" t="s">
        <v>2975</v>
      </c>
      <c r="B847" s="160" t="s">
        <v>2976</v>
      </c>
      <c r="C847" s="160" t="s">
        <v>2977</v>
      </c>
      <c r="D847" s="204" t="s">
        <v>2978</v>
      </c>
      <c r="E847" s="204" t="s">
        <v>92</v>
      </c>
      <c r="F847" s="204"/>
    </row>
    <row r="848" customHeight="1" spans="1:6">
      <c r="A848" s="9" t="s">
        <v>2979</v>
      </c>
      <c r="B848" s="224" t="s">
        <v>2980</v>
      </c>
      <c r="C848" s="225" t="s">
        <v>2981</v>
      </c>
      <c r="D848" s="251" t="s">
        <v>2982</v>
      </c>
      <c r="E848" s="229" t="s">
        <v>120</v>
      </c>
      <c r="F848" s="252"/>
    </row>
    <row r="849" customHeight="1" spans="1:6">
      <c r="A849" s="6" t="s">
        <v>2983</v>
      </c>
      <c r="B849" s="205" t="s">
        <v>2984</v>
      </c>
      <c r="C849" s="205" t="s">
        <v>2985</v>
      </c>
      <c r="D849" s="206" t="s">
        <v>2986</v>
      </c>
      <c r="E849" s="193" t="s">
        <v>120</v>
      </c>
      <c r="F849" s="221" t="s">
        <v>2987</v>
      </c>
    </row>
    <row r="850" customHeight="1" spans="1:6">
      <c r="A850" s="6" t="s">
        <v>2988</v>
      </c>
      <c r="B850" s="260" t="s">
        <v>2989</v>
      </c>
      <c r="C850" s="243" t="s">
        <v>2990</v>
      </c>
      <c r="D850" s="154">
        <v>977632581</v>
      </c>
      <c r="E850" s="158" t="s">
        <v>243</v>
      </c>
      <c r="F850" s="153"/>
    </row>
    <row r="851" customHeight="1" spans="1:6">
      <c r="A851" s="6" t="s">
        <v>2991</v>
      </c>
      <c r="B851" s="223" t="s">
        <v>2992</v>
      </c>
      <c r="C851" s="223" t="s">
        <v>2993</v>
      </c>
      <c r="D851" s="204" t="s">
        <v>2994</v>
      </c>
      <c r="E851" s="204" t="s">
        <v>92</v>
      </c>
      <c r="F851" s="204"/>
    </row>
    <row r="852" customHeight="1" spans="1:6">
      <c r="A852" s="6" t="s">
        <v>2995</v>
      </c>
      <c r="B852" s="201" t="s">
        <v>2996</v>
      </c>
      <c r="C852" s="202" t="s">
        <v>2997</v>
      </c>
      <c r="D852" s="154" t="s">
        <v>2998</v>
      </c>
      <c r="E852" s="154" t="s">
        <v>243</v>
      </c>
      <c r="F852" s="180"/>
    </row>
    <row r="853" customHeight="1" spans="1:6">
      <c r="A853" s="6" t="s">
        <v>2999</v>
      </c>
      <c r="B853" s="214" t="s">
        <v>3000</v>
      </c>
      <c r="C853" s="214" t="s">
        <v>3001</v>
      </c>
      <c r="D853" s="194"/>
      <c r="E853" s="204" t="s">
        <v>92</v>
      </c>
      <c r="F853" s="204"/>
    </row>
    <row r="854" customHeight="1" spans="1:6">
      <c r="A854" s="6" t="s">
        <v>3002</v>
      </c>
      <c r="B854" s="195" t="s">
        <v>3003</v>
      </c>
      <c r="C854" s="202" t="s">
        <v>2683</v>
      </c>
      <c r="D854" s="152" t="s">
        <v>3004</v>
      </c>
      <c r="E854" s="154"/>
      <c r="F854" s="180"/>
    </row>
    <row r="855" customHeight="1" spans="1:6">
      <c r="A855" s="6" t="s">
        <v>3005</v>
      </c>
      <c r="B855" s="201" t="s">
        <v>3006</v>
      </c>
      <c r="C855" s="202" t="s">
        <v>3007</v>
      </c>
      <c r="D855" s="154" t="s">
        <v>3008</v>
      </c>
      <c r="E855" s="154" t="s">
        <v>211</v>
      </c>
      <c r="F855" s="180"/>
    </row>
    <row r="856" customHeight="1" spans="1:6">
      <c r="A856" s="6" t="s">
        <v>3009</v>
      </c>
      <c r="B856" s="166" t="str">
        <f>IFERROR(__xludf.DUMMYFUNCTION("""COMPUTED_VALUE"""),"Abriham bekele ketema")</f>
        <v>Abriham bekele ketema</v>
      </c>
      <c r="C856" s="166" t="str">
        <f>IFERROR(__xludf.DUMMYFUNCTION("""COMPUTED_VALUE"""),"አብርሀም በቀለ ከተማ")</f>
        <v>አብርሀም በቀለ ከተማ</v>
      </c>
      <c r="D856" s="166" t="str">
        <f>IFERROR(__xludf.DUMMYFUNCTION("""COMPUTED_VALUE"""),"0962186964
61415114776")</f>
        <v>0962186964
61415114776</v>
      </c>
      <c r="E856" s="166" t="str">
        <f>IFERROR(__xludf.DUMMYFUNCTION("""COMPUTED_VALUE"""),"Addis Ababa")</f>
        <v>Addis Ababa</v>
      </c>
      <c r="F856" s="166" t="str">
        <f>IFERROR(__xludf.DUMMYFUNCTION("""COMPUTED_VALUE"""),"abrihamketema6501@gmail.com")</f>
        <v>abrihamketema6501@gmail.com</v>
      </c>
    </row>
    <row r="857" customHeight="1" spans="1:6">
      <c r="A857" s="6" t="s">
        <v>3010</v>
      </c>
      <c r="B857" s="195" t="s">
        <v>3011</v>
      </c>
      <c r="C857" s="202" t="s">
        <v>3012</v>
      </c>
      <c r="D857" s="154" t="s">
        <v>3013</v>
      </c>
      <c r="E857" s="154" t="s">
        <v>181</v>
      </c>
      <c r="F857" s="180"/>
    </row>
    <row r="858" customHeight="1" spans="1:6">
      <c r="A858" s="6" t="s">
        <v>3014</v>
      </c>
      <c r="B858" s="201" t="s">
        <v>3015</v>
      </c>
      <c r="C858" s="202" t="s">
        <v>3016</v>
      </c>
      <c r="D858" s="154" t="s">
        <v>3017</v>
      </c>
      <c r="E858" s="154" t="s">
        <v>243</v>
      </c>
      <c r="F858" s="180"/>
    </row>
    <row r="859" customHeight="1" spans="1:6">
      <c r="A859" s="6" t="s">
        <v>3018</v>
      </c>
      <c r="B859" s="201" t="s">
        <v>3019</v>
      </c>
      <c r="C859" s="202" t="s">
        <v>3020</v>
      </c>
      <c r="D859" s="154"/>
      <c r="E859" s="154" t="s">
        <v>243</v>
      </c>
      <c r="F859" s="180"/>
    </row>
    <row r="860" customHeight="1" spans="1:6">
      <c r="A860" s="6" t="s">
        <v>3021</v>
      </c>
      <c r="B860" s="195" t="s">
        <v>3022</v>
      </c>
      <c r="C860" s="202" t="s">
        <v>3023</v>
      </c>
      <c r="D860" s="152"/>
      <c r="E860" s="154" t="s">
        <v>3024</v>
      </c>
      <c r="F860" s="180"/>
    </row>
    <row r="861" customHeight="1" spans="1:6">
      <c r="A861" s="6" t="s">
        <v>3025</v>
      </c>
      <c r="B861" s="238" t="s">
        <v>3026</v>
      </c>
      <c r="C861" s="202" t="s">
        <v>3027</v>
      </c>
      <c r="D861" s="153"/>
      <c r="E861" s="180" t="s">
        <v>216</v>
      </c>
      <c r="F861" s="180"/>
    </row>
    <row r="862" customHeight="1" spans="1:6">
      <c r="A862" s="6" t="s">
        <v>3028</v>
      </c>
      <c r="B862" s="219" t="s">
        <v>3029</v>
      </c>
      <c r="C862" s="219" t="s">
        <v>3030</v>
      </c>
      <c r="D862" s="194"/>
      <c r="E862" s="204" t="s">
        <v>92</v>
      </c>
      <c r="F862" s="204"/>
    </row>
    <row r="863" customHeight="1" spans="1:6">
      <c r="A863" s="6" t="s">
        <v>3031</v>
      </c>
      <c r="B863" s="200" t="s">
        <v>3032</v>
      </c>
      <c r="C863" s="236" t="s">
        <v>3033</v>
      </c>
      <c r="D863" s="194"/>
      <c r="E863" s="193" t="s">
        <v>216</v>
      </c>
      <c r="F863" s="191"/>
    </row>
    <row r="864" customHeight="1" spans="1:6">
      <c r="A864" s="6" t="s">
        <v>3034</v>
      </c>
      <c r="B864" s="194" t="s">
        <v>3035</v>
      </c>
      <c r="C864" s="202" t="s">
        <v>3036</v>
      </c>
      <c r="D864" s="248"/>
      <c r="E864" s="154" t="s">
        <v>104</v>
      </c>
      <c r="F864" s="180"/>
    </row>
    <row r="865" customHeight="1" spans="1:6">
      <c r="A865" s="6" t="s">
        <v>3037</v>
      </c>
      <c r="B865" s="195" t="s">
        <v>3038</v>
      </c>
      <c r="C865" s="202" t="s">
        <v>3039</v>
      </c>
      <c r="D865" s="154">
        <v>963861953</v>
      </c>
      <c r="E865" s="154" t="s">
        <v>9</v>
      </c>
      <c r="F865" s="180"/>
    </row>
    <row r="866" customHeight="1" spans="1:6">
      <c r="A866" s="6" t="s">
        <v>3040</v>
      </c>
      <c r="B866" s="214" t="s">
        <v>3041</v>
      </c>
      <c r="C866" s="214" t="s">
        <v>3042</v>
      </c>
      <c r="D866" s="194"/>
      <c r="E866" s="204" t="s">
        <v>92</v>
      </c>
      <c r="F866" s="204"/>
    </row>
    <row r="867" customHeight="1" spans="1:6">
      <c r="A867" s="6" t="s">
        <v>3043</v>
      </c>
      <c r="B867" s="160" t="s">
        <v>3044</v>
      </c>
      <c r="C867" s="160" t="s">
        <v>3045</v>
      </c>
      <c r="D867" s="204" t="s">
        <v>3046</v>
      </c>
      <c r="E867" s="204" t="s">
        <v>92</v>
      </c>
      <c r="F867" s="204"/>
    </row>
    <row r="868" customHeight="1" spans="1:6">
      <c r="A868" s="6" t="s">
        <v>3047</v>
      </c>
      <c r="B868" s="160" t="s">
        <v>3048</v>
      </c>
      <c r="C868" s="160" t="s">
        <v>3049</v>
      </c>
      <c r="D868" s="204" t="s">
        <v>3050</v>
      </c>
      <c r="E868" s="204" t="s">
        <v>92</v>
      </c>
      <c r="F868" s="204"/>
    </row>
    <row r="869" customHeight="1" spans="1:6">
      <c r="A869" s="6" t="s">
        <v>3051</v>
      </c>
      <c r="B869" s="160" t="s">
        <v>3052</v>
      </c>
      <c r="C869" s="160" t="s">
        <v>3053</v>
      </c>
      <c r="D869" s="204" t="s">
        <v>3054</v>
      </c>
      <c r="E869" s="204" t="s">
        <v>92</v>
      </c>
      <c r="F869" s="204"/>
    </row>
    <row r="870" customHeight="1" spans="1:6">
      <c r="A870" s="6" t="s">
        <v>3055</v>
      </c>
      <c r="B870" s="214" t="s">
        <v>3056</v>
      </c>
      <c r="C870" s="214" t="s">
        <v>3057</v>
      </c>
      <c r="D870" s="204" t="s">
        <v>3058</v>
      </c>
      <c r="E870" s="204" t="s">
        <v>92</v>
      </c>
      <c r="F870" s="204"/>
    </row>
    <row r="871" customHeight="1" spans="1:6">
      <c r="A871" s="6" t="s">
        <v>3059</v>
      </c>
      <c r="B871" s="215" t="s">
        <v>3060</v>
      </c>
      <c r="C871" s="205" t="s">
        <v>3061</v>
      </c>
      <c r="D871" s="206" t="s">
        <v>3062</v>
      </c>
      <c r="E871" s="193" t="s">
        <v>120</v>
      </c>
      <c r="F871" s="221"/>
    </row>
    <row r="872" customHeight="1" spans="1:6">
      <c r="A872" s="6" t="s">
        <v>3063</v>
      </c>
      <c r="B872" s="200" t="s">
        <v>3064</v>
      </c>
      <c r="C872" s="202" t="s">
        <v>3065</v>
      </c>
      <c r="D872" s="152"/>
      <c r="E872" s="154"/>
      <c r="F872" s="180"/>
    </row>
    <row r="873" customHeight="1" spans="1:6">
      <c r="A873" s="6" t="s">
        <v>3066</v>
      </c>
      <c r="B873" s="201" t="s">
        <v>3067</v>
      </c>
      <c r="C873" s="202" t="s">
        <v>3068</v>
      </c>
      <c r="D873" s="154" t="s">
        <v>3069</v>
      </c>
      <c r="E873" s="154"/>
      <c r="F873" s="180"/>
    </row>
    <row r="874" customHeight="1" spans="1:6">
      <c r="A874" s="6" t="s">
        <v>3070</v>
      </c>
      <c r="B874" s="201" t="s">
        <v>3071</v>
      </c>
      <c r="C874" s="202" t="s">
        <v>3072</v>
      </c>
      <c r="D874" s="154"/>
      <c r="E874" s="154" t="s">
        <v>211</v>
      </c>
      <c r="F874" s="180"/>
    </row>
    <row r="875" customHeight="1" spans="1:6">
      <c r="A875" s="6" t="s">
        <v>3073</v>
      </c>
      <c r="B875" s="200" t="s">
        <v>3074</v>
      </c>
      <c r="C875" s="202" t="s">
        <v>3075</v>
      </c>
      <c r="D875" s="154" t="s">
        <v>3076</v>
      </c>
      <c r="E875" s="154" t="s">
        <v>181</v>
      </c>
      <c r="F875" s="180"/>
    </row>
    <row r="876" customHeight="1" spans="1:6">
      <c r="A876" s="6" t="s">
        <v>3077</v>
      </c>
      <c r="B876" s="158" t="s">
        <v>3078</v>
      </c>
      <c r="C876" s="202" t="s">
        <v>3079</v>
      </c>
      <c r="D876" s="153"/>
      <c r="E876" s="180" t="s">
        <v>104</v>
      </c>
      <c r="F876" s="180"/>
    </row>
    <row r="877" customHeight="1" spans="1:6">
      <c r="A877" s="6" t="s">
        <v>3080</v>
      </c>
      <c r="B877" s="260" t="s">
        <v>3081</v>
      </c>
      <c r="C877" s="243" t="s">
        <v>3082</v>
      </c>
      <c r="D877" s="154"/>
      <c r="E877" s="158" t="s">
        <v>243</v>
      </c>
      <c r="F877" s="153"/>
    </row>
    <row r="878" customHeight="1" spans="1:6">
      <c r="A878" s="6" t="s">
        <v>3083</v>
      </c>
      <c r="B878" s="195" t="s">
        <v>3084</v>
      </c>
      <c r="C878" s="202" t="s">
        <v>3085</v>
      </c>
      <c r="D878" s="152"/>
      <c r="E878" s="154" t="s">
        <v>211</v>
      </c>
      <c r="F878" s="180"/>
    </row>
    <row r="879" customHeight="1" spans="1:6">
      <c r="A879" s="6" t="s">
        <v>3086</v>
      </c>
      <c r="B879" s="233" t="s">
        <v>3087</v>
      </c>
      <c r="C879" s="233" t="s">
        <v>3088</v>
      </c>
      <c r="D879" s="204" t="s">
        <v>3089</v>
      </c>
      <c r="E879" s="204" t="s">
        <v>605</v>
      </c>
      <c r="F879" s="204" t="s">
        <v>3090</v>
      </c>
    </row>
    <row r="880" customHeight="1" spans="1:6">
      <c r="A880" s="6" t="s">
        <v>3091</v>
      </c>
      <c r="B880" s="214" t="s">
        <v>3092</v>
      </c>
      <c r="C880" s="214" t="s">
        <v>3093</v>
      </c>
      <c r="D880" s="194"/>
      <c r="E880" s="204" t="s">
        <v>92</v>
      </c>
      <c r="F880" s="204"/>
    </row>
    <row r="881" customHeight="1" spans="1:6">
      <c r="A881" s="6" t="s">
        <v>3094</v>
      </c>
      <c r="B881" s="195" t="s">
        <v>3095</v>
      </c>
      <c r="C881" s="202" t="s">
        <v>3096</v>
      </c>
      <c r="D881" s="248" t="s">
        <v>3097</v>
      </c>
      <c r="E881" s="158" t="s">
        <v>1395</v>
      </c>
      <c r="F881" s="153"/>
    </row>
    <row r="882" customHeight="1" spans="1:6">
      <c r="A882" s="6" t="s">
        <v>3098</v>
      </c>
      <c r="B882" s="194" t="s">
        <v>3099</v>
      </c>
      <c r="C882" s="192" t="s">
        <v>3100</v>
      </c>
      <c r="D882" s="194"/>
      <c r="E882" s="194" t="s">
        <v>243</v>
      </c>
      <c r="F882" s="194"/>
    </row>
    <row r="883" customHeight="1" spans="1:6">
      <c r="A883" s="6" t="s">
        <v>3101</v>
      </c>
      <c r="B883" s="201" t="s">
        <v>3102</v>
      </c>
      <c r="C883" s="202" t="s">
        <v>3103</v>
      </c>
      <c r="D883" s="154" t="s">
        <v>3104</v>
      </c>
      <c r="E883" s="154" t="s">
        <v>186</v>
      </c>
      <c r="F883" s="180"/>
    </row>
    <row r="884" customHeight="1" spans="1:6">
      <c r="A884" s="6" t="s">
        <v>3105</v>
      </c>
      <c r="B884" s="200" t="s">
        <v>3106</v>
      </c>
      <c r="C884" s="236" t="s">
        <v>3107</v>
      </c>
      <c r="D884" s="194" t="s">
        <v>3108</v>
      </c>
      <c r="E884" s="194" t="s">
        <v>216</v>
      </c>
      <c r="F884" s="194"/>
    </row>
    <row r="885" customHeight="1" spans="1:6">
      <c r="A885" s="6" t="s">
        <v>3109</v>
      </c>
      <c r="B885" s="201" t="s">
        <v>3110</v>
      </c>
      <c r="C885" s="202" t="s">
        <v>3111</v>
      </c>
      <c r="D885" s="154" t="s">
        <v>3112</v>
      </c>
      <c r="E885" s="154"/>
      <c r="F885" s="180"/>
    </row>
    <row r="886" customHeight="1" spans="1:6">
      <c r="A886" s="6" t="s">
        <v>3113</v>
      </c>
      <c r="B886" s="200" t="s">
        <v>3114</v>
      </c>
      <c r="C886" s="236" t="s">
        <v>3115</v>
      </c>
      <c r="D886" s="194"/>
      <c r="E886" s="193" t="s">
        <v>2783</v>
      </c>
      <c r="F886" s="191"/>
    </row>
    <row r="887" customHeight="1" spans="1:6">
      <c r="A887" s="6" t="s">
        <v>3116</v>
      </c>
      <c r="B887" s="200" t="s">
        <v>3117</v>
      </c>
      <c r="C887" s="192" t="s">
        <v>3118</v>
      </c>
      <c r="D887" s="194"/>
      <c r="E887" s="194" t="s">
        <v>3119</v>
      </c>
      <c r="F887" s="194"/>
    </row>
    <row r="888" customHeight="1" spans="1:6">
      <c r="A888" s="6" t="s">
        <v>3120</v>
      </c>
      <c r="B888" s="199" t="s">
        <v>3121</v>
      </c>
      <c r="C888" s="196" t="s">
        <v>3122</v>
      </c>
      <c r="D888" s="198"/>
      <c r="E888" s="197" t="s">
        <v>1281</v>
      </c>
      <c r="F888" s="197"/>
    </row>
    <row r="889" customHeight="1" spans="1:6">
      <c r="A889" s="6" t="s">
        <v>3123</v>
      </c>
      <c r="B889" s="201" t="s">
        <v>3124</v>
      </c>
      <c r="C889" s="202" t="s">
        <v>3125</v>
      </c>
      <c r="D889" s="154"/>
      <c r="E889" s="210" t="s">
        <v>104</v>
      </c>
      <c r="F889" s="211"/>
    </row>
    <row r="890" customHeight="1" spans="1:6">
      <c r="A890" s="6" t="s">
        <v>3126</v>
      </c>
      <c r="B890" s="195" t="s">
        <v>3127</v>
      </c>
      <c r="C890" s="202" t="s">
        <v>3128</v>
      </c>
      <c r="D890" s="152" t="s">
        <v>3129</v>
      </c>
      <c r="E890" s="154" t="s">
        <v>104</v>
      </c>
      <c r="F890" s="180"/>
    </row>
    <row r="891" customHeight="1" spans="1:6">
      <c r="A891" s="6" t="s">
        <v>3130</v>
      </c>
      <c r="B891" s="214" t="s">
        <v>3131</v>
      </c>
      <c r="C891" s="214" t="s">
        <v>3132</v>
      </c>
      <c r="D891" s="194"/>
      <c r="E891" s="204" t="s">
        <v>92</v>
      </c>
      <c r="F891" s="204"/>
    </row>
    <row r="892" customHeight="1" spans="1:6">
      <c r="A892" s="6" t="s">
        <v>3133</v>
      </c>
      <c r="B892" s="195" t="s">
        <v>3134</v>
      </c>
      <c r="C892" s="202" t="s">
        <v>3135</v>
      </c>
      <c r="D892" s="154"/>
      <c r="E892" s="154" t="s">
        <v>104</v>
      </c>
      <c r="F892" s="180"/>
    </row>
    <row r="893" customHeight="1" spans="1:6">
      <c r="A893" s="6" t="s">
        <v>3136</v>
      </c>
      <c r="B893" s="200" t="s">
        <v>3137</v>
      </c>
      <c r="C893" s="202" t="s">
        <v>3138</v>
      </c>
      <c r="D893" s="341" t="s">
        <v>1988</v>
      </c>
      <c r="E893" s="154" t="s">
        <v>181</v>
      </c>
      <c r="F893" s="180"/>
    </row>
    <row r="894" customHeight="1" spans="1:6">
      <c r="A894" s="6" t="s">
        <v>3139</v>
      </c>
      <c r="B894" s="200" t="s">
        <v>3140</v>
      </c>
      <c r="C894" s="202" t="s">
        <v>3141</v>
      </c>
      <c r="D894" s="152" t="s">
        <v>3142</v>
      </c>
      <c r="E894" s="154" t="s">
        <v>9</v>
      </c>
      <c r="F894" s="180"/>
    </row>
    <row r="895" customHeight="1" spans="1:6">
      <c r="A895" s="6" t="s">
        <v>3143</v>
      </c>
      <c r="B895" s="200" t="s">
        <v>3144</v>
      </c>
      <c r="C895" s="202" t="s">
        <v>3145</v>
      </c>
      <c r="D895" s="152"/>
      <c r="E895" s="154" t="s">
        <v>232</v>
      </c>
      <c r="F895" s="180"/>
    </row>
    <row r="896" customHeight="1" spans="1:6">
      <c r="A896" s="6" t="s">
        <v>3146</v>
      </c>
      <c r="B896" s="214" t="s">
        <v>3147</v>
      </c>
      <c r="C896" s="214" t="s">
        <v>3148</v>
      </c>
      <c r="D896" s="204" t="s">
        <v>3149</v>
      </c>
      <c r="E896" s="204" t="s">
        <v>92</v>
      </c>
      <c r="F896" s="204"/>
    </row>
    <row r="897" customHeight="1" spans="1:6">
      <c r="A897" s="6" t="s">
        <v>3150</v>
      </c>
      <c r="B897" s="160" t="s">
        <v>3151</v>
      </c>
      <c r="C897" s="160" t="s">
        <v>3152</v>
      </c>
      <c r="D897" s="204" t="s">
        <v>3153</v>
      </c>
      <c r="E897" s="204" t="s">
        <v>92</v>
      </c>
      <c r="F897" s="204"/>
    </row>
    <row r="898" customHeight="1" spans="1:6">
      <c r="A898" s="6" t="s">
        <v>3154</v>
      </c>
      <c r="B898" s="214" t="s">
        <v>3155</v>
      </c>
      <c r="C898" s="214" t="s">
        <v>3156</v>
      </c>
      <c r="D898" s="204"/>
      <c r="E898" s="204" t="s">
        <v>92</v>
      </c>
      <c r="F898" s="204"/>
    </row>
    <row r="899" customHeight="1" spans="1:6">
      <c r="A899" s="6" t="s">
        <v>3157</v>
      </c>
      <c r="B899" s="200" t="s">
        <v>3158</v>
      </c>
      <c r="C899" s="192" t="s">
        <v>3159</v>
      </c>
      <c r="D899" s="194"/>
      <c r="E899" s="194" t="s">
        <v>125</v>
      </c>
      <c r="F899" s="194"/>
    </row>
    <row r="900" customHeight="1" spans="1:6">
      <c r="A900" s="6" t="s">
        <v>3160</v>
      </c>
      <c r="B900" s="197" t="s">
        <v>3161</v>
      </c>
      <c r="C900" s="196" t="s">
        <v>3162</v>
      </c>
      <c r="D900" s="197"/>
      <c r="E900" s="197" t="s">
        <v>202</v>
      </c>
      <c r="F900" s="197"/>
    </row>
    <row r="901" customHeight="1" spans="1:6">
      <c r="A901" s="6" t="s">
        <v>3163</v>
      </c>
      <c r="B901" s="153" t="s">
        <v>3164</v>
      </c>
      <c r="C901" s="202" t="s">
        <v>3165</v>
      </c>
      <c r="D901" s="154" t="s">
        <v>3166</v>
      </c>
      <c r="E901" s="154" t="s">
        <v>104</v>
      </c>
      <c r="F901" s="180"/>
    </row>
    <row r="902" customHeight="1" spans="1:6">
      <c r="A902" s="6" t="s">
        <v>3167</v>
      </c>
      <c r="B902" s="201" t="s">
        <v>3168</v>
      </c>
      <c r="C902" s="202" t="s">
        <v>3169</v>
      </c>
      <c r="D902" s="270"/>
      <c r="E902" s="154"/>
      <c r="F902" s="180"/>
    </row>
    <row r="903" customHeight="1" spans="1:6">
      <c r="A903" s="6" t="s">
        <v>3170</v>
      </c>
      <c r="B903" s="200" t="s">
        <v>3171</v>
      </c>
      <c r="C903" s="202" t="s">
        <v>3172</v>
      </c>
      <c r="D903" s="152"/>
      <c r="E903" s="154" t="s">
        <v>232</v>
      </c>
      <c r="F903" s="180"/>
    </row>
    <row r="904" customHeight="1" spans="1:6">
      <c r="A904" s="6" t="s">
        <v>3173</v>
      </c>
      <c r="B904" s="201" t="s">
        <v>3174</v>
      </c>
      <c r="C904" s="202" t="s">
        <v>3175</v>
      </c>
      <c r="D904" s="154"/>
      <c r="E904" s="154" t="s">
        <v>211</v>
      </c>
      <c r="F904" s="180"/>
    </row>
    <row r="905" customHeight="1" spans="1:6">
      <c r="A905" s="6" t="s">
        <v>3176</v>
      </c>
      <c r="B905" s="200" t="s">
        <v>3177</v>
      </c>
      <c r="C905" s="202" t="s">
        <v>3178</v>
      </c>
      <c r="D905" s="154"/>
      <c r="E905" s="154" t="s">
        <v>181</v>
      </c>
      <c r="F905" s="180"/>
    </row>
    <row r="906" customHeight="1" spans="1:6">
      <c r="A906" s="6" t="s">
        <v>3179</v>
      </c>
      <c r="B906" s="200" t="s">
        <v>3180</v>
      </c>
      <c r="C906" s="202" t="s">
        <v>3181</v>
      </c>
      <c r="D906" s="158"/>
      <c r="E906" s="154" t="s">
        <v>253</v>
      </c>
      <c r="F906" s="180"/>
    </row>
    <row r="907" customHeight="1" spans="1:6">
      <c r="A907" s="6" t="s">
        <v>3182</v>
      </c>
      <c r="B907" s="220" t="str">
        <f>IFERROR(__xludf.DUMMYFUNCTION("""COMPUTED_VALUE"""),"Adam Medium Clinic")</f>
        <v>Adam Medium Clinic</v>
      </c>
      <c r="C907" s="220" t="str">
        <f>IFERROR(__xludf.DUMMYFUNCTION("""COMPUTED_VALUE"""),"አዳም መካከለኛ ክሊኒክ")</f>
        <v>አዳም መካከለኛ ክሊኒክ</v>
      </c>
      <c r="D907" s="220" t="str">
        <f>IFERROR(__xludf.DUMMYFUNCTION("""COMPUTED_VALUE"""),"918762490")</f>
        <v>918762490</v>
      </c>
      <c r="E907" s="220" t="str">
        <f>IFERROR(__xludf.DUMMYFUNCTION("""COMPUTED_VALUE"""),"gonder")</f>
        <v>gonder</v>
      </c>
      <c r="F907" s="220" t="str">
        <f>IFERROR(__xludf.DUMMYFUNCTION("""COMPUTED_VALUE"""),"adammidium@gmail.com")</f>
        <v>adammidium@gmail.com</v>
      </c>
    </row>
    <row r="908" customHeight="1" spans="1:6">
      <c r="A908" s="9" t="s">
        <v>3183</v>
      </c>
      <c r="B908" s="271" t="s">
        <v>3184</v>
      </c>
      <c r="C908" s="271" t="s">
        <v>3185</v>
      </c>
      <c r="D908" s="272" t="s">
        <v>3186</v>
      </c>
      <c r="E908" s="29" t="s">
        <v>1701</v>
      </c>
      <c r="F908" s="273"/>
    </row>
    <row r="909" customHeight="1" spans="1:6">
      <c r="A909" s="6" t="s">
        <v>3187</v>
      </c>
      <c r="B909" s="200" t="s">
        <v>3188</v>
      </c>
      <c r="C909" s="202" t="s">
        <v>3189</v>
      </c>
      <c r="D909" s="152"/>
      <c r="E909" s="154" t="s">
        <v>232</v>
      </c>
      <c r="F909" s="180"/>
    </row>
    <row r="910" customHeight="1" spans="1:6">
      <c r="A910" s="6" t="s">
        <v>3190</v>
      </c>
      <c r="B910" s="214" t="s">
        <v>3191</v>
      </c>
      <c r="C910" s="214" t="s">
        <v>3192</v>
      </c>
      <c r="D910" s="194"/>
      <c r="E910" s="204" t="s">
        <v>92</v>
      </c>
      <c r="F910" s="204"/>
    </row>
    <row r="911" customHeight="1" spans="1:6">
      <c r="A911" s="6" t="s">
        <v>3193</v>
      </c>
      <c r="B911" s="195" t="s">
        <v>3194</v>
      </c>
      <c r="C911" s="213" t="s">
        <v>3195</v>
      </c>
      <c r="D911" s="197">
        <v>921757183</v>
      </c>
      <c r="E911" s="197" t="s">
        <v>1852</v>
      </c>
      <c r="F911" s="197"/>
    </row>
    <row r="912" customHeight="1" spans="1:6">
      <c r="A912" s="6" t="s">
        <v>3196</v>
      </c>
      <c r="B912" s="201" t="s">
        <v>3197</v>
      </c>
      <c r="C912" s="202" t="s">
        <v>3198</v>
      </c>
      <c r="D912" s="154"/>
      <c r="E912" s="154" t="s">
        <v>243</v>
      </c>
      <c r="F912" s="180"/>
    </row>
    <row r="913" customHeight="1" spans="1:6">
      <c r="A913" s="6" t="s">
        <v>3199</v>
      </c>
      <c r="B913" s="195" t="s">
        <v>3200</v>
      </c>
      <c r="C913" s="196" t="s">
        <v>3201</v>
      </c>
      <c r="D913" s="197"/>
      <c r="E913" s="197"/>
      <c r="F913" s="197"/>
    </row>
    <row r="914" customHeight="1" spans="1:6">
      <c r="A914" s="6" t="s">
        <v>3202</v>
      </c>
      <c r="B914" s="195" t="s">
        <v>3203</v>
      </c>
      <c r="C914" s="254" t="s">
        <v>3204</v>
      </c>
      <c r="D914" s="197"/>
      <c r="E914" s="197" t="s">
        <v>202</v>
      </c>
      <c r="F914" s="197"/>
    </row>
    <row r="915" customHeight="1" spans="1:6">
      <c r="A915" s="6" t="s">
        <v>3205</v>
      </c>
      <c r="B915" s="200" t="s">
        <v>3206</v>
      </c>
      <c r="C915" s="202" t="s">
        <v>3207</v>
      </c>
      <c r="D915" s="152" t="s">
        <v>3208</v>
      </c>
      <c r="E915" s="154" t="s">
        <v>104</v>
      </c>
      <c r="F915" s="180"/>
    </row>
    <row r="916" customHeight="1" spans="1:6">
      <c r="A916" s="6" t="s">
        <v>3209</v>
      </c>
      <c r="B916" s="153" t="s">
        <v>3210</v>
      </c>
      <c r="C916" s="202" t="s">
        <v>3211</v>
      </c>
      <c r="D916" s="158"/>
      <c r="E916" s="158" t="s">
        <v>104</v>
      </c>
      <c r="F916" s="153"/>
    </row>
    <row r="917" customHeight="1" spans="1:6">
      <c r="A917" s="6" t="s">
        <v>3212</v>
      </c>
      <c r="B917" s="195" t="s">
        <v>3213</v>
      </c>
      <c r="C917" s="202" t="s">
        <v>3214</v>
      </c>
      <c r="D917" s="154" t="s">
        <v>3215</v>
      </c>
      <c r="E917" s="154" t="s">
        <v>181</v>
      </c>
      <c r="F917" s="180"/>
    </row>
    <row r="918" customHeight="1" spans="1:6">
      <c r="A918" s="6" t="s">
        <v>3216</v>
      </c>
      <c r="B918" s="200" t="s">
        <v>3217</v>
      </c>
      <c r="C918" s="202" t="s">
        <v>3218</v>
      </c>
      <c r="D918" s="152"/>
      <c r="E918" s="154"/>
      <c r="F918" s="180"/>
    </row>
    <row r="919" customHeight="1" spans="1:6">
      <c r="A919" s="6" t="s">
        <v>3219</v>
      </c>
      <c r="B919" s="204" t="s">
        <v>3220</v>
      </c>
      <c r="C919" s="204" t="s">
        <v>3221</v>
      </c>
      <c r="D919" s="194"/>
      <c r="E919" s="204" t="s">
        <v>92</v>
      </c>
      <c r="F919" s="204"/>
    </row>
    <row r="920" customHeight="1" spans="1:6">
      <c r="A920" s="9" t="s">
        <v>3222</v>
      </c>
      <c r="B920" s="258" t="s">
        <v>3223</v>
      </c>
      <c r="C920" s="258" t="s">
        <v>3224</v>
      </c>
      <c r="D920" s="240" t="s">
        <v>3225</v>
      </c>
      <c r="E920" s="240" t="s">
        <v>605</v>
      </c>
      <c r="F920" s="240" t="s">
        <v>3226</v>
      </c>
    </row>
    <row r="921" customHeight="1" spans="1:6">
      <c r="A921" s="6" t="s">
        <v>3227</v>
      </c>
      <c r="B921" s="153" t="s">
        <v>3228</v>
      </c>
      <c r="C921" s="202" t="s">
        <v>3229</v>
      </c>
      <c r="D921" s="154"/>
      <c r="E921" s="154" t="s">
        <v>104</v>
      </c>
      <c r="F921" s="180"/>
    </row>
    <row r="922" customHeight="1" spans="1:6">
      <c r="A922" s="6" t="s">
        <v>3230</v>
      </c>
      <c r="B922" s="195" t="s">
        <v>3231</v>
      </c>
      <c r="C922" s="196" t="s">
        <v>3232</v>
      </c>
      <c r="D922" s="197"/>
      <c r="E922" s="197" t="s">
        <v>273</v>
      </c>
      <c r="F922" s="197"/>
    </row>
    <row r="923" customHeight="1" spans="1:6">
      <c r="A923" s="6" t="s">
        <v>3233</v>
      </c>
      <c r="B923" s="200" t="s">
        <v>3234</v>
      </c>
      <c r="C923" s="192" t="s">
        <v>3235</v>
      </c>
      <c r="D923" s="194"/>
      <c r="E923" s="194" t="s">
        <v>202</v>
      </c>
      <c r="F923" s="197"/>
    </row>
    <row r="924" customHeight="1" spans="1:6">
      <c r="A924" s="6" t="s">
        <v>3236</v>
      </c>
      <c r="B924" s="201" t="s">
        <v>3237</v>
      </c>
      <c r="C924" s="202" t="s">
        <v>3238</v>
      </c>
      <c r="D924" s="154"/>
      <c r="E924" s="154" t="s">
        <v>202</v>
      </c>
      <c r="F924" s="180"/>
    </row>
    <row r="925" customHeight="1" spans="1:6">
      <c r="A925" s="6" t="s">
        <v>3239</v>
      </c>
      <c r="B925" s="200" t="s">
        <v>3240</v>
      </c>
      <c r="C925" s="192" t="s">
        <v>3241</v>
      </c>
      <c r="D925" s="194"/>
      <c r="E925" s="194" t="s">
        <v>3119</v>
      </c>
      <c r="F925" s="194"/>
    </row>
    <row r="926" customHeight="1" spans="1:6">
      <c r="A926" s="6" t="s">
        <v>3242</v>
      </c>
      <c r="B926" s="197" t="s">
        <v>3243</v>
      </c>
      <c r="C926" s="196" t="s">
        <v>3244</v>
      </c>
      <c r="D926" s="197"/>
      <c r="E926" s="197" t="s">
        <v>243</v>
      </c>
      <c r="F926" s="197"/>
    </row>
    <row r="927" customHeight="1" spans="1:6">
      <c r="A927" s="6" t="s">
        <v>3245</v>
      </c>
      <c r="B927" s="215" t="s">
        <v>3246</v>
      </c>
      <c r="C927" s="205" t="s">
        <v>3247</v>
      </c>
      <c r="D927" s="227" t="s">
        <v>3248</v>
      </c>
      <c r="E927" s="193" t="s">
        <v>120</v>
      </c>
      <c r="F927" s="216" t="s">
        <v>3249</v>
      </c>
    </row>
    <row r="928" customHeight="1" spans="1:6">
      <c r="A928" s="6" t="s">
        <v>3250</v>
      </c>
      <c r="B928" s="200" t="s">
        <v>3251</v>
      </c>
      <c r="C928" s="202" t="s">
        <v>3252</v>
      </c>
      <c r="D928" s="152" t="s">
        <v>3253</v>
      </c>
      <c r="E928" s="154" t="s">
        <v>104</v>
      </c>
      <c r="F928" s="180"/>
    </row>
    <row r="929" customHeight="1" spans="1:6">
      <c r="A929" s="6" t="s">
        <v>3254</v>
      </c>
      <c r="B929" s="200" t="s">
        <v>3255</v>
      </c>
      <c r="C929" s="202" t="s">
        <v>3256</v>
      </c>
      <c r="D929" s="154">
        <v>918578847</v>
      </c>
      <c r="E929" s="154" t="s">
        <v>104</v>
      </c>
      <c r="F929" s="180"/>
    </row>
    <row r="930" customHeight="1" spans="1:6">
      <c r="A930" s="6" t="s">
        <v>3257</v>
      </c>
      <c r="B930" s="215" t="s">
        <v>3258</v>
      </c>
      <c r="C930" s="205" t="s">
        <v>3259</v>
      </c>
      <c r="D930" s="206" t="s">
        <v>3260</v>
      </c>
      <c r="E930" s="193" t="s">
        <v>120</v>
      </c>
      <c r="F930" s="221"/>
    </row>
    <row r="931" customHeight="1" spans="1:6">
      <c r="A931" s="6" t="s">
        <v>3261</v>
      </c>
      <c r="B931" s="200" t="s">
        <v>3262</v>
      </c>
      <c r="C931" s="202" t="s">
        <v>3263</v>
      </c>
      <c r="D931" s="152" t="s">
        <v>3264</v>
      </c>
      <c r="E931" s="154" t="s">
        <v>232</v>
      </c>
      <c r="F931" s="180"/>
    </row>
    <row r="932" customHeight="1" spans="1:6">
      <c r="A932" s="6" t="s">
        <v>3265</v>
      </c>
      <c r="B932" s="194" t="s">
        <v>3266</v>
      </c>
      <c r="C932" s="202" t="s">
        <v>3267</v>
      </c>
      <c r="D932" s="158">
        <v>904558458</v>
      </c>
      <c r="E932" s="154" t="s">
        <v>3268</v>
      </c>
      <c r="F932" s="180"/>
    </row>
    <row r="933" customHeight="1" spans="1:6">
      <c r="A933" s="6" t="s">
        <v>3269</v>
      </c>
      <c r="B933" s="195" t="s">
        <v>3270</v>
      </c>
      <c r="C933" s="213" t="s">
        <v>3271</v>
      </c>
      <c r="D933" s="197"/>
      <c r="E933" s="197" t="s">
        <v>202</v>
      </c>
      <c r="F933" s="197"/>
    </row>
    <row r="934" customHeight="1" spans="1:6">
      <c r="A934" s="6" t="s">
        <v>3272</v>
      </c>
      <c r="B934" s="194" t="s">
        <v>3273</v>
      </c>
      <c r="C934" s="202" t="s">
        <v>3274</v>
      </c>
      <c r="D934" s="248">
        <v>930715931</v>
      </c>
      <c r="E934" s="154" t="s">
        <v>104</v>
      </c>
      <c r="F934" s="180"/>
    </row>
    <row r="935" customHeight="1" spans="1:6">
      <c r="A935" s="6" t="s">
        <v>3275</v>
      </c>
      <c r="B935" s="201" t="s">
        <v>3276</v>
      </c>
      <c r="C935" s="202" t="s">
        <v>3277</v>
      </c>
      <c r="D935" s="154"/>
      <c r="E935" s="154"/>
      <c r="F935" s="180"/>
    </row>
    <row r="936" customHeight="1" spans="1:6">
      <c r="A936" s="6" t="s">
        <v>3278</v>
      </c>
      <c r="B936" s="195" t="s">
        <v>3279</v>
      </c>
      <c r="C936" s="202" t="s">
        <v>3280</v>
      </c>
      <c r="D936" s="152" t="s">
        <v>3281</v>
      </c>
      <c r="E936" s="154" t="s">
        <v>181</v>
      </c>
      <c r="F936" s="180"/>
    </row>
    <row r="937" customHeight="1" spans="1:6">
      <c r="A937" s="6" t="s">
        <v>3282</v>
      </c>
      <c r="B937" s="195" t="s">
        <v>3283</v>
      </c>
      <c r="C937" s="202" t="s">
        <v>3284</v>
      </c>
      <c r="D937" s="158"/>
      <c r="E937" s="154"/>
      <c r="F937" s="180"/>
    </row>
    <row r="938" customHeight="1" spans="1:6">
      <c r="A938" s="6" t="s">
        <v>3285</v>
      </c>
      <c r="B938" s="200" t="s">
        <v>3286</v>
      </c>
      <c r="C938" s="202" t="s">
        <v>3287</v>
      </c>
      <c r="D938" s="248" t="s">
        <v>3288</v>
      </c>
      <c r="E938" s="158" t="s">
        <v>211</v>
      </c>
      <c r="F938" s="153"/>
    </row>
    <row r="939" customHeight="1" spans="1:6">
      <c r="A939" s="6" t="s">
        <v>3289</v>
      </c>
      <c r="B939" s="201" t="s">
        <v>3290</v>
      </c>
      <c r="C939" s="202" t="s">
        <v>3291</v>
      </c>
      <c r="D939" s="154"/>
      <c r="E939" s="154" t="s">
        <v>58</v>
      </c>
      <c r="F939" s="180"/>
    </row>
    <row r="940" customHeight="1" spans="1:6">
      <c r="A940" s="6" t="s">
        <v>3292</v>
      </c>
      <c r="B940" s="238" t="s">
        <v>3293</v>
      </c>
      <c r="C940" s="202" t="s">
        <v>3294</v>
      </c>
      <c r="D940" s="153"/>
      <c r="E940" s="180" t="s">
        <v>216</v>
      </c>
      <c r="F940" s="180"/>
    </row>
    <row r="941" customHeight="1" spans="1:6">
      <c r="A941" s="6" t="s">
        <v>3295</v>
      </c>
      <c r="B941" s="195" t="s">
        <v>3296</v>
      </c>
      <c r="C941" s="202" t="s">
        <v>3297</v>
      </c>
      <c r="D941" s="152" t="s">
        <v>3298</v>
      </c>
      <c r="E941" s="154" t="s">
        <v>58</v>
      </c>
      <c r="F941" s="180"/>
    </row>
    <row r="942" customHeight="1" spans="1:6">
      <c r="A942" s="6" t="s">
        <v>3299</v>
      </c>
      <c r="B942" s="200" t="s">
        <v>3300</v>
      </c>
      <c r="C942" s="202" t="s">
        <v>3301</v>
      </c>
      <c r="D942" s="158" t="s">
        <v>3302</v>
      </c>
      <c r="E942" s="154" t="s">
        <v>243</v>
      </c>
      <c r="F942" s="180"/>
    </row>
    <row r="943" customHeight="1" spans="1:6">
      <c r="A943" s="6" t="s">
        <v>3303</v>
      </c>
      <c r="B943" s="222" t="str">
        <f>IFERROR(__xludf.DUMMYFUNCTION("""COMPUTED_VALUE"""),"Adane Degaga Asfaw /Ato/")</f>
        <v>Adane Degaga Asfaw /Ato/</v>
      </c>
      <c r="C943" s="222" t="str">
        <f>IFERROR(__xludf.DUMMYFUNCTION("""COMPUTED_VALUE"""),"አዳነ ደጋጋ አስፋው /አቶ/")</f>
        <v>አዳነ ደጋጋ አስፋው /አቶ/</v>
      </c>
      <c r="D943" s="222" t="str">
        <f>IFERROR(__xludf.DUMMYFUNCTION("""COMPUTED_VALUE"""),"911807007")</f>
        <v>911807007</v>
      </c>
      <c r="E943" s="222" t="str">
        <f>IFERROR(__xludf.DUMMYFUNCTION("""COMPUTED_VALUE"""),"A/A")</f>
        <v>A/A</v>
      </c>
      <c r="F943" s="222" t="str">
        <f>IFERROR(__xludf.DUMMYFUNCTION("""COMPUTED_VALUE"""),"adanedegaga@gmail.com")</f>
        <v>adanedegaga@gmail.com</v>
      </c>
    </row>
    <row r="944" customHeight="1" spans="1:6">
      <c r="A944" s="6" t="s">
        <v>3304</v>
      </c>
      <c r="B944" s="205" t="s">
        <v>3305</v>
      </c>
      <c r="C944" s="205" t="s">
        <v>3306</v>
      </c>
      <c r="D944" s="206" t="s">
        <v>3307</v>
      </c>
      <c r="E944" s="193" t="s">
        <v>120</v>
      </c>
      <c r="F944" s="221" t="s">
        <v>3308</v>
      </c>
    </row>
    <row r="945" customHeight="1" spans="1:6">
      <c r="A945" s="6" t="s">
        <v>3309</v>
      </c>
      <c r="B945" s="238" t="s">
        <v>3310</v>
      </c>
      <c r="C945" s="202" t="s">
        <v>3311</v>
      </c>
      <c r="D945" s="153"/>
      <c r="E945" s="180" t="s">
        <v>216</v>
      </c>
      <c r="F945" s="180"/>
    </row>
    <row r="946" customHeight="1" spans="1:6">
      <c r="A946" s="6" t="s">
        <v>3312</v>
      </c>
      <c r="B946" s="195" t="s">
        <v>3313</v>
      </c>
      <c r="C946" s="202" t="s">
        <v>3314</v>
      </c>
      <c r="D946" s="152" t="s">
        <v>3315</v>
      </c>
      <c r="E946" s="154" t="s">
        <v>232</v>
      </c>
      <c r="F946" s="180"/>
    </row>
    <row r="947" customHeight="1" spans="1:6">
      <c r="A947" s="6" t="s">
        <v>3316</v>
      </c>
      <c r="B947" s="200" t="s">
        <v>3317</v>
      </c>
      <c r="C947" s="202" t="s">
        <v>3318</v>
      </c>
      <c r="D947" s="152" t="s">
        <v>3319</v>
      </c>
      <c r="E947" s="154" t="s">
        <v>181</v>
      </c>
      <c r="F947" s="180"/>
    </row>
    <row r="948" customHeight="1" spans="1:6">
      <c r="A948" s="6" t="s">
        <v>3320</v>
      </c>
      <c r="B948" s="197" t="s">
        <v>3321</v>
      </c>
      <c r="C948" s="202" t="s">
        <v>3322</v>
      </c>
      <c r="D948" s="248">
        <v>913580520</v>
      </c>
      <c r="E948" s="154" t="s">
        <v>104</v>
      </c>
      <c r="F948" s="180"/>
    </row>
    <row r="949" customHeight="1" spans="1:6">
      <c r="A949" s="6" t="s">
        <v>3323</v>
      </c>
      <c r="B949" s="195" t="s">
        <v>3324</v>
      </c>
      <c r="C949" s="202" t="s">
        <v>3325</v>
      </c>
      <c r="D949" s="152" t="s">
        <v>3326</v>
      </c>
      <c r="E949" s="154" t="s">
        <v>232</v>
      </c>
      <c r="F949" s="180"/>
    </row>
    <row r="950" customHeight="1" spans="1:6">
      <c r="A950" s="6" t="s">
        <v>3327</v>
      </c>
      <c r="B950" s="195" t="s">
        <v>3328</v>
      </c>
      <c r="C950" s="202" t="s">
        <v>3329</v>
      </c>
      <c r="D950" s="152"/>
      <c r="E950" s="154"/>
      <c r="F950" s="180"/>
    </row>
    <row r="951" customHeight="1" spans="1:6">
      <c r="A951" s="6" t="s">
        <v>3330</v>
      </c>
      <c r="B951" s="200" t="s">
        <v>3331</v>
      </c>
      <c r="C951" s="202" t="s">
        <v>3332</v>
      </c>
      <c r="D951" s="152" t="s">
        <v>3333</v>
      </c>
      <c r="E951" s="154" t="s">
        <v>211</v>
      </c>
      <c r="F951" s="180"/>
    </row>
    <row r="952" customHeight="1" spans="1:6">
      <c r="A952" s="6" t="s">
        <v>3334</v>
      </c>
      <c r="B952" s="201" t="s">
        <v>3335</v>
      </c>
      <c r="C952" s="202" t="s">
        <v>3336</v>
      </c>
      <c r="D952" s="153"/>
      <c r="E952" s="180" t="s">
        <v>104</v>
      </c>
      <c r="F952" s="180"/>
    </row>
    <row r="953" customHeight="1" spans="1:6">
      <c r="A953" s="6" t="s">
        <v>3337</v>
      </c>
      <c r="B953" s="233" t="s">
        <v>3338</v>
      </c>
      <c r="C953" s="233" t="s">
        <v>3339</v>
      </c>
      <c r="D953" s="204" t="s">
        <v>3340</v>
      </c>
      <c r="E953" s="204" t="s">
        <v>605</v>
      </c>
      <c r="F953" s="204" t="s">
        <v>3341</v>
      </c>
    </row>
    <row r="954" customHeight="1" spans="1:6">
      <c r="A954" s="6" t="s">
        <v>3342</v>
      </c>
      <c r="B954" s="197" t="s">
        <v>3343</v>
      </c>
      <c r="C954" s="203" t="s">
        <v>3344</v>
      </c>
      <c r="D954" s="197"/>
      <c r="E954" s="197" t="s">
        <v>253</v>
      </c>
      <c r="F954" s="197"/>
    </row>
    <row r="955" customHeight="1" spans="1:6">
      <c r="A955" s="6" t="s">
        <v>3345</v>
      </c>
      <c r="B955" s="201" t="s">
        <v>3346</v>
      </c>
      <c r="C955" s="202" t="s">
        <v>3347</v>
      </c>
      <c r="D955" s="154" t="s">
        <v>3348</v>
      </c>
      <c r="E955" s="154" t="s">
        <v>3349</v>
      </c>
      <c r="F955" s="180"/>
    </row>
    <row r="956" customHeight="1" spans="1:6">
      <c r="A956" s="6" t="s">
        <v>3350</v>
      </c>
      <c r="B956" s="195" t="s">
        <v>3351</v>
      </c>
      <c r="C956" s="202" t="s">
        <v>3352</v>
      </c>
      <c r="D956" s="152"/>
      <c r="E956" s="154" t="s">
        <v>232</v>
      </c>
      <c r="F956" s="180"/>
    </row>
    <row r="957" customHeight="1" spans="1:6">
      <c r="A957" s="6" t="s">
        <v>3353</v>
      </c>
      <c r="B957" s="201" t="s">
        <v>3354</v>
      </c>
      <c r="C957" s="202" t="s">
        <v>3355</v>
      </c>
      <c r="D957" s="154" t="s">
        <v>3356</v>
      </c>
      <c r="E957" s="154" t="s">
        <v>58</v>
      </c>
      <c r="F957" s="180"/>
    </row>
    <row r="958" customHeight="1" spans="1:6">
      <c r="A958" s="6" t="s">
        <v>3357</v>
      </c>
      <c r="B958" s="160" t="s">
        <v>3358</v>
      </c>
      <c r="C958" s="160" t="s">
        <v>3359</v>
      </c>
      <c r="D958" s="204" t="s">
        <v>3360</v>
      </c>
      <c r="E958" s="204" t="s">
        <v>92</v>
      </c>
      <c r="F958" s="204"/>
    </row>
    <row r="959" customHeight="1" spans="1:6">
      <c r="A959" s="6" t="s">
        <v>3361</v>
      </c>
      <c r="B959" s="197" t="s">
        <v>3362</v>
      </c>
      <c r="C959" s="202" t="s">
        <v>3363</v>
      </c>
      <c r="D959" s="248">
        <v>918120955</v>
      </c>
      <c r="E959" s="154" t="s">
        <v>104</v>
      </c>
      <c r="F959" s="180"/>
    </row>
    <row r="960" customHeight="1" spans="1:6">
      <c r="A960" s="6" t="s">
        <v>3364</v>
      </c>
      <c r="B960" s="201" t="s">
        <v>3365</v>
      </c>
      <c r="C960" s="202" t="s">
        <v>3366</v>
      </c>
      <c r="D960" s="154"/>
      <c r="E960" s="154" t="s">
        <v>243</v>
      </c>
      <c r="F960" s="180"/>
    </row>
    <row r="961" customHeight="1" spans="1:6">
      <c r="A961" s="6" t="s">
        <v>3367</v>
      </c>
      <c r="B961" s="195" t="s">
        <v>3368</v>
      </c>
      <c r="C961" s="202" t="s">
        <v>3369</v>
      </c>
      <c r="D961" s="152" t="s">
        <v>3370</v>
      </c>
      <c r="E961" s="154" t="s">
        <v>211</v>
      </c>
      <c r="F961" s="180"/>
    </row>
    <row r="962" customHeight="1" spans="1:6">
      <c r="A962" s="6" t="s">
        <v>3371</v>
      </c>
      <c r="B962" s="215" t="s">
        <v>3372</v>
      </c>
      <c r="C962" s="205" t="s">
        <v>3373</v>
      </c>
      <c r="D962" s="227" t="s">
        <v>3374</v>
      </c>
      <c r="E962" s="193" t="s">
        <v>120</v>
      </c>
      <c r="F962" s="216" t="s">
        <v>3375</v>
      </c>
    </row>
    <row r="963" customHeight="1" spans="1:6">
      <c r="A963" s="6" t="s">
        <v>3376</v>
      </c>
      <c r="B963" s="194" t="s">
        <v>3377</v>
      </c>
      <c r="C963" s="192" t="s">
        <v>3378</v>
      </c>
      <c r="D963" s="194"/>
      <c r="E963" s="194" t="s">
        <v>202</v>
      </c>
      <c r="F963" s="194"/>
    </row>
    <row r="964" customHeight="1" spans="1:6">
      <c r="A964" s="6" t="s">
        <v>3379</v>
      </c>
      <c r="B964" s="214" t="s">
        <v>3380</v>
      </c>
      <c r="C964" s="214" t="s">
        <v>3381</v>
      </c>
      <c r="D964" s="194"/>
      <c r="E964" s="204" t="s">
        <v>92</v>
      </c>
      <c r="F964" s="204"/>
    </row>
    <row r="965" customHeight="1" spans="1:6">
      <c r="A965" s="6" t="s">
        <v>3382</v>
      </c>
      <c r="B965" s="195" t="s">
        <v>3383</v>
      </c>
      <c r="C965" s="202" t="s">
        <v>3384</v>
      </c>
      <c r="D965" s="152"/>
      <c r="E965" s="154"/>
      <c r="F965" s="180"/>
    </row>
    <row r="966" customHeight="1" spans="1:6">
      <c r="A966" s="6" t="s">
        <v>3385</v>
      </c>
      <c r="B966" s="214" t="s">
        <v>3386</v>
      </c>
      <c r="C966" s="214" t="s">
        <v>3387</v>
      </c>
      <c r="D966" s="194"/>
      <c r="E966" s="204" t="s">
        <v>92</v>
      </c>
      <c r="F966" s="204"/>
    </row>
    <row r="967" customHeight="1" spans="1:6">
      <c r="A967" s="6" t="s">
        <v>3388</v>
      </c>
      <c r="B967" s="255" t="s">
        <v>3389</v>
      </c>
      <c r="C967" s="255" t="s">
        <v>3390</v>
      </c>
      <c r="D967" s="256" t="s">
        <v>3391</v>
      </c>
      <c r="E967" s="26" t="s">
        <v>1701</v>
      </c>
      <c r="F967" s="257" t="s">
        <v>3392</v>
      </c>
    </row>
    <row r="968" customHeight="1" spans="1:6">
      <c r="A968" s="6" t="s">
        <v>3393</v>
      </c>
      <c r="B968" s="195" t="s">
        <v>3394</v>
      </c>
      <c r="C968" s="202" t="s">
        <v>3395</v>
      </c>
      <c r="D968" s="152" t="s">
        <v>3396</v>
      </c>
      <c r="E968" s="154" t="s">
        <v>181</v>
      </c>
      <c r="F968" s="180"/>
    </row>
    <row r="969" customHeight="1" spans="1:6">
      <c r="A969" s="6" t="s">
        <v>3397</v>
      </c>
      <c r="B969" s="222" t="str">
        <f>IFERROR(__xludf.DUMMYFUNCTION("""COMPUTED_VALUE"""),"Adanech Kore Gari")</f>
        <v>Adanech Kore Gari</v>
      </c>
      <c r="C969" s="222" t="str">
        <f>IFERROR(__xludf.DUMMYFUNCTION("""COMPUTED_VALUE"""),"አዳነች ክሬ ጋሪ")</f>
        <v>አዳነች ክሬ ጋሪ</v>
      </c>
      <c r="D969" s="222" t="str">
        <f>IFERROR(__xludf.DUMMYFUNCTION("""COMPUTED_VALUE"""),"0911-166743")</f>
        <v>0911-166743</v>
      </c>
      <c r="E969" s="222" t="str">
        <f>IFERROR(__xludf.DUMMYFUNCTION("""COMPUTED_VALUE"""),"Addis Abeba")</f>
        <v>Addis Abeba</v>
      </c>
      <c r="F969" s="222"/>
    </row>
    <row r="970" customHeight="1" spans="1:6">
      <c r="A970" s="6" t="s">
        <v>3398</v>
      </c>
      <c r="B970" s="222" t="str">
        <f>IFERROR(__xludf.DUMMYFUNCTION("""COMPUTED_VALUE"""),"Adanech Tefera Reda")</f>
        <v>Adanech Tefera Reda</v>
      </c>
      <c r="C970" s="222" t="str">
        <f>IFERROR(__xludf.DUMMYFUNCTION("""COMPUTED_VALUE"""),"አዳነች ተፈራ ረዳ")</f>
        <v>አዳነች ተፈራ ረዳ</v>
      </c>
      <c r="D970" s="222" t="str">
        <f>IFERROR(__xludf.DUMMYFUNCTION("""COMPUTED_VALUE"""),"911555558")</f>
        <v>911555558</v>
      </c>
      <c r="E970" s="222" t="str">
        <f>IFERROR(__xludf.DUMMYFUNCTION("""COMPUTED_VALUE"""),"Addis Ababa")</f>
        <v>Addis Ababa</v>
      </c>
      <c r="F970" s="222" t="str">
        <f>IFERROR(__xludf.DUMMYFUNCTION("""COMPUTED_VALUE"""),"rozafeneslen2020@gmail.com")</f>
        <v>rozafeneslen2020@gmail.com</v>
      </c>
    </row>
    <row r="971" customHeight="1" spans="1:6">
      <c r="A971" s="6" t="s">
        <v>3399</v>
      </c>
      <c r="B971" s="223" t="s">
        <v>3400</v>
      </c>
      <c r="C971" s="223" t="s">
        <v>3401</v>
      </c>
      <c r="D971" s="223" t="s">
        <v>3402</v>
      </c>
      <c r="E971" s="204" t="s">
        <v>2067</v>
      </c>
      <c r="F971" s="204" t="s">
        <v>3403</v>
      </c>
    </row>
    <row r="972" customHeight="1" spans="1:6">
      <c r="A972" s="6" t="s">
        <v>3404</v>
      </c>
      <c r="B972" s="205" t="s">
        <v>3405</v>
      </c>
      <c r="C972" s="205" t="s">
        <v>3406</v>
      </c>
      <c r="D972" s="206" t="s">
        <v>3407</v>
      </c>
      <c r="E972" s="193" t="s">
        <v>120</v>
      </c>
      <c r="F972" s="221"/>
    </row>
    <row r="973" customHeight="1" spans="1:6">
      <c r="A973" s="6" t="s">
        <v>3408</v>
      </c>
      <c r="B973" s="162" t="s">
        <v>3409</v>
      </c>
      <c r="C973" s="205" t="s">
        <v>3410</v>
      </c>
      <c r="D973" s="342" t="s">
        <v>3411</v>
      </c>
      <c r="E973" s="193" t="s">
        <v>120</v>
      </c>
      <c r="F973" s="216"/>
    </row>
    <row r="974" customHeight="1" spans="1:6">
      <c r="A974" s="6" t="s">
        <v>3412</v>
      </c>
      <c r="B974" s="233" t="s">
        <v>3413</v>
      </c>
      <c r="C974" s="233" t="s">
        <v>3414</v>
      </c>
      <c r="D974" s="204" t="s">
        <v>3415</v>
      </c>
      <c r="E974" s="204" t="s">
        <v>605</v>
      </c>
      <c r="F974" s="204" t="s">
        <v>3416</v>
      </c>
    </row>
    <row r="975" customHeight="1" spans="1:6">
      <c r="A975" s="6" t="s">
        <v>3417</v>
      </c>
      <c r="B975" s="201" t="s">
        <v>3418</v>
      </c>
      <c r="C975" s="202" t="s">
        <v>3419</v>
      </c>
      <c r="D975" s="154" t="s">
        <v>3420</v>
      </c>
      <c r="E975" s="154"/>
      <c r="F975" s="180"/>
    </row>
    <row r="976" customHeight="1" spans="1:6">
      <c r="A976" s="6" t="s">
        <v>3421</v>
      </c>
      <c r="B976" s="153" t="s">
        <v>3422</v>
      </c>
      <c r="C976" s="202" t="s">
        <v>3423</v>
      </c>
      <c r="D976" s="154"/>
      <c r="E976" s="154" t="s">
        <v>310</v>
      </c>
      <c r="F976" s="153"/>
    </row>
    <row r="977" customHeight="1" spans="1:6">
      <c r="A977" s="6" t="s">
        <v>3424</v>
      </c>
      <c r="B977" s="200" t="s">
        <v>3425</v>
      </c>
      <c r="C977" s="192" t="s">
        <v>3426</v>
      </c>
      <c r="D977" s="194"/>
      <c r="E977" s="194" t="s">
        <v>243</v>
      </c>
      <c r="F977" s="194"/>
    </row>
    <row r="978" customHeight="1" spans="1:6">
      <c r="A978" s="6" t="s">
        <v>3427</v>
      </c>
      <c r="B978" s="200" t="s">
        <v>3428</v>
      </c>
      <c r="C978" s="202" t="s">
        <v>3429</v>
      </c>
      <c r="D978" s="152" t="s">
        <v>3430</v>
      </c>
      <c r="E978" s="154" t="s">
        <v>181</v>
      </c>
      <c r="F978" s="180"/>
    </row>
    <row r="979" customHeight="1" spans="1:6">
      <c r="A979" s="6" t="s">
        <v>3431</v>
      </c>
      <c r="B979" s="201" t="s">
        <v>3432</v>
      </c>
      <c r="C979" s="202" t="s">
        <v>3433</v>
      </c>
      <c r="D979" s="154" t="s">
        <v>3434</v>
      </c>
      <c r="E979" s="154" t="s">
        <v>243</v>
      </c>
      <c r="F979" s="180"/>
    </row>
    <row r="980" customHeight="1" spans="1:6">
      <c r="A980" s="6" t="s">
        <v>3435</v>
      </c>
      <c r="B980" s="200" t="s">
        <v>3436</v>
      </c>
      <c r="C980" s="192" t="s">
        <v>3437</v>
      </c>
      <c r="D980" s="274"/>
      <c r="E980" s="193" t="s">
        <v>1395</v>
      </c>
      <c r="F980" s="191"/>
    </row>
    <row r="981" customHeight="1" spans="1:6">
      <c r="A981" s="6" t="s">
        <v>3438</v>
      </c>
      <c r="B981" s="200" t="s">
        <v>3439</v>
      </c>
      <c r="C981" s="192" t="s">
        <v>3440</v>
      </c>
      <c r="D981" s="194"/>
      <c r="E981" s="194" t="s">
        <v>3119</v>
      </c>
      <c r="F981" s="194"/>
    </row>
    <row r="982" customHeight="1" spans="1:6">
      <c r="A982" s="6" t="s">
        <v>3441</v>
      </c>
      <c r="B982" s="200" t="s">
        <v>3442</v>
      </c>
      <c r="C982" s="202" t="s">
        <v>3443</v>
      </c>
      <c r="D982" s="152"/>
      <c r="E982" s="154" t="s">
        <v>232</v>
      </c>
      <c r="F982" s="180"/>
    </row>
    <row r="983" customHeight="1" spans="1:6">
      <c r="A983" s="6" t="s">
        <v>3444</v>
      </c>
      <c r="B983" s="197" t="s">
        <v>3445</v>
      </c>
      <c r="C983" s="203" t="s">
        <v>3446</v>
      </c>
      <c r="D983" s="197"/>
      <c r="E983" s="197" t="s">
        <v>253</v>
      </c>
      <c r="F983" s="197"/>
    </row>
    <row r="984" customHeight="1" spans="1:6">
      <c r="A984" s="6" t="s">
        <v>3447</v>
      </c>
      <c r="B984" s="195" t="s">
        <v>3448</v>
      </c>
      <c r="C984" s="202" t="s">
        <v>3449</v>
      </c>
      <c r="D984" s="152"/>
      <c r="E984" s="154" t="s">
        <v>232</v>
      </c>
      <c r="F984" s="180"/>
    </row>
    <row r="985" customHeight="1" spans="1:6">
      <c r="A985" s="6" t="s">
        <v>3450</v>
      </c>
      <c r="B985" s="201" t="s">
        <v>3451</v>
      </c>
      <c r="C985" s="202" t="s">
        <v>3452</v>
      </c>
      <c r="D985" s="154"/>
      <c r="E985" s="154" t="s">
        <v>58</v>
      </c>
      <c r="F985" s="180"/>
    </row>
    <row r="986" customHeight="1" spans="1:6">
      <c r="A986" s="6" t="s">
        <v>3453</v>
      </c>
      <c r="B986" s="223" t="s">
        <v>3454</v>
      </c>
      <c r="C986" s="223" t="s">
        <v>3455</v>
      </c>
      <c r="D986" s="204" t="s">
        <v>3456</v>
      </c>
      <c r="E986" s="204" t="s">
        <v>92</v>
      </c>
      <c r="F986" s="204"/>
    </row>
    <row r="987" customHeight="1" spans="1:6">
      <c r="A987" s="6" t="s">
        <v>3457</v>
      </c>
      <c r="B987" s="160" t="s">
        <v>3458</v>
      </c>
      <c r="C987" s="160" t="s">
        <v>3459</v>
      </c>
      <c r="D987" s="204" t="s">
        <v>3460</v>
      </c>
      <c r="E987" s="204" t="s">
        <v>92</v>
      </c>
      <c r="F987" s="204"/>
    </row>
    <row r="988" customHeight="1" spans="1:6">
      <c r="A988" s="6" t="s">
        <v>3461</v>
      </c>
      <c r="B988" s="195" t="s">
        <v>3462</v>
      </c>
      <c r="C988" s="196" t="s">
        <v>3463</v>
      </c>
      <c r="D988" s="197" t="s">
        <v>3464</v>
      </c>
      <c r="E988" s="198" t="s">
        <v>202</v>
      </c>
      <c r="F988" s="199"/>
    </row>
    <row r="989" customHeight="1" spans="1:6">
      <c r="A989" s="6" t="s">
        <v>3465</v>
      </c>
      <c r="B989" s="160" t="s">
        <v>3466</v>
      </c>
      <c r="C989" s="160" t="s">
        <v>3467</v>
      </c>
      <c r="D989" s="204" t="s">
        <v>2222</v>
      </c>
      <c r="E989" s="204" t="s">
        <v>92</v>
      </c>
      <c r="F989" s="204"/>
    </row>
    <row r="990" customHeight="1" spans="1:6">
      <c r="A990" s="6" t="s">
        <v>3468</v>
      </c>
      <c r="B990" s="200" t="s">
        <v>3469</v>
      </c>
      <c r="C990" s="203" t="s">
        <v>3470</v>
      </c>
      <c r="D990" s="194" t="s">
        <v>3471</v>
      </c>
      <c r="E990" s="194" t="s">
        <v>273</v>
      </c>
      <c r="F990" s="194"/>
    </row>
    <row r="991" customHeight="1" spans="1:6">
      <c r="A991" s="6" t="s">
        <v>3472</v>
      </c>
      <c r="B991" s="200" t="s">
        <v>3473</v>
      </c>
      <c r="C991" s="202" t="s">
        <v>3474</v>
      </c>
      <c r="D991" s="152" t="s">
        <v>3475</v>
      </c>
      <c r="E991" s="154" t="s">
        <v>232</v>
      </c>
      <c r="F991" s="180"/>
    </row>
    <row r="992" customHeight="1" spans="1:6">
      <c r="A992" s="6" t="s">
        <v>3476</v>
      </c>
      <c r="B992" s="197" t="s">
        <v>3477</v>
      </c>
      <c r="C992" s="203" t="s">
        <v>3478</v>
      </c>
      <c r="D992" s="197"/>
      <c r="E992" s="197" t="s">
        <v>253</v>
      </c>
      <c r="F992" s="197"/>
    </row>
    <row r="993" customHeight="1" spans="1:6">
      <c r="A993" s="6" t="s">
        <v>3479</v>
      </c>
      <c r="B993" s="160" t="s">
        <v>3480</v>
      </c>
      <c r="C993" s="160" t="s">
        <v>3481</v>
      </c>
      <c r="D993" s="204" t="s">
        <v>3482</v>
      </c>
      <c r="E993" s="204" t="s">
        <v>92</v>
      </c>
      <c r="F993" s="204"/>
    </row>
    <row r="994" customHeight="1" spans="1:6">
      <c r="A994" s="6" t="s">
        <v>3483</v>
      </c>
      <c r="B994" s="222" t="str">
        <f>IFERROR(__xludf.DUMMYFUNCTION("""COMPUTED_VALUE"""),"Addis Feleke Shebiru")</f>
        <v>Addis Feleke Shebiru</v>
      </c>
      <c r="C994" s="222" t="str">
        <f>IFERROR(__xludf.DUMMYFUNCTION("""COMPUTED_VALUE"""),"አዲስ ፈለቀ ሽብሩ")</f>
        <v>አዲስ ፈለቀ ሽብሩ</v>
      </c>
      <c r="D994" s="222" t="str">
        <f>IFERROR(__xludf.DUMMYFUNCTION("""COMPUTED_VALUE"""),"0913-480796")</f>
        <v>0913-480796</v>
      </c>
      <c r="E994" s="222" t="str">
        <f>IFERROR(__xludf.DUMMYFUNCTION("""COMPUTED_VALUE"""),"Addis Ababa")</f>
        <v>Addis Ababa</v>
      </c>
      <c r="F994" s="222"/>
    </row>
    <row r="995" customHeight="1" spans="1:6">
      <c r="A995" s="6" t="s">
        <v>3484</v>
      </c>
      <c r="B995" s="205" t="s">
        <v>3485</v>
      </c>
      <c r="C995" s="205" t="s">
        <v>3486</v>
      </c>
      <c r="D995" s="206" t="s">
        <v>3487</v>
      </c>
      <c r="E995" s="193" t="s">
        <v>120</v>
      </c>
      <c r="F995" s="221"/>
    </row>
    <row r="996" customHeight="1" spans="1:6">
      <c r="A996" s="6" t="s">
        <v>3488</v>
      </c>
      <c r="B996" s="200" t="s">
        <v>3489</v>
      </c>
      <c r="C996" s="202" t="s">
        <v>3490</v>
      </c>
      <c r="D996" s="152" t="s">
        <v>3491</v>
      </c>
      <c r="E996" s="154" t="s">
        <v>232</v>
      </c>
      <c r="F996" s="180"/>
    </row>
    <row r="997" customHeight="1" spans="1:6">
      <c r="A997" s="6" t="s">
        <v>3492</v>
      </c>
      <c r="B997" s="195" t="s">
        <v>3493</v>
      </c>
      <c r="C997" s="212" t="s">
        <v>3494</v>
      </c>
      <c r="D997" s="197" t="s">
        <v>3495</v>
      </c>
      <c r="E997" s="154" t="s">
        <v>104</v>
      </c>
      <c r="F997" s="199"/>
    </row>
    <row r="998" customHeight="1" spans="1:6">
      <c r="A998" s="6" t="s">
        <v>3496</v>
      </c>
      <c r="B998" s="153" t="s">
        <v>3497</v>
      </c>
      <c r="C998" s="202" t="s">
        <v>3498</v>
      </c>
      <c r="D998" s="158"/>
      <c r="E998" s="154" t="s">
        <v>232</v>
      </c>
      <c r="F998" s="180"/>
    </row>
    <row r="999" customHeight="1" spans="1:6">
      <c r="A999" s="6" t="s">
        <v>3499</v>
      </c>
      <c r="B999" s="223" t="s">
        <v>3500</v>
      </c>
      <c r="C999" s="223" t="s">
        <v>3501</v>
      </c>
      <c r="D999" s="204" t="s">
        <v>3502</v>
      </c>
      <c r="E999" s="204" t="s">
        <v>92</v>
      </c>
      <c r="F999" s="204"/>
    </row>
    <row r="1000" customHeight="1" spans="1:6">
      <c r="A1000" s="6" t="s">
        <v>3503</v>
      </c>
      <c r="B1000" s="160" t="s">
        <v>3504</v>
      </c>
      <c r="C1000" s="160" t="s">
        <v>3505</v>
      </c>
      <c r="D1000" s="204" t="s">
        <v>3506</v>
      </c>
      <c r="E1000" s="204" t="s">
        <v>92</v>
      </c>
      <c r="F1000" s="204"/>
    </row>
    <row r="1001" customHeight="1" spans="1:6">
      <c r="A1001" s="6" t="s">
        <v>3507</v>
      </c>
      <c r="B1001" s="195" t="s">
        <v>3508</v>
      </c>
      <c r="C1001" s="196" t="s">
        <v>3509</v>
      </c>
      <c r="D1001" s="197" t="s">
        <v>3510</v>
      </c>
      <c r="E1001" s="198" t="s">
        <v>202</v>
      </c>
      <c r="F1001" s="199"/>
    </row>
    <row r="1002" customHeight="1" spans="1:6">
      <c r="A1002" s="6" t="s">
        <v>3511</v>
      </c>
      <c r="B1002" s="214" t="s">
        <v>3512</v>
      </c>
      <c r="C1002" s="214" t="s">
        <v>3513</v>
      </c>
      <c r="D1002" s="194"/>
      <c r="E1002" s="204" t="s">
        <v>92</v>
      </c>
      <c r="F1002" s="204"/>
    </row>
    <row r="1003" customHeight="1" spans="1:6">
      <c r="A1003" s="6" t="s">
        <v>3514</v>
      </c>
      <c r="B1003" s="214" t="s">
        <v>3515</v>
      </c>
      <c r="C1003" s="214" t="s">
        <v>3516</v>
      </c>
      <c r="D1003" s="194"/>
      <c r="E1003" s="204" t="s">
        <v>92</v>
      </c>
      <c r="F1003" s="204"/>
    </row>
    <row r="1004" customHeight="1" spans="1:6">
      <c r="A1004" s="6" t="s">
        <v>3517</v>
      </c>
      <c r="B1004" s="214" t="s">
        <v>3518</v>
      </c>
      <c r="C1004" s="214" t="s">
        <v>3519</v>
      </c>
      <c r="D1004" s="194"/>
      <c r="E1004" s="204" t="s">
        <v>92</v>
      </c>
      <c r="F1004" s="204"/>
    </row>
    <row r="1005" customHeight="1" spans="1:6">
      <c r="A1005" s="6" t="s">
        <v>3520</v>
      </c>
      <c r="B1005" s="222" t="str">
        <f>IFERROR(__xludf.DUMMYFUNCTION("""COMPUTED_VALUE"""),"Addis Melaku Reda /WO")</f>
        <v>Addis Melaku Reda /WO</v>
      </c>
      <c r="C1005" s="222" t="str">
        <f>IFERROR(__xludf.DUMMYFUNCTION("""COMPUTED_VALUE"""),"አዲስ መላኩ ረዳ /ወሮ")</f>
        <v>አዲስ መላኩ ረዳ /ወሮ</v>
      </c>
      <c r="D1005" s="222" t="str">
        <f>IFERROR(__xludf.DUMMYFUNCTION("""COMPUTED_VALUE"""),"0911-794982")</f>
        <v>0911-794982</v>
      </c>
      <c r="E1005" s="222" t="str">
        <f>IFERROR(__xludf.DUMMYFUNCTION("""COMPUTED_VALUE"""),"addis abeba")</f>
        <v>addis abeba</v>
      </c>
      <c r="F1005" s="222" t="str">
        <f>IFERROR(__xludf.DUMMYFUNCTION("""COMPUTED_VALUE"""),"addisreda2014@gmail.com")</f>
        <v>addisreda2014@gmail.com</v>
      </c>
    </row>
    <row r="1006" customHeight="1" spans="1:6">
      <c r="A1006" s="6" t="s">
        <v>3521</v>
      </c>
      <c r="B1006" s="195" t="s">
        <v>3522</v>
      </c>
      <c r="C1006" s="202" t="s">
        <v>3523</v>
      </c>
      <c r="D1006" s="152"/>
      <c r="E1006" s="154" t="s">
        <v>104</v>
      </c>
      <c r="F1006" s="180"/>
    </row>
    <row r="1007" customHeight="1" spans="1:6">
      <c r="A1007" s="9" t="s">
        <v>3524</v>
      </c>
      <c r="B1007" s="153" t="s">
        <v>3525</v>
      </c>
      <c r="C1007" s="202" t="s">
        <v>3526</v>
      </c>
      <c r="D1007" s="341" t="s">
        <v>3527</v>
      </c>
      <c r="E1007" s="154" t="s">
        <v>104</v>
      </c>
      <c r="F1007" s="180"/>
    </row>
    <row r="1008" customHeight="1" spans="1:6">
      <c r="A1008" s="9" t="s">
        <v>3528</v>
      </c>
      <c r="B1008" s="160" t="s">
        <v>3529</v>
      </c>
      <c r="C1008" s="160" t="s">
        <v>3530</v>
      </c>
      <c r="D1008" s="204"/>
      <c r="E1008" s="204" t="s">
        <v>92</v>
      </c>
      <c r="F1008" s="204"/>
    </row>
    <row r="1009" customHeight="1" spans="1:6">
      <c r="A1009" s="9" t="s">
        <v>3531</v>
      </c>
      <c r="B1009" s="160" t="s">
        <v>3532</v>
      </c>
      <c r="C1009" s="160" t="s">
        <v>3533</v>
      </c>
      <c r="D1009" s="204" t="s">
        <v>3534</v>
      </c>
      <c r="E1009" s="204" t="s">
        <v>92</v>
      </c>
      <c r="F1009" s="204"/>
    </row>
    <row r="1010" customHeight="1" spans="1:6">
      <c r="A1010" s="9" t="s">
        <v>3535</v>
      </c>
      <c r="B1010" s="160" t="s">
        <v>3536</v>
      </c>
      <c r="C1010" s="160" t="s">
        <v>3537</v>
      </c>
      <c r="D1010" s="204" t="s">
        <v>3538</v>
      </c>
      <c r="E1010" s="204" t="s">
        <v>92</v>
      </c>
      <c r="F1010" s="204"/>
    </row>
    <row r="1011" customHeight="1" spans="1:6">
      <c r="A1011" s="9" t="s">
        <v>3539</v>
      </c>
      <c r="B1011" s="215" t="s">
        <v>3540</v>
      </c>
      <c r="C1011" s="205" t="s">
        <v>3541</v>
      </c>
      <c r="D1011" s="206" t="s">
        <v>3542</v>
      </c>
      <c r="E1011" s="193" t="s">
        <v>120</v>
      </c>
      <c r="F1011" s="221"/>
    </row>
    <row r="1012" customHeight="1" spans="1:6">
      <c r="A1012" s="9" t="s">
        <v>3543</v>
      </c>
      <c r="B1012" s="233" t="s">
        <v>3544</v>
      </c>
      <c r="C1012" s="233" t="s">
        <v>3545</v>
      </c>
      <c r="D1012" s="204" t="s">
        <v>3546</v>
      </c>
      <c r="E1012" s="204" t="s">
        <v>605</v>
      </c>
      <c r="F1012" s="204" t="s">
        <v>3547</v>
      </c>
    </row>
    <row r="1013" customHeight="1" spans="1:6">
      <c r="A1013" s="9" t="s">
        <v>3548</v>
      </c>
      <c r="B1013" s="160" t="s">
        <v>3549</v>
      </c>
      <c r="C1013" s="160" t="s">
        <v>3550</v>
      </c>
      <c r="D1013" s="204" t="s">
        <v>3551</v>
      </c>
      <c r="E1013" s="204" t="s">
        <v>92</v>
      </c>
      <c r="F1013" s="204"/>
    </row>
    <row r="1014" customHeight="1" spans="1:6">
      <c r="A1014" s="9" t="s">
        <v>3552</v>
      </c>
      <c r="B1014" s="160" t="s">
        <v>3553</v>
      </c>
      <c r="C1014" s="160" t="s">
        <v>3554</v>
      </c>
      <c r="D1014" s="204" t="s">
        <v>3555</v>
      </c>
      <c r="E1014" s="204" t="s">
        <v>92</v>
      </c>
      <c r="F1014" s="204"/>
    </row>
    <row r="1015" customHeight="1" spans="1:6">
      <c r="A1015" s="9" t="s">
        <v>3556</v>
      </c>
      <c r="B1015" s="201" t="s">
        <v>3557</v>
      </c>
      <c r="C1015" s="202" t="s">
        <v>3558</v>
      </c>
      <c r="D1015" s="153"/>
      <c r="E1015" s="180" t="s">
        <v>216</v>
      </c>
      <c r="F1015" s="180"/>
    </row>
    <row r="1016" customHeight="1" spans="1:6">
      <c r="A1016" s="9" t="s">
        <v>3559</v>
      </c>
      <c r="B1016" s="201" t="s">
        <v>3560</v>
      </c>
      <c r="C1016" s="202" t="s">
        <v>3561</v>
      </c>
      <c r="D1016" s="154"/>
      <c r="E1016" s="154" t="s">
        <v>58</v>
      </c>
      <c r="F1016" s="180"/>
    </row>
    <row r="1017" customHeight="1" spans="1:6">
      <c r="A1017" s="9" t="s">
        <v>3562</v>
      </c>
      <c r="B1017" s="200" t="s">
        <v>3563</v>
      </c>
      <c r="C1017" s="202" t="s">
        <v>3564</v>
      </c>
      <c r="D1017" s="152" t="s">
        <v>3565</v>
      </c>
      <c r="E1017" s="154"/>
      <c r="F1017" s="180"/>
    </row>
    <row r="1018" customHeight="1" spans="1:6">
      <c r="A1018" s="9" t="s">
        <v>3566</v>
      </c>
      <c r="B1018" s="214" t="s">
        <v>3567</v>
      </c>
      <c r="C1018" s="214" t="s">
        <v>3568</v>
      </c>
      <c r="D1018" s="194"/>
      <c r="E1018" s="204" t="s">
        <v>92</v>
      </c>
      <c r="F1018" s="204"/>
    </row>
    <row r="1019" customHeight="1" spans="1:6">
      <c r="A1019" s="9" t="s">
        <v>3569</v>
      </c>
      <c r="B1019" s="214" t="s">
        <v>3570</v>
      </c>
      <c r="C1019" s="214" t="s">
        <v>3571</v>
      </c>
      <c r="D1019" s="194"/>
      <c r="E1019" s="204" t="s">
        <v>92</v>
      </c>
      <c r="F1019" s="204"/>
    </row>
    <row r="1020" customHeight="1" spans="1:6">
      <c r="A1020" s="9" t="s">
        <v>3572</v>
      </c>
      <c r="B1020" s="214" t="s">
        <v>3573</v>
      </c>
      <c r="C1020" s="214" t="s">
        <v>3574</v>
      </c>
      <c r="D1020" s="204" t="s">
        <v>3575</v>
      </c>
      <c r="E1020" s="204" t="s">
        <v>92</v>
      </c>
      <c r="F1020" s="204"/>
    </row>
    <row r="1021" customHeight="1" spans="1:6">
      <c r="A1021" s="9" t="s">
        <v>3576</v>
      </c>
      <c r="B1021" s="222" t="str">
        <f>IFERROR(__xludf.DUMMYFUNCTION("""COMPUTED_VALUE"""),"Addisalem Damte /W/o/")</f>
        <v>Addisalem Damte /W/o/</v>
      </c>
      <c r="C1021" s="222" t="str">
        <f>IFERROR(__xludf.DUMMYFUNCTION("""COMPUTED_VALUE"""),"አዲስዓለም ዳምጤ /ወት/")</f>
        <v>አዲስዓለም ዳምጤ /ወት/</v>
      </c>
      <c r="D1021" s="222" t="str">
        <f>IFERROR(__xludf.DUMMYFUNCTION("""COMPUTED_VALUE"""),"0942-204559")</f>
        <v>0942-204559</v>
      </c>
      <c r="E1021" s="222" t="str">
        <f>IFERROR(__xludf.DUMMYFUNCTION("""COMPUTED_VALUE"""),"A/a")</f>
        <v>A/a</v>
      </c>
      <c r="F1021" s="222"/>
    </row>
    <row r="1022" customHeight="1" spans="1:6">
      <c r="A1022" s="9" t="s">
        <v>3577</v>
      </c>
      <c r="B1022" s="160" t="s">
        <v>3578</v>
      </c>
      <c r="C1022" s="160" t="s">
        <v>3579</v>
      </c>
      <c r="D1022" s="204" t="s">
        <v>3580</v>
      </c>
      <c r="E1022" s="204" t="s">
        <v>92</v>
      </c>
      <c r="F1022" s="204"/>
    </row>
    <row r="1023" customHeight="1" spans="1:6">
      <c r="A1023" s="9" t="s">
        <v>3581</v>
      </c>
      <c r="B1023" s="233" t="s">
        <v>3582</v>
      </c>
      <c r="C1023" s="233" t="s">
        <v>3583</v>
      </c>
      <c r="D1023" s="204" t="s">
        <v>3584</v>
      </c>
      <c r="E1023" s="204" t="s">
        <v>605</v>
      </c>
      <c r="F1023" s="204" t="s">
        <v>3585</v>
      </c>
    </row>
    <row r="1024" customHeight="1" spans="1:6">
      <c r="A1024" s="9" t="s">
        <v>3586</v>
      </c>
      <c r="B1024" s="214" t="s">
        <v>3587</v>
      </c>
      <c r="C1024" s="214" t="s">
        <v>3588</v>
      </c>
      <c r="D1024" s="194"/>
      <c r="E1024" s="204" t="s">
        <v>92</v>
      </c>
      <c r="F1024" s="204"/>
    </row>
    <row r="1025" customHeight="1" spans="1:6">
      <c r="A1025" s="9" t="s">
        <v>3589</v>
      </c>
      <c r="B1025" s="223" t="s">
        <v>3590</v>
      </c>
      <c r="C1025" s="223" t="s">
        <v>3591</v>
      </c>
      <c r="D1025" s="204" t="s">
        <v>3592</v>
      </c>
      <c r="E1025" s="204" t="s">
        <v>92</v>
      </c>
      <c r="F1025" s="204"/>
    </row>
    <row r="1026" customHeight="1" spans="1:6">
      <c r="A1026" s="9" t="s">
        <v>3593</v>
      </c>
      <c r="B1026" s="233" t="s">
        <v>3594</v>
      </c>
      <c r="C1026" s="233" t="s">
        <v>3595</v>
      </c>
      <c r="D1026" s="204" t="s">
        <v>3596</v>
      </c>
      <c r="E1026" s="204" t="s">
        <v>605</v>
      </c>
      <c r="F1026" s="204" t="s">
        <v>3597</v>
      </c>
    </row>
    <row r="1027" customHeight="1" spans="1:6">
      <c r="A1027" s="9" t="s">
        <v>3598</v>
      </c>
      <c r="B1027" s="160" t="s">
        <v>3599</v>
      </c>
      <c r="C1027" s="160" t="s">
        <v>3600</v>
      </c>
      <c r="D1027" s="223" t="s">
        <v>3601</v>
      </c>
      <c r="E1027" s="204" t="s">
        <v>92</v>
      </c>
      <c r="F1027" s="204"/>
    </row>
    <row r="1028" customHeight="1" spans="1:6">
      <c r="A1028" s="9" t="s">
        <v>3602</v>
      </c>
      <c r="B1028" s="208" t="s">
        <v>3603</v>
      </c>
      <c r="C1028" s="208" t="s">
        <v>3604</v>
      </c>
      <c r="D1028" s="194"/>
      <c r="E1028" s="204" t="s">
        <v>92</v>
      </c>
      <c r="F1028" s="204"/>
    </row>
    <row r="1029" customHeight="1" spans="1:6">
      <c r="A1029" s="9" t="s">
        <v>3605</v>
      </c>
      <c r="B1029" s="197" t="s">
        <v>3606</v>
      </c>
      <c r="C1029" s="203" t="s">
        <v>3607</v>
      </c>
      <c r="D1029" s="197"/>
      <c r="E1029" s="197" t="s">
        <v>253</v>
      </c>
      <c r="F1029" s="197"/>
    </row>
    <row r="1030" customHeight="1" spans="1:6">
      <c r="A1030" s="9" t="s">
        <v>3608</v>
      </c>
      <c r="B1030" s="223" t="s">
        <v>3609</v>
      </c>
      <c r="C1030" s="223" t="s">
        <v>3610</v>
      </c>
      <c r="D1030" s="204" t="s">
        <v>3611</v>
      </c>
      <c r="E1030" s="204" t="s">
        <v>92</v>
      </c>
      <c r="F1030" s="204"/>
    </row>
    <row r="1031" customHeight="1" spans="1:6">
      <c r="A1031" s="9" t="s">
        <v>3612</v>
      </c>
      <c r="B1031" s="214" t="s">
        <v>3613</v>
      </c>
      <c r="C1031" s="214" t="s">
        <v>3614</v>
      </c>
      <c r="D1031" s="204" t="s">
        <v>3615</v>
      </c>
      <c r="E1031" s="204" t="s">
        <v>92</v>
      </c>
      <c r="F1031" s="204"/>
    </row>
    <row r="1032" customHeight="1" spans="1:6">
      <c r="A1032" s="9" t="s">
        <v>3616</v>
      </c>
      <c r="B1032" s="200" t="s">
        <v>3617</v>
      </c>
      <c r="C1032" s="246" t="s">
        <v>3618</v>
      </c>
      <c r="D1032" s="194"/>
      <c r="E1032" s="194" t="s">
        <v>202</v>
      </c>
      <c r="F1032" s="194"/>
    </row>
    <row r="1033" customHeight="1" spans="1:6">
      <c r="A1033" s="9" t="s">
        <v>3619</v>
      </c>
      <c r="B1033" s="201" t="s">
        <v>3620</v>
      </c>
      <c r="C1033" s="202" t="s">
        <v>3621</v>
      </c>
      <c r="D1033" s="154"/>
      <c r="E1033" s="154" t="s">
        <v>243</v>
      </c>
      <c r="F1033" s="180"/>
    </row>
    <row r="1034" customHeight="1" spans="1:6">
      <c r="A1034" s="9" t="s">
        <v>3622</v>
      </c>
      <c r="B1034" s="153" t="s">
        <v>3623</v>
      </c>
      <c r="C1034" s="202" t="s">
        <v>3624</v>
      </c>
      <c r="D1034" s="154"/>
      <c r="E1034" s="154" t="s">
        <v>104</v>
      </c>
      <c r="F1034" s="180"/>
    </row>
    <row r="1035" customHeight="1" spans="1:6">
      <c r="A1035" s="9" t="s">
        <v>3625</v>
      </c>
      <c r="B1035" s="205" t="s">
        <v>3626</v>
      </c>
      <c r="C1035" s="205" t="s">
        <v>3627</v>
      </c>
      <c r="D1035" s="206" t="s">
        <v>3628</v>
      </c>
      <c r="E1035" s="193" t="s">
        <v>120</v>
      </c>
      <c r="F1035" s="239"/>
    </row>
    <row r="1036" customHeight="1" spans="1:6">
      <c r="A1036" s="9" t="s">
        <v>3629</v>
      </c>
      <c r="B1036" s="223" t="s">
        <v>3630</v>
      </c>
      <c r="C1036" s="223" t="s">
        <v>3631</v>
      </c>
      <c r="D1036" s="204" t="s">
        <v>3632</v>
      </c>
      <c r="E1036" s="204" t="s">
        <v>92</v>
      </c>
      <c r="F1036" s="204"/>
    </row>
    <row r="1037" customHeight="1" spans="1:6">
      <c r="A1037" s="9" t="s">
        <v>3633</v>
      </c>
      <c r="B1037" s="214" t="s">
        <v>3634</v>
      </c>
      <c r="C1037" s="214" t="s">
        <v>3635</v>
      </c>
      <c r="D1037" s="194"/>
      <c r="E1037" s="204" t="s">
        <v>92</v>
      </c>
      <c r="F1037" s="204"/>
    </row>
    <row r="1038" customHeight="1" spans="1:6">
      <c r="A1038" s="9" t="s">
        <v>3636</v>
      </c>
      <c r="B1038" s="258" t="s">
        <v>3637</v>
      </c>
      <c r="C1038" s="258" t="s">
        <v>3638</v>
      </c>
      <c r="D1038" s="204" t="s">
        <v>3639</v>
      </c>
      <c r="E1038" s="204" t="s">
        <v>92</v>
      </c>
      <c r="F1038" s="204"/>
    </row>
    <row r="1039" customHeight="1" spans="1:6">
      <c r="A1039" s="9" t="s">
        <v>3640</v>
      </c>
      <c r="B1039" s="275" t="s">
        <v>3641</v>
      </c>
      <c r="C1039" s="205" t="s">
        <v>3642</v>
      </c>
      <c r="D1039" s="244" t="s">
        <v>3643</v>
      </c>
      <c r="E1039" s="26" t="s">
        <v>92</v>
      </c>
      <c r="F1039" s="26" t="s">
        <v>3644</v>
      </c>
    </row>
    <row r="1040" customHeight="1" spans="1:6">
      <c r="A1040" s="9" t="s">
        <v>3645</v>
      </c>
      <c r="B1040" s="195" t="s">
        <v>3646</v>
      </c>
      <c r="C1040" s="202" t="s">
        <v>3647</v>
      </c>
      <c r="D1040" s="154"/>
      <c r="E1040" s="154" t="s">
        <v>104</v>
      </c>
      <c r="F1040" s="180"/>
    </row>
    <row r="1041" customHeight="1" spans="1:6">
      <c r="A1041" s="9" t="s">
        <v>3648</v>
      </c>
      <c r="B1041" s="215" t="s">
        <v>3649</v>
      </c>
      <c r="C1041" s="205" t="s">
        <v>3650</v>
      </c>
      <c r="D1041" s="342" t="s">
        <v>3651</v>
      </c>
      <c r="E1041" s="193" t="s">
        <v>120</v>
      </c>
      <c r="F1041" s="216" t="s">
        <v>3652</v>
      </c>
    </row>
    <row r="1042" customHeight="1" spans="1:6">
      <c r="A1042" s="9" t="s">
        <v>3653</v>
      </c>
      <c r="B1042" s="201" t="s">
        <v>3654</v>
      </c>
      <c r="C1042" s="202" t="s">
        <v>3655</v>
      </c>
      <c r="D1042" s="154" t="s">
        <v>3656</v>
      </c>
      <c r="E1042" s="154" t="s">
        <v>243</v>
      </c>
      <c r="F1042" s="180"/>
    </row>
    <row r="1043" customHeight="1" spans="1:6">
      <c r="A1043" s="9" t="s">
        <v>3657</v>
      </c>
      <c r="B1043" s="201" t="s">
        <v>3658</v>
      </c>
      <c r="C1043" s="202" t="s">
        <v>3659</v>
      </c>
      <c r="D1043" s="154"/>
      <c r="E1043" s="154"/>
      <c r="F1043" s="180"/>
    </row>
    <row r="1044" customHeight="1" spans="1:6">
      <c r="A1044" s="9" t="s">
        <v>3660</v>
      </c>
      <c r="B1044" s="205" t="s">
        <v>3661</v>
      </c>
      <c r="C1044" s="205" t="s">
        <v>3662</v>
      </c>
      <c r="D1044" s="206" t="s">
        <v>3663</v>
      </c>
      <c r="E1044" s="193" t="s">
        <v>120</v>
      </c>
      <c r="F1044" s="221" t="s">
        <v>3664</v>
      </c>
    </row>
    <row r="1045" customHeight="1" spans="1:6">
      <c r="A1045" s="9" t="s">
        <v>3665</v>
      </c>
      <c r="B1045" s="215" t="s">
        <v>3666</v>
      </c>
      <c r="C1045" s="205" t="s">
        <v>3667</v>
      </c>
      <c r="D1045" s="227" t="s">
        <v>3668</v>
      </c>
      <c r="E1045" s="193" t="s">
        <v>120</v>
      </c>
      <c r="F1045" s="216"/>
    </row>
    <row r="1046" customHeight="1" spans="1:6">
      <c r="A1046" s="9" t="s">
        <v>3669</v>
      </c>
      <c r="B1046" s="201" t="s">
        <v>3670</v>
      </c>
      <c r="C1046" s="202" t="s">
        <v>3671</v>
      </c>
      <c r="D1046" s="154" t="s">
        <v>3672</v>
      </c>
      <c r="E1046" s="154"/>
      <c r="F1046" s="180"/>
    </row>
    <row r="1047" customHeight="1" spans="1:6">
      <c r="A1047" s="9" t="s">
        <v>3673</v>
      </c>
      <c r="B1047" s="222" t="str">
        <f>IFERROR(__xludf.DUMMYFUNCTION("""COMPUTED_VALUE"""),"Addisu Kassa Mekonnen")</f>
        <v>Addisu Kassa Mekonnen</v>
      </c>
      <c r="C1047" s="222" t="str">
        <f>IFERROR(__xludf.DUMMYFUNCTION("""COMPUTED_VALUE"""),"`አዲሱ ካሳ መኮንን")</f>
        <v>`አዲሱ ካሳ መኮንን</v>
      </c>
      <c r="D1047" s="222" t="str">
        <f>IFERROR(__xludf.DUMMYFUNCTION("""COMPUTED_VALUE"""),"0916-820408")</f>
        <v>0916-820408</v>
      </c>
      <c r="E1047" s="222" t="str">
        <f>IFERROR(__xludf.DUMMYFUNCTION("""COMPUTED_VALUE"""),"Addis Ababa")</f>
        <v>Addis Ababa</v>
      </c>
      <c r="F1047" s="222" t="str">
        <f>IFERROR(__xludf.DUMMYFUNCTION("""COMPUTED_VALUE"""),"akmdocrad@gmail.com")</f>
        <v>akmdocrad@gmail.com</v>
      </c>
    </row>
    <row r="1048" customHeight="1" spans="1:6">
      <c r="A1048" s="9" t="s">
        <v>3674</v>
      </c>
      <c r="B1048" s="258" t="s">
        <v>3675</v>
      </c>
      <c r="C1048" s="258" t="s">
        <v>3676</v>
      </c>
      <c r="D1048" s="240" t="s">
        <v>3677</v>
      </c>
      <c r="E1048" s="240" t="s">
        <v>92</v>
      </c>
      <c r="F1048" s="240"/>
    </row>
    <row r="1049" customHeight="1" spans="1:6">
      <c r="A1049" s="9" t="s">
        <v>3678</v>
      </c>
      <c r="B1049" s="276" t="str">
        <f>IFERROR(__xludf.DUMMYFUNCTION("query(Transactions!A4:N1000,""select C,D,E,F,G,H,I,J,K,L,M,N where I = date '2023-05-31' "")"),"Addisu Mamo W/Kidan /Ato/")</f>
        <v>Addisu Mamo W/Kidan /Ato/</v>
      </c>
      <c r="C1049" s="276" t="str">
        <f>IFERROR(__xludf.DUMMYFUNCTION("""COMPUTED_VALUE"""),"አዲስ ማሞ ወ/ኪዳን /አቶ/")</f>
        <v>አዲስ ማሞ ወ/ኪዳን /አቶ/</v>
      </c>
      <c r="D1049" s="276" t="str">
        <f>IFERROR(__xludf.DUMMYFUNCTION("""COMPUTED_VALUE"""),"0919194696
17802006212")</f>
        <v>0919194696
17802006212</v>
      </c>
      <c r="E1049" s="276" t="str">
        <f>IFERROR(__xludf.DUMMYFUNCTION("""COMPUTED_VALUE"""),"A/A")</f>
        <v>A/A</v>
      </c>
      <c r="F1049" s="276" t="str">
        <f>IFERROR(__xludf.DUMMYFUNCTION("""COMPUTED_VALUE"""),"addismamo107@yahoo.com")</f>
        <v>addismamo107@yahoo.com</v>
      </c>
    </row>
    <row r="1050" customHeight="1" spans="1:6">
      <c r="A1050" s="9" t="s">
        <v>3679</v>
      </c>
      <c r="B1050" s="200" t="s">
        <v>3680</v>
      </c>
      <c r="C1050" s="264" t="s">
        <v>3681</v>
      </c>
      <c r="D1050" s="194"/>
      <c r="E1050" s="194" t="s">
        <v>243</v>
      </c>
      <c r="F1050" s="194"/>
    </row>
    <row r="1051" customHeight="1" spans="1:6">
      <c r="A1051" s="9" t="s">
        <v>3682</v>
      </c>
      <c r="B1051" s="160" t="s">
        <v>3683</v>
      </c>
      <c r="C1051" s="160" t="s">
        <v>3684</v>
      </c>
      <c r="D1051" s="204" t="s">
        <v>3685</v>
      </c>
      <c r="E1051" s="204" t="s">
        <v>92</v>
      </c>
      <c r="F1051" s="204"/>
    </row>
    <row r="1052" customHeight="1" spans="1:6">
      <c r="A1052" s="9" t="s">
        <v>3686</v>
      </c>
      <c r="B1052" s="200" t="s">
        <v>3687</v>
      </c>
      <c r="C1052" s="202" t="s">
        <v>3688</v>
      </c>
      <c r="D1052" s="154"/>
      <c r="E1052" s="154" t="s">
        <v>104</v>
      </c>
      <c r="F1052" s="180"/>
    </row>
    <row r="1053" customHeight="1" spans="1:6">
      <c r="A1053" s="9" t="s">
        <v>3689</v>
      </c>
      <c r="B1053" s="195" t="s">
        <v>3690</v>
      </c>
      <c r="C1053" s="202" t="s">
        <v>3691</v>
      </c>
      <c r="D1053" s="152"/>
      <c r="E1053" s="154" t="s">
        <v>232</v>
      </c>
      <c r="F1053" s="180"/>
    </row>
    <row r="1054" customHeight="1" spans="1:6">
      <c r="A1054" s="9" t="s">
        <v>3692</v>
      </c>
      <c r="B1054" s="223" t="s">
        <v>3693</v>
      </c>
      <c r="C1054" s="223" t="s">
        <v>3694</v>
      </c>
      <c r="D1054" s="204" t="s">
        <v>3695</v>
      </c>
      <c r="E1054" s="204" t="s">
        <v>92</v>
      </c>
      <c r="F1054" s="204"/>
    </row>
    <row r="1055" customHeight="1" spans="1:6">
      <c r="A1055" s="9" t="s">
        <v>3696</v>
      </c>
      <c r="B1055" s="201" t="s">
        <v>3697</v>
      </c>
      <c r="C1055" s="202" t="s">
        <v>3698</v>
      </c>
      <c r="D1055" s="154" t="s">
        <v>3699</v>
      </c>
      <c r="E1055" s="154" t="s">
        <v>202</v>
      </c>
      <c r="F1055" s="180"/>
    </row>
    <row r="1056" customHeight="1" spans="1:6">
      <c r="A1056" s="9" t="s">
        <v>3700</v>
      </c>
      <c r="B1056" s="223" t="s">
        <v>3701</v>
      </c>
      <c r="C1056" s="223" t="s">
        <v>3702</v>
      </c>
      <c r="D1056" s="204" t="s">
        <v>3703</v>
      </c>
      <c r="E1056" s="204" t="s">
        <v>92</v>
      </c>
      <c r="F1056" s="204"/>
    </row>
    <row r="1057" customHeight="1" spans="1:6">
      <c r="A1057" s="9" t="s">
        <v>3704</v>
      </c>
      <c r="B1057" s="158" t="s">
        <v>3705</v>
      </c>
      <c r="C1057" s="202" t="s">
        <v>3706</v>
      </c>
      <c r="D1057" s="158" t="s">
        <v>3707</v>
      </c>
      <c r="E1057" s="154" t="s">
        <v>211</v>
      </c>
      <c r="F1057" s="180"/>
    </row>
    <row r="1058" customHeight="1" spans="1:6">
      <c r="A1058" s="9" t="s">
        <v>3708</v>
      </c>
      <c r="B1058" s="195" t="s">
        <v>3709</v>
      </c>
      <c r="C1058" s="213" t="s">
        <v>3710</v>
      </c>
      <c r="D1058" s="197"/>
      <c r="E1058" s="197" t="s">
        <v>186</v>
      </c>
      <c r="F1058" s="197"/>
    </row>
    <row r="1059" customHeight="1" spans="1:6">
      <c r="A1059" s="9" t="s">
        <v>3711</v>
      </c>
      <c r="B1059" s="223" t="s">
        <v>3712</v>
      </c>
      <c r="C1059" s="223" t="s">
        <v>3713</v>
      </c>
      <c r="D1059" s="223" t="s">
        <v>3714</v>
      </c>
      <c r="E1059" s="204" t="s">
        <v>92</v>
      </c>
      <c r="F1059" s="204"/>
    </row>
    <row r="1060" customHeight="1" spans="1:6">
      <c r="A1060" s="9" t="s">
        <v>3715</v>
      </c>
      <c r="B1060" s="201" t="s">
        <v>3716</v>
      </c>
      <c r="C1060" s="202" t="s">
        <v>3717</v>
      </c>
      <c r="D1060" s="154" t="s">
        <v>3718</v>
      </c>
      <c r="E1060" s="154" t="s">
        <v>211</v>
      </c>
      <c r="F1060" s="180"/>
    </row>
    <row r="1061" customHeight="1" spans="1:6">
      <c r="A1061" s="9" t="s">
        <v>3719</v>
      </c>
      <c r="B1061" s="215" t="s">
        <v>3720</v>
      </c>
      <c r="C1061" s="205" t="s">
        <v>3721</v>
      </c>
      <c r="D1061" s="206" t="s">
        <v>3722</v>
      </c>
      <c r="E1061" s="193" t="s">
        <v>120</v>
      </c>
      <c r="F1061" s="221"/>
    </row>
    <row r="1062" customHeight="1" spans="1:6">
      <c r="A1062" s="9" t="s">
        <v>3723</v>
      </c>
      <c r="B1062" s="200" t="s">
        <v>3724</v>
      </c>
      <c r="C1062" s="202" t="s">
        <v>3725</v>
      </c>
      <c r="D1062" s="152"/>
      <c r="E1062" s="154" t="s">
        <v>232</v>
      </c>
      <c r="F1062" s="180"/>
    </row>
    <row r="1063" customHeight="1" spans="1:6">
      <c r="A1063" s="9" t="s">
        <v>3726</v>
      </c>
      <c r="B1063" s="277" t="s">
        <v>3727</v>
      </c>
      <c r="C1063" s="277" t="s">
        <v>3728</v>
      </c>
      <c r="D1063" s="194"/>
      <c r="E1063" s="232" t="s">
        <v>92</v>
      </c>
      <c r="F1063" s="232"/>
    </row>
    <row r="1064" customHeight="1" spans="1:6">
      <c r="A1064" s="9" t="s">
        <v>3729</v>
      </c>
      <c r="B1064" s="195" t="s">
        <v>3730</v>
      </c>
      <c r="C1064" s="202" t="s">
        <v>3731</v>
      </c>
      <c r="D1064" s="152" t="s">
        <v>3732</v>
      </c>
      <c r="E1064" s="154" t="s">
        <v>181</v>
      </c>
      <c r="F1064" s="180"/>
    </row>
    <row r="1065" customHeight="1" spans="1:6">
      <c r="A1065" s="9" t="s">
        <v>3733</v>
      </c>
      <c r="B1065" s="201" t="s">
        <v>3734</v>
      </c>
      <c r="C1065" s="202" t="s">
        <v>3735</v>
      </c>
      <c r="D1065" s="154" t="s">
        <v>3736</v>
      </c>
      <c r="E1065" s="154"/>
      <c r="F1065" s="180"/>
    </row>
    <row r="1066" customHeight="1" spans="1:6">
      <c r="A1066" s="9" t="s">
        <v>3737</v>
      </c>
      <c r="B1066" s="255" t="s">
        <v>3738</v>
      </c>
      <c r="C1066" s="255" t="s">
        <v>3739</v>
      </c>
      <c r="D1066" s="256" t="s">
        <v>3740</v>
      </c>
      <c r="E1066" s="26" t="s">
        <v>1701</v>
      </c>
      <c r="F1066" s="257" t="s">
        <v>3741</v>
      </c>
    </row>
    <row r="1067" customHeight="1" spans="1:6">
      <c r="A1067" s="9" t="s">
        <v>3742</v>
      </c>
      <c r="B1067" s="197" t="s">
        <v>3743</v>
      </c>
      <c r="C1067" s="203" t="s">
        <v>3744</v>
      </c>
      <c r="D1067" s="197" t="s">
        <v>3745</v>
      </c>
      <c r="E1067" s="197" t="s">
        <v>253</v>
      </c>
      <c r="F1067" s="197"/>
    </row>
    <row r="1068" customHeight="1" spans="1:6">
      <c r="A1068" s="9" t="s">
        <v>3746</v>
      </c>
      <c r="B1068" s="200" t="s">
        <v>3747</v>
      </c>
      <c r="C1068" s="203" t="s">
        <v>3748</v>
      </c>
      <c r="D1068" s="194"/>
      <c r="E1068" s="194" t="s">
        <v>253</v>
      </c>
      <c r="F1068" s="194"/>
    </row>
    <row r="1069" customHeight="1" spans="1:6">
      <c r="A1069" s="9" t="s">
        <v>3749</v>
      </c>
      <c r="B1069" s="194" t="s">
        <v>3750</v>
      </c>
      <c r="C1069" s="264" t="s">
        <v>3751</v>
      </c>
      <c r="D1069" s="194"/>
      <c r="E1069" s="158" t="s">
        <v>216</v>
      </c>
      <c r="F1069" s="158"/>
    </row>
    <row r="1070" customHeight="1" spans="1:6">
      <c r="A1070" s="9" t="s">
        <v>3752</v>
      </c>
      <c r="B1070" s="223" t="s">
        <v>3753</v>
      </c>
      <c r="C1070" s="223" t="s">
        <v>3754</v>
      </c>
      <c r="D1070" s="204" t="s">
        <v>3755</v>
      </c>
      <c r="E1070" s="204" t="s">
        <v>92</v>
      </c>
      <c r="F1070" s="204"/>
    </row>
    <row r="1071" customHeight="1" spans="1:6">
      <c r="A1071" s="9" t="s">
        <v>3756</v>
      </c>
      <c r="B1071" s="215" t="s">
        <v>3753</v>
      </c>
      <c r="C1071" s="205" t="s">
        <v>3754</v>
      </c>
      <c r="D1071" s="227" t="s">
        <v>3757</v>
      </c>
      <c r="E1071" s="193" t="s">
        <v>120</v>
      </c>
      <c r="F1071" s="216"/>
    </row>
    <row r="1072" customHeight="1" spans="1:6">
      <c r="A1072" s="9" t="s">
        <v>3758</v>
      </c>
      <c r="B1072" s="201" t="s">
        <v>3759</v>
      </c>
      <c r="C1072" s="202" t="s">
        <v>3760</v>
      </c>
      <c r="D1072" s="154" t="s">
        <v>3761</v>
      </c>
      <c r="E1072" s="210" t="s">
        <v>104</v>
      </c>
      <c r="F1072" s="211"/>
    </row>
    <row r="1073" customHeight="1" spans="1:6">
      <c r="A1073" s="9" t="s">
        <v>3762</v>
      </c>
      <c r="B1073" s="200" t="s">
        <v>3763</v>
      </c>
      <c r="C1073" s="192" t="s">
        <v>3764</v>
      </c>
      <c r="D1073" s="194" t="s">
        <v>3765</v>
      </c>
      <c r="E1073" s="193" t="s">
        <v>216</v>
      </c>
      <c r="F1073" s="191"/>
    </row>
    <row r="1074" customHeight="1" spans="1:6">
      <c r="A1074" s="9" t="s">
        <v>3766</v>
      </c>
      <c r="B1074" s="195" t="s">
        <v>3767</v>
      </c>
      <c r="C1074" s="202" t="s">
        <v>3768</v>
      </c>
      <c r="D1074" s="152" t="s">
        <v>3769</v>
      </c>
      <c r="E1074" s="154" t="s">
        <v>232</v>
      </c>
      <c r="F1074" s="180"/>
    </row>
    <row r="1075" customHeight="1" spans="1:6">
      <c r="A1075" s="9" t="s">
        <v>3770</v>
      </c>
      <c r="B1075" s="197" t="s">
        <v>3771</v>
      </c>
      <c r="C1075" s="254" t="s">
        <v>3772</v>
      </c>
      <c r="D1075" s="197"/>
      <c r="E1075" s="197" t="s">
        <v>202</v>
      </c>
      <c r="F1075" s="197"/>
    </row>
    <row r="1076" customHeight="1" spans="1:6">
      <c r="A1076" s="9" t="s">
        <v>3773</v>
      </c>
      <c r="B1076" s="204" t="s">
        <v>3774</v>
      </c>
      <c r="C1076" s="204" t="s">
        <v>3775</v>
      </c>
      <c r="D1076" s="194"/>
      <c r="E1076" s="204" t="s">
        <v>92</v>
      </c>
      <c r="F1076" s="204"/>
    </row>
    <row r="1077" customHeight="1" spans="1:6">
      <c r="A1077" s="9" t="s">
        <v>3776</v>
      </c>
      <c r="B1077" s="195" t="s">
        <v>3777</v>
      </c>
      <c r="C1077" s="212" t="s">
        <v>3778</v>
      </c>
      <c r="D1077" s="197"/>
      <c r="E1077" s="198" t="s">
        <v>2783</v>
      </c>
      <c r="F1077" s="199"/>
    </row>
    <row r="1078" customHeight="1" spans="1:6">
      <c r="A1078" s="9" t="s">
        <v>3779</v>
      </c>
      <c r="B1078" s="200" t="s">
        <v>3780</v>
      </c>
      <c r="C1078" s="192" t="s">
        <v>3781</v>
      </c>
      <c r="D1078" s="194"/>
      <c r="E1078" s="193" t="s">
        <v>202</v>
      </c>
      <c r="F1078" s="191"/>
    </row>
    <row r="1079" customHeight="1" spans="1:6">
      <c r="A1079" s="9" t="s">
        <v>3782</v>
      </c>
      <c r="B1079" s="201" t="s">
        <v>3783</v>
      </c>
      <c r="C1079" s="202" t="s">
        <v>3784</v>
      </c>
      <c r="D1079" s="153">
        <v>915856386</v>
      </c>
      <c r="E1079" s="180" t="s">
        <v>104</v>
      </c>
      <c r="F1079" s="180"/>
    </row>
    <row r="1080" customHeight="1" spans="1:6">
      <c r="A1080" s="9" t="s">
        <v>3785</v>
      </c>
      <c r="B1080" s="222" t="str">
        <f>IFERROR(__xludf.DUMMYFUNCTION("""COMPUTED_VALUE"""),"Adem Mohammed Yiman /Ato/")</f>
        <v>Adem Mohammed Yiman /Ato/</v>
      </c>
      <c r="C1080" s="222" t="str">
        <f>IFERROR(__xludf.DUMMYFUNCTION("""COMPUTED_VALUE"""),"አዳም መሀመድ ይማም /አቶ/")</f>
        <v>አዳም መሀመድ ይማም /አቶ/</v>
      </c>
      <c r="D1080" s="222" t="str">
        <f>IFERROR(__xludf.DUMMYFUNCTION("""COMPUTED_VALUE"""),"0966-333844")</f>
        <v>0966-333844</v>
      </c>
      <c r="E1080" s="222" t="str">
        <f>IFERROR(__xludf.DUMMYFUNCTION("""COMPUTED_VALUE"""),"addis abeba")</f>
        <v>addis abeba</v>
      </c>
      <c r="F1080" s="222" t="str">
        <f>IFERROR(__xludf.DUMMYFUNCTION("""COMPUTED_VALUE"""),"chorrachorrall@gmail.com")</f>
        <v>chorrachorrall@gmail.com</v>
      </c>
    </row>
    <row r="1081" customHeight="1" spans="1:6">
      <c r="A1081" s="9" t="s">
        <v>3786</v>
      </c>
      <c r="B1081" s="195" t="s">
        <v>3787</v>
      </c>
      <c r="C1081" s="202" t="s">
        <v>3788</v>
      </c>
      <c r="D1081" s="154"/>
      <c r="E1081" s="154" t="s">
        <v>181</v>
      </c>
      <c r="F1081" s="180"/>
    </row>
    <row r="1082" customHeight="1" spans="1:6">
      <c r="A1082" s="9" t="s">
        <v>3789</v>
      </c>
      <c r="B1082" s="200" t="s">
        <v>3790</v>
      </c>
      <c r="C1082" s="192" t="s">
        <v>3791</v>
      </c>
      <c r="D1082" s="194" t="s">
        <v>3792</v>
      </c>
      <c r="E1082" s="194" t="s">
        <v>186</v>
      </c>
      <c r="F1082" s="194"/>
    </row>
    <row r="1083" customHeight="1" spans="1:6">
      <c r="A1083" s="9" t="s">
        <v>3793</v>
      </c>
      <c r="B1083" s="200" t="s">
        <v>3794</v>
      </c>
      <c r="C1083" s="202" t="s">
        <v>3795</v>
      </c>
      <c r="D1083" s="154"/>
      <c r="E1083" s="154" t="s">
        <v>104</v>
      </c>
      <c r="F1083" s="180"/>
    </row>
    <row r="1084" customHeight="1" spans="1:6">
      <c r="A1084" s="9" t="s">
        <v>3796</v>
      </c>
      <c r="B1084" s="201" t="s">
        <v>3797</v>
      </c>
      <c r="C1084" s="202" t="s">
        <v>3798</v>
      </c>
      <c r="D1084" s="154"/>
      <c r="E1084" s="154" t="s">
        <v>202</v>
      </c>
      <c r="F1084" s="180"/>
    </row>
    <row r="1085" customHeight="1" spans="1:6">
      <c r="A1085" s="9" t="s">
        <v>3799</v>
      </c>
      <c r="B1085" s="195" t="s">
        <v>3800</v>
      </c>
      <c r="C1085" s="196" t="s">
        <v>3801</v>
      </c>
      <c r="D1085" s="197"/>
      <c r="E1085" s="197" t="s">
        <v>273</v>
      </c>
      <c r="F1085" s="197"/>
    </row>
    <row r="1086" customHeight="1" spans="1:6">
      <c r="A1086" s="9" t="s">
        <v>3802</v>
      </c>
      <c r="B1086" s="195" t="s">
        <v>3803</v>
      </c>
      <c r="C1086" s="196" t="s">
        <v>3804</v>
      </c>
      <c r="D1086" s="197"/>
      <c r="E1086" s="197" t="s">
        <v>310</v>
      </c>
      <c r="F1086" s="197"/>
    </row>
    <row r="1087" customHeight="1" spans="1:6">
      <c r="A1087" s="9" t="s">
        <v>3805</v>
      </c>
      <c r="B1087" s="200" t="s">
        <v>3806</v>
      </c>
      <c r="C1087" s="192" t="s">
        <v>3807</v>
      </c>
      <c r="D1087" s="194"/>
      <c r="E1087" s="194" t="s">
        <v>273</v>
      </c>
      <c r="F1087" s="194"/>
    </row>
    <row r="1088" customHeight="1" spans="1:6">
      <c r="A1088" s="9" t="s">
        <v>3808</v>
      </c>
      <c r="B1088" s="200" t="s">
        <v>3809</v>
      </c>
      <c r="C1088" s="236" t="s">
        <v>3810</v>
      </c>
      <c r="D1088" s="194"/>
      <c r="E1088" s="194" t="s">
        <v>3811</v>
      </c>
      <c r="F1088" s="194"/>
    </row>
    <row r="1089" customHeight="1" spans="1:6">
      <c r="A1089" s="9" t="s">
        <v>3812</v>
      </c>
      <c r="B1089" s="201" t="s">
        <v>3813</v>
      </c>
      <c r="C1089" s="202" t="s">
        <v>3814</v>
      </c>
      <c r="D1089" s="154" t="s">
        <v>3815</v>
      </c>
      <c r="E1089" s="154" t="s">
        <v>243</v>
      </c>
      <c r="F1089" s="180"/>
    </row>
    <row r="1090" customHeight="1" spans="1:6">
      <c r="A1090" s="9" t="s">
        <v>3816</v>
      </c>
      <c r="B1090" s="195" t="s">
        <v>3817</v>
      </c>
      <c r="C1090" s="212" t="s">
        <v>3818</v>
      </c>
      <c r="D1090" s="197"/>
      <c r="E1090" s="197" t="s">
        <v>3811</v>
      </c>
      <c r="F1090" s="197"/>
    </row>
    <row r="1091" customHeight="1" spans="1:6">
      <c r="A1091" s="9" t="s">
        <v>3819</v>
      </c>
      <c r="B1091" s="200" t="s">
        <v>3820</v>
      </c>
      <c r="C1091" s="202" t="s">
        <v>3821</v>
      </c>
      <c r="D1091" s="152" t="s">
        <v>3822</v>
      </c>
      <c r="E1091" s="154" t="s">
        <v>181</v>
      </c>
      <c r="F1091" s="180"/>
    </row>
    <row r="1092" customHeight="1" spans="1:6">
      <c r="A1092" s="9" t="s">
        <v>3823</v>
      </c>
      <c r="B1092" s="200" t="s">
        <v>3824</v>
      </c>
      <c r="C1092" s="202" t="s">
        <v>3825</v>
      </c>
      <c r="D1092" s="152"/>
      <c r="E1092" s="154" t="s">
        <v>232</v>
      </c>
      <c r="F1092" s="180"/>
    </row>
    <row r="1093" customHeight="1" spans="1:6">
      <c r="A1093" s="9" t="s">
        <v>3826</v>
      </c>
      <c r="B1093" s="200" t="s">
        <v>3827</v>
      </c>
      <c r="C1093" s="236" t="s">
        <v>3828</v>
      </c>
      <c r="D1093" s="194"/>
      <c r="E1093" s="194" t="s">
        <v>3811</v>
      </c>
      <c r="F1093" s="194"/>
    </row>
    <row r="1094" customHeight="1" spans="1:6">
      <c r="A1094" s="9" t="s">
        <v>3829</v>
      </c>
      <c r="B1094" s="158" t="s">
        <v>3830</v>
      </c>
      <c r="C1094" s="203" t="s">
        <v>3831</v>
      </c>
      <c r="D1094" s="158"/>
      <c r="E1094" s="158" t="s">
        <v>216</v>
      </c>
      <c r="F1094" s="158"/>
    </row>
    <row r="1095" customHeight="1" spans="1:6">
      <c r="A1095" s="9" t="s">
        <v>3832</v>
      </c>
      <c r="B1095" s="200" t="s">
        <v>3833</v>
      </c>
      <c r="C1095" s="192" t="s">
        <v>3834</v>
      </c>
      <c r="D1095" s="194"/>
      <c r="E1095" s="193" t="s">
        <v>202</v>
      </c>
      <c r="F1095" s="191"/>
    </row>
    <row r="1096" customHeight="1" spans="1:6">
      <c r="A1096" s="9" t="s">
        <v>3835</v>
      </c>
      <c r="B1096" s="153" t="s">
        <v>3836</v>
      </c>
      <c r="C1096" s="202" t="s">
        <v>3837</v>
      </c>
      <c r="D1096" s="154">
        <v>918495015</v>
      </c>
      <c r="E1096" s="154"/>
      <c r="F1096" s="180"/>
    </row>
    <row r="1097" customHeight="1" spans="1:6">
      <c r="A1097" s="9" t="s">
        <v>3838</v>
      </c>
      <c r="B1097" s="200" t="s">
        <v>3839</v>
      </c>
      <c r="C1097" s="236" t="s">
        <v>3840</v>
      </c>
      <c r="D1097" s="194" t="s">
        <v>3841</v>
      </c>
      <c r="E1097" s="154" t="s">
        <v>104</v>
      </c>
      <c r="F1097" s="191"/>
    </row>
    <row r="1098" customHeight="1" spans="1:6">
      <c r="A1098" s="9" t="s">
        <v>3842</v>
      </c>
      <c r="B1098" s="201" t="s">
        <v>3843</v>
      </c>
      <c r="C1098" s="202" t="s">
        <v>3844</v>
      </c>
      <c r="D1098" s="153"/>
      <c r="E1098" s="180" t="s">
        <v>104</v>
      </c>
      <c r="F1098" s="180"/>
    </row>
    <row r="1099" customHeight="1" spans="1:6">
      <c r="A1099" s="9" t="s">
        <v>3845</v>
      </c>
      <c r="B1099" s="259" t="s">
        <v>3846</v>
      </c>
      <c r="C1099" s="259" t="s">
        <v>3847</v>
      </c>
      <c r="D1099" s="204" t="s">
        <v>3848</v>
      </c>
      <c r="E1099" s="204" t="s">
        <v>92</v>
      </c>
      <c r="F1099" s="204"/>
    </row>
    <row r="1100" customHeight="1" spans="1:6">
      <c r="A1100" s="9" t="s">
        <v>3849</v>
      </c>
      <c r="B1100" s="215" t="s">
        <v>3850</v>
      </c>
      <c r="C1100" s="205" t="s">
        <v>3851</v>
      </c>
      <c r="D1100" s="227" t="s">
        <v>3852</v>
      </c>
      <c r="E1100" s="193" t="s">
        <v>120</v>
      </c>
      <c r="F1100" s="216" t="s">
        <v>3853</v>
      </c>
    </row>
    <row r="1101" customHeight="1" spans="1:6">
      <c r="A1101" s="9" t="s">
        <v>3854</v>
      </c>
      <c r="B1101" s="200" t="s">
        <v>3855</v>
      </c>
      <c r="C1101" s="202" t="s">
        <v>3856</v>
      </c>
      <c r="D1101" s="152" t="s">
        <v>3857</v>
      </c>
      <c r="E1101" s="154" t="s">
        <v>104</v>
      </c>
      <c r="F1101" s="180"/>
    </row>
    <row r="1102" customHeight="1" spans="1:6">
      <c r="A1102" s="9" t="s">
        <v>3858</v>
      </c>
      <c r="B1102" s="195" t="s">
        <v>3859</v>
      </c>
      <c r="C1102" s="202" t="s">
        <v>3860</v>
      </c>
      <c r="D1102" s="154"/>
      <c r="E1102" s="154" t="s">
        <v>104</v>
      </c>
      <c r="F1102" s="180"/>
    </row>
    <row r="1103" customHeight="1" spans="1:6">
      <c r="A1103" s="9" t="s">
        <v>3861</v>
      </c>
      <c r="B1103" s="200" t="s">
        <v>3862</v>
      </c>
      <c r="C1103" s="202" t="s">
        <v>3863</v>
      </c>
      <c r="D1103" s="152"/>
      <c r="E1103" s="154" t="s">
        <v>232</v>
      </c>
      <c r="F1103" s="180"/>
    </row>
    <row r="1104" customHeight="1" spans="1:6">
      <c r="A1104" s="9" t="s">
        <v>3864</v>
      </c>
      <c r="B1104" s="200" t="s">
        <v>3865</v>
      </c>
      <c r="C1104" s="203" t="s">
        <v>3866</v>
      </c>
      <c r="D1104" s="194"/>
      <c r="E1104" s="194" t="s">
        <v>253</v>
      </c>
      <c r="F1104" s="194"/>
    </row>
    <row r="1105" customHeight="1" spans="1:6">
      <c r="A1105" s="9" t="s">
        <v>3867</v>
      </c>
      <c r="B1105" s="201" t="s">
        <v>3868</v>
      </c>
      <c r="C1105" s="202" t="s">
        <v>3869</v>
      </c>
      <c r="D1105" s="154" t="s">
        <v>3870</v>
      </c>
      <c r="E1105" s="154"/>
      <c r="F1105" s="180"/>
    </row>
    <row r="1106" customHeight="1" spans="1:6">
      <c r="A1106" s="9" t="s">
        <v>3871</v>
      </c>
      <c r="B1106" s="200" t="s">
        <v>3872</v>
      </c>
      <c r="C1106" s="192" t="s">
        <v>3873</v>
      </c>
      <c r="D1106" s="194" t="s">
        <v>3874</v>
      </c>
      <c r="E1106" s="193" t="s">
        <v>310</v>
      </c>
      <c r="F1106" s="191"/>
    </row>
    <row r="1107" customHeight="1" spans="1:6">
      <c r="A1107" s="9" t="s">
        <v>3875</v>
      </c>
      <c r="B1107" s="201" t="s">
        <v>3876</v>
      </c>
      <c r="C1107" s="202" t="s">
        <v>3877</v>
      </c>
      <c r="D1107" s="154" t="s">
        <v>3878</v>
      </c>
      <c r="E1107" s="154" t="s">
        <v>1395</v>
      </c>
      <c r="F1107" s="180"/>
    </row>
    <row r="1108" customHeight="1" spans="1:6">
      <c r="A1108" s="9" t="s">
        <v>3879</v>
      </c>
      <c r="B1108" s="195" t="s">
        <v>3880</v>
      </c>
      <c r="C1108" s="196" t="s">
        <v>3881</v>
      </c>
      <c r="D1108" s="197"/>
      <c r="E1108" s="198" t="s">
        <v>216</v>
      </c>
      <c r="F1108" s="199"/>
    </row>
    <row r="1109" customHeight="1" spans="1:6">
      <c r="A1109" s="9" t="s">
        <v>3882</v>
      </c>
      <c r="B1109" s="195" t="s">
        <v>3883</v>
      </c>
      <c r="C1109" s="202" t="s">
        <v>3884</v>
      </c>
      <c r="D1109" s="154">
        <v>919845887</v>
      </c>
      <c r="E1109" s="154" t="s">
        <v>104</v>
      </c>
      <c r="F1109" s="180"/>
    </row>
    <row r="1110" customHeight="1" spans="1:6">
      <c r="A1110" s="9" t="s">
        <v>3885</v>
      </c>
      <c r="B1110" s="200" t="s">
        <v>3886</v>
      </c>
      <c r="C1110" s="192" t="s">
        <v>3887</v>
      </c>
      <c r="D1110" s="194"/>
      <c r="E1110" s="194" t="s">
        <v>202</v>
      </c>
      <c r="F1110" s="197"/>
    </row>
    <row r="1111" customHeight="1" spans="1:6">
      <c r="A1111" s="9" t="s">
        <v>3888</v>
      </c>
      <c r="B1111" s="200" t="s">
        <v>3889</v>
      </c>
      <c r="C1111" s="203" t="s">
        <v>3890</v>
      </c>
      <c r="D1111" s="194"/>
      <c r="E1111" s="194" t="s">
        <v>273</v>
      </c>
      <c r="F1111" s="194"/>
    </row>
    <row r="1112" customHeight="1" spans="1:6">
      <c r="A1112" s="9" t="s">
        <v>3891</v>
      </c>
      <c r="B1112" s="195" t="s">
        <v>3892</v>
      </c>
      <c r="C1112" s="196" t="s">
        <v>3893</v>
      </c>
      <c r="D1112" s="197"/>
      <c r="E1112" s="197" t="s">
        <v>273</v>
      </c>
      <c r="F1112" s="197"/>
    </row>
    <row r="1113" customHeight="1" spans="1:6">
      <c r="A1113" s="9" t="s">
        <v>3894</v>
      </c>
      <c r="B1113" s="194" t="s">
        <v>3895</v>
      </c>
      <c r="C1113" s="192" t="s">
        <v>3896</v>
      </c>
      <c r="D1113" s="194"/>
      <c r="E1113" s="194" t="s">
        <v>273</v>
      </c>
      <c r="F1113" s="194"/>
    </row>
    <row r="1114" customHeight="1" spans="1:6">
      <c r="A1114" s="9" t="s">
        <v>3897</v>
      </c>
      <c r="B1114" s="194" t="s">
        <v>3898</v>
      </c>
      <c r="C1114" s="202" t="s">
        <v>3899</v>
      </c>
      <c r="D1114" s="158">
        <v>926821727</v>
      </c>
      <c r="E1114" s="158" t="s">
        <v>1218</v>
      </c>
      <c r="F1114" s="153"/>
    </row>
    <row r="1115" customHeight="1" spans="1:6">
      <c r="A1115" s="9" t="s">
        <v>3900</v>
      </c>
      <c r="B1115" s="200" t="s">
        <v>3901</v>
      </c>
      <c r="C1115" s="236" t="s">
        <v>3902</v>
      </c>
      <c r="D1115" s="194"/>
      <c r="E1115" s="193" t="s">
        <v>2783</v>
      </c>
      <c r="F1115" s="191"/>
    </row>
    <row r="1116" customHeight="1" spans="1:6">
      <c r="A1116" s="9" t="s">
        <v>3903</v>
      </c>
      <c r="B1116" s="200" t="s">
        <v>3904</v>
      </c>
      <c r="C1116" s="192" t="s">
        <v>3905</v>
      </c>
      <c r="D1116" s="194" t="s">
        <v>3906</v>
      </c>
      <c r="E1116" s="194" t="s">
        <v>243</v>
      </c>
      <c r="F1116" s="194"/>
    </row>
    <row r="1117" customHeight="1" spans="1:6">
      <c r="A1117" s="9" t="s">
        <v>3907</v>
      </c>
      <c r="B1117" s="215" t="s">
        <v>3908</v>
      </c>
      <c r="C1117" s="205" t="s">
        <v>3909</v>
      </c>
      <c r="D1117" s="206">
        <v>16513324823</v>
      </c>
      <c r="E1117" s="193" t="s">
        <v>120</v>
      </c>
      <c r="F1117" s="221" t="s">
        <v>3910</v>
      </c>
    </row>
    <row r="1118" customHeight="1" spans="1:6">
      <c r="A1118" s="9" t="s">
        <v>3911</v>
      </c>
      <c r="B1118" s="259" t="s">
        <v>3912</v>
      </c>
      <c r="C1118" s="259" t="s">
        <v>3913</v>
      </c>
      <c r="D1118" s="204" t="s">
        <v>3914</v>
      </c>
      <c r="E1118" s="204" t="s">
        <v>92</v>
      </c>
      <c r="F1118" s="204"/>
    </row>
    <row r="1119" customHeight="1" spans="1:6">
      <c r="A1119" s="9" t="s">
        <v>3915</v>
      </c>
      <c r="B1119" s="222" t="str">
        <f>IFERROR(__xludf.DUMMYFUNCTION("""COMPUTED_VALUE"""),"Adiamseged Eyassu Melke")</f>
        <v>Adiamseged Eyassu Melke</v>
      </c>
      <c r="C1119" s="222" t="str">
        <f>IFERROR(__xludf.DUMMYFUNCTION("""COMPUTED_VALUE"""),"አድያምሰገድ እያሱ መልኬ")</f>
        <v>አድያምሰገድ እያሱ መልኬ</v>
      </c>
      <c r="D1119" s="222" t="str">
        <f>IFERROR(__xludf.DUMMYFUNCTION("""COMPUTED_VALUE"""),"944775600")</f>
        <v>944775600</v>
      </c>
      <c r="E1119" s="222" t="str">
        <f>IFERROR(__xludf.DUMMYFUNCTION("""COMPUTED_VALUE"""),"Addis Ababa")</f>
        <v>Addis Ababa</v>
      </c>
      <c r="F1119" s="222"/>
    </row>
    <row r="1120" customHeight="1" spans="1:6">
      <c r="A1120" s="9" t="s">
        <v>3916</v>
      </c>
      <c r="B1120" s="201" t="s">
        <v>3917</v>
      </c>
      <c r="C1120" s="202" t="s">
        <v>3918</v>
      </c>
      <c r="D1120" s="154"/>
      <c r="E1120" s="154" t="s">
        <v>58</v>
      </c>
      <c r="F1120" s="180"/>
    </row>
    <row r="1121" customHeight="1" spans="1:6">
      <c r="A1121" s="9" t="s">
        <v>3919</v>
      </c>
      <c r="B1121" s="153" t="s">
        <v>3920</v>
      </c>
      <c r="C1121" s="202" t="s">
        <v>3921</v>
      </c>
      <c r="D1121" s="154"/>
      <c r="E1121" s="154" t="s">
        <v>104</v>
      </c>
      <c r="F1121" s="180"/>
    </row>
    <row r="1122" customHeight="1" spans="1:6">
      <c r="A1122" s="9" t="s">
        <v>3922</v>
      </c>
      <c r="B1122" s="195" t="s">
        <v>3923</v>
      </c>
      <c r="C1122" s="202" t="s">
        <v>3924</v>
      </c>
      <c r="D1122" s="152"/>
      <c r="E1122" s="154" t="s">
        <v>232</v>
      </c>
      <c r="F1122" s="180"/>
    </row>
    <row r="1123" customHeight="1" spans="1:6">
      <c r="A1123" s="9" t="s">
        <v>3925</v>
      </c>
      <c r="B1123" s="194" t="s">
        <v>3926</v>
      </c>
      <c r="C1123" s="202" t="s">
        <v>3927</v>
      </c>
      <c r="D1123" s="248">
        <v>918733439</v>
      </c>
      <c r="E1123" s="154" t="s">
        <v>104</v>
      </c>
      <c r="F1123" s="180"/>
    </row>
    <row r="1124" customHeight="1" spans="1:6">
      <c r="A1124" s="9" t="s">
        <v>3928</v>
      </c>
      <c r="B1124" s="195" t="s">
        <v>3929</v>
      </c>
      <c r="C1124" s="202" t="s">
        <v>3930</v>
      </c>
      <c r="D1124" s="154"/>
      <c r="E1124" s="154" t="s">
        <v>104</v>
      </c>
      <c r="F1124" s="180"/>
    </row>
    <row r="1125" customHeight="1" spans="1:6">
      <c r="A1125" s="9" t="s">
        <v>3931</v>
      </c>
      <c r="B1125" s="153" t="s">
        <v>3932</v>
      </c>
      <c r="C1125" s="202" t="s">
        <v>3933</v>
      </c>
      <c r="D1125" s="154"/>
      <c r="E1125" s="154" t="s">
        <v>104</v>
      </c>
      <c r="F1125" s="180"/>
    </row>
    <row r="1126" customHeight="1" spans="1:6">
      <c r="A1126" s="9" t="s">
        <v>3934</v>
      </c>
      <c r="B1126" s="153" t="s">
        <v>3935</v>
      </c>
      <c r="C1126" s="202" t="s">
        <v>3936</v>
      </c>
      <c r="D1126" s="154">
        <v>918423042</v>
      </c>
      <c r="E1126" s="154" t="s">
        <v>104</v>
      </c>
      <c r="F1126" s="180"/>
    </row>
    <row r="1127" customHeight="1" spans="1:6">
      <c r="A1127" s="9" t="s">
        <v>3937</v>
      </c>
      <c r="B1127" s="195" t="s">
        <v>3938</v>
      </c>
      <c r="C1127" s="202" t="s">
        <v>3939</v>
      </c>
      <c r="D1127" s="152" t="s">
        <v>3940</v>
      </c>
      <c r="E1127" s="154" t="s">
        <v>232</v>
      </c>
      <c r="F1127" s="180"/>
    </row>
    <row r="1128" customHeight="1" spans="1:6">
      <c r="A1128" s="9" t="s">
        <v>3941</v>
      </c>
      <c r="B1128" s="197" t="s">
        <v>3942</v>
      </c>
      <c r="C1128" s="196" t="s">
        <v>3943</v>
      </c>
      <c r="D1128" s="197"/>
      <c r="E1128" s="197" t="s">
        <v>243</v>
      </c>
      <c r="F1128" s="197"/>
    </row>
    <row r="1129" customHeight="1" spans="1:6">
      <c r="A1129" s="9" t="s">
        <v>3944</v>
      </c>
      <c r="B1129" s="200" t="s">
        <v>3945</v>
      </c>
      <c r="C1129" s="202" t="s">
        <v>3946</v>
      </c>
      <c r="D1129" s="154"/>
      <c r="E1129" s="154" t="s">
        <v>104</v>
      </c>
      <c r="F1129" s="180"/>
    </row>
    <row r="1130" customHeight="1" spans="1:6">
      <c r="A1130" s="9" t="s">
        <v>3947</v>
      </c>
      <c r="B1130" s="195" t="s">
        <v>3948</v>
      </c>
      <c r="C1130" s="212" t="s">
        <v>3949</v>
      </c>
      <c r="D1130" s="197"/>
      <c r="E1130" s="198" t="s">
        <v>2783</v>
      </c>
      <c r="F1130" s="199"/>
    </row>
    <row r="1131" customHeight="1" spans="1:6">
      <c r="A1131" s="9" t="s">
        <v>3950</v>
      </c>
      <c r="B1131" s="201" t="s">
        <v>3951</v>
      </c>
      <c r="C1131" s="202" t="s">
        <v>3952</v>
      </c>
      <c r="D1131" s="154"/>
      <c r="E1131" s="154" t="s">
        <v>243</v>
      </c>
      <c r="F1131" s="180"/>
    </row>
    <row r="1132" customHeight="1" spans="1:6">
      <c r="A1132" s="9" t="s">
        <v>3953</v>
      </c>
      <c r="B1132" s="153" t="s">
        <v>3954</v>
      </c>
      <c r="C1132" s="202" t="s">
        <v>3955</v>
      </c>
      <c r="D1132" s="154"/>
      <c r="E1132" s="154" t="s">
        <v>161</v>
      </c>
      <c r="F1132" s="180"/>
    </row>
    <row r="1133" customHeight="1" spans="1:6">
      <c r="A1133" s="9" t="s">
        <v>3956</v>
      </c>
      <c r="B1133" s="200" t="s">
        <v>3957</v>
      </c>
      <c r="C1133" s="202" t="s">
        <v>3958</v>
      </c>
      <c r="D1133" s="152" t="s">
        <v>3959</v>
      </c>
      <c r="E1133" s="154" t="s">
        <v>232</v>
      </c>
      <c r="F1133" s="180"/>
    </row>
    <row r="1134" customHeight="1" spans="1:6">
      <c r="A1134" s="9" t="s">
        <v>3960</v>
      </c>
      <c r="B1134" s="200" t="s">
        <v>3961</v>
      </c>
      <c r="C1134" s="202" t="s">
        <v>3962</v>
      </c>
      <c r="D1134" s="152" t="s">
        <v>3963</v>
      </c>
      <c r="E1134" s="154"/>
      <c r="F1134" s="180"/>
    </row>
    <row r="1135" customHeight="1" spans="1:6">
      <c r="A1135" s="9" t="s">
        <v>3964</v>
      </c>
      <c r="B1135" s="200" t="s">
        <v>3965</v>
      </c>
      <c r="C1135" s="202" t="s">
        <v>3966</v>
      </c>
      <c r="D1135" s="152" t="s">
        <v>3967</v>
      </c>
      <c r="E1135" s="154" t="s">
        <v>181</v>
      </c>
      <c r="F1135" s="180"/>
    </row>
    <row r="1136" customHeight="1" spans="1:6">
      <c r="A1136" s="9" t="s">
        <v>3968</v>
      </c>
      <c r="B1136" s="200" t="s">
        <v>3969</v>
      </c>
      <c r="C1136" s="246" t="s">
        <v>3970</v>
      </c>
      <c r="D1136" s="194"/>
      <c r="E1136" s="194" t="s">
        <v>186</v>
      </c>
      <c r="F1136" s="194"/>
    </row>
    <row r="1137" customHeight="1" spans="1:6">
      <c r="A1137" s="9" t="s">
        <v>3971</v>
      </c>
      <c r="B1137" s="201" t="s">
        <v>3972</v>
      </c>
      <c r="C1137" s="202" t="s">
        <v>3973</v>
      </c>
      <c r="D1137" s="154" t="s">
        <v>3974</v>
      </c>
      <c r="E1137" s="154" t="s">
        <v>243</v>
      </c>
      <c r="F1137" s="180"/>
    </row>
    <row r="1138" customHeight="1" spans="1:6">
      <c r="A1138" s="9" t="s">
        <v>3975</v>
      </c>
      <c r="B1138" s="200" t="s">
        <v>3976</v>
      </c>
      <c r="C1138" s="236" t="s">
        <v>3977</v>
      </c>
      <c r="D1138" s="194" t="s">
        <v>3978</v>
      </c>
      <c r="E1138" s="154" t="s">
        <v>104</v>
      </c>
      <c r="F1138" s="191"/>
    </row>
    <row r="1139" customHeight="1" spans="1:6">
      <c r="A1139" s="9" t="s">
        <v>3979</v>
      </c>
      <c r="B1139" s="194" t="s">
        <v>3980</v>
      </c>
      <c r="C1139" s="192" t="s">
        <v>3981</v>
      </c>
      <c r="D1139" s="194"/>
      <c r="E1139" s="194" t="s">
        <v>273</v>
      </c>
      <c r="F1139" s="194"/>
    </row>
    <row r="1140" customHeight="1" spans="1:6">
      <c r="A1140" s="9" t="s">
        <v>3982</v>
      </c>
      <c r="B1140" s="215" t="s">
        <v>3983</v>
      </c>
      <c r="C1140" s="205" t="s">
        <v>3984</v>
      </c>
      <c r="D1140" s="227" t="s">
        <v>3985</v>
      </c>
      <c r="E1140" s="193" t="s">
        <v>120</v>
      </c>
      <c r="F1140" s="216" t="s">
        <v>3986</v>
      </c>
    </row>
    <row r="1141" customHeight="1" spans="1:6">
      <c r="A1141" s="9" t="s">
        <v>3987</v>
      </c>
      <c r="B1141" s="214" t="s">
        <v>3988</v>
      </c>
      <c r="C1141" s="214" t="s">
        <v>3989</v>
      </c>
      <c r="D1141" s="194"/>
      <c r="E1141" s="204" t="s">
        <v>92</v>
      </c>
      <c r="F1141" s="204"/>
    </row>
    <row r="1142" customHeight="1" spans="1:6">
      <c r="A1142" s="9" t="s">
        <v>3990</v>
      </c>
      <c r="B1142" s="153" t="s">
        <v>3991</v>
      </c>
      <c r="C1142" s="202" t="s">
        <v>3992</v>
      </c>
      <c r="D1142" s="158">
        <v>933237068</v>
      </c>
      <c r="E1142" s="158" t="s">
        <v>32</v>
      </c>
      <c r="F1142" s="153"/>
    </row>
    <row r="1143" customHeight="1" spans="1:6">
      <c r="A1143" s="9" t="s">
        <v>3993</v>
      </c>
      <c r="B1143" s="223" t="s">
        <v>3994</v>
      </c>
      <c r="C1143" s="223" t="s">
        <v>3995</v>
      </c>
      <c r="D1143" s="204" t="s">
        <v>3996</v>
      </c>
      <c r="E1143" s="204" t="s">
        <v>92</v>
      </c>
      <c r="F1143" s="204"/>
    </row>
    <row r="1144" customHeight="1" spans="1:6">
      <c r="A1144" s="9" t="s">
        <v>3997</v>
      </c>
      <c r="B1144" s="195" t="s">
        <v>3998</v>
      </c>
      <c r="C1144" s="202" t="s">
        <v>3999</v>
      </c>
      <c r="D1144" s="152" t="s">
        <v>4000</v>
      </c>
      <c r="E1144" s="154" t="s">
        <v>181</v>
      </c>
      <c r="F1144" s="180"/>
    </row>
    <row r="1145" customHeight="1" spans="1:6">
      <c r="A1145" s="9" t="s">
        <v>4001</v>
      </c>
      <c r="B1145" s="200" t="s">
        <v>4002</v>
      </c>
      <c r="C1145" s="236" t="s">
        <v>4003</v>
      </c>
      <c r="D1145" s="194"/>
      <c r="E1145" s="193" t="s">
        <v>216</v>
      </c>
      <c r="F1145" s="191"/>
    </row>
    <row r="1146" customHeight="1" spans="1:6">
      <c r="A1146" s="9" t="s">
        <v>4004</v>
      </c>
      <c r="B1146" s="238" t="s">
        <v>4005</v>
      </c>
      <c r="C1146" s="202" t="s">
        <v>4006</v>
      </c>
      <c r="D1146" s="154"/>
      <c r="E1146" s="210" t="s">
        <v>104</v>
      </c>
      <c r="F1146" s="211"/>
    </row>
    <row r="1147" customHeight="1" spans="1:6">
      <c r="A1147" s="9" t="s">
        <v>4007</v>
      </c>
      <c r="B1147" s="214" t="s">
        <v>4008</v>
      </c>
      <c r="C1147" s="214" t="s">
        <v>4009</v>
      </c>
      <c r="D1147" s="194"/>
      <c r="E1147" s="204" t="s">
        <v>92</v>
      </c>
      <c r="F1147" s="204"/>
    </row>
    <row r="1148" customHeight="1" spans="1:6">
      <c r="A1148" s="9" t="s">
        <v>4010</v>
      </c>
      <c r="B1148" s="153" t="s">
        <v>4011</v>
      </c>
      <c r="C1148" s="202" t="s">
        <v>4012</v>
      </c>
      <c r="D1148" s="154"/>
      <c r="E1148" s="154" t="s">
        <v>104</v>
      </c>
      <c r="F1148" s="180"/>
    </row>
    <row r="1149" customHeight="1" spans="1:6">
      <c r="A1149" s="9" t="s">
        <v>4013</v>
      </c>
      <c r="B1149" s="200" t="s">
        <v>4014</v>
      </c>
      <c r="C1149" s="203" t="s">
        <v>4015</v>
      </c>
      <c r="D1149" s="194"/>
      <c r="E1149" s="194" t="s">
        <v>273</v>
      </c>
      <c r="F1149" s="194"/>
    </row>
    <row r="1150" customHeight="1" spans="1:6">
      <c r="A1150" s="9" t="s">
        <v>4016</v>
      </c>
      <c r="B1150" s="194" t="s">
        <v>4017</v>
      </c>
      <c r="C1150" s="203" t="s">
        <v>4018</v>
      </c>
      <c r="D1150" s="197"/>
      <c r="E1150" s="197" t="s">
        <v>253</v>
      </c>
      <c r="F1150" s="197"/>
    </row>
    <row r="1151" customHeight="1" spans="1:6">
      <c r="A1151" s="9" t="s">
        <v>4019</v>
      </c>
      <c r="B1151" s="201" t="s">
        <v>4020</v>
      </c>
      <c r="C1151" s="202" t="s">
        <v>4021</v>
      </c>
      <c r="D1151" s="154" t="s">
        <v>4022</v>
      </c>
      <c r="E1151" s="154" t="s">
        <v>58</v>
      </c>
      <c r="F1151" s="180"/>
    </row>
    <row r="1152" customHeight="1" spans="1:6">
      <c r="A1152" s="9" t="s">
        <v>4023</v>
      </c>
      <c r="B1152" s="200" t="s">
        <v>4024</v>
      </c>
      <c r="C1152" s="203" t="s">
        <v>4025</v>
      </c>
      <c r="D1152" s="194"/>
      <c r="E1152" s="194" t="s">
        <v>273</v>
      </c>
      <c r="F1152" s="194"/>
    </row>
    <row r="1153" customHeight="1" spans="1:6">
      <c r="A1153" s="9" t="s">
        <v>4026</v>
      </c>
      <c r="B1153" s="214" t="s">
        <v>4027</v>
      </c>
      <c r="C1153" s="214" t="s">
        <v>4028</v>
      </c>
      <c r="D1153" s="194"/>
      <c r="E1153" s="204" t="s">
        <v>92</v>
      </c>
      <c r="F1153" s="204"/>
    </row>
    <row r="1154" customHeight="1" spans="1:6">
      <c r="A1154" s="9" t="s">
        <v>4029</v>
      </c>
      <c r="B1154" s="201" t="s">
        <v>4030</v>
      </c>
      <c r="C1154" s="202" t="s">
        <v>4031</v>
      </c>
      <c r="D1154" s="153"/>
      <c r="E1154" s="180" t="s">
        <v>104</v>
      </c>
      <c r="F1154" s="180"/>
    </row>
    <row r="1155" customHeight="1" spans="1:6">
      <c r="A1155" s="9" t="s">
        <v>4032</v>
      </c>
      <c r="B1155" s="195" t="s">
        <v>4033</v>
      </c>
      <c r="C1155" s="202" t="s">
        <v>4034</v>
      </c>
      <c r="D1155" s="152"/>
      <c r="E1155" s="154"/>
      <c r="F1155" s="180"/>
    </row>
    <row r="1156" customHeight="1" spans="1:6">
      <c r="A1156" s="9" t="s">
        <v>4035</v>
      </c>
      <c r="B1156" s="201" t="s">
        <v>4036</v>
      </c>
      <c r="C1156" s="202" t="s">
        <v>4037</v>
      </c>
      <c r="D1156" s="154"/>
      <c r="E1156" s="154" t="s">
        <v>1395</v>
      </c>
      <c r="F1156" s="180"/>
    </row>
    <row r="1157" customHeight="1" spans="1:6">
      <c r="A1157" s="9" t="s">
        <v>4038</v>
      </c>
      <c r="B1157" s="200" t="s">
        <v>4039</v>
      </c>
      <c r="C1157" s="202" t="s">
        <v>4040</v>
      </c>
      <c r="D1157" s="152"/>
      <c r="E1157" s="154" t="s">
        <v>232</v>
      </c>
      <c r="F1157" s="180"/>
    </row>
    <row r="1158" customHeight="1" spans="1:6">
      <c r="A1158" s="9" t="s">
        <v>4041</v>
      </c>
      <c r="B1158" s="194" t="s">
        <v>4042</v>
      </c>
      <c r="C1158" s="202" t="s">
        <v>4043</v>
      </c>
      <c r="D1158" s="158"/>
      <c r="E1158" s="154" t="s">
        <v>243</v>
      </c>
      <c r="F1158" s="250"/>
    </row>
    <row r="1159" customHeight="1" spans="1:6">
      <c r="A1159" s="9" t="s">
        <v>4044</v>
      </c>
      <c r="B1159" s="180" t="s">
        <v>4045</v>
      </c>
      <c r="C1159" s="243" t="s">
        <v>3618</v>
      </c>
      <c r="D1159" s="154">
        <v>948264968</v>
      </c>
      <c r="E1159" s="158" t="s">
        <v>968</v>
      </c>
      <c r="F1159" s="153"/>
    </row>
    <row r="1160" customHeight="1" spans="1:6">
      <c r="A1160" s="9" t="s">
        <v>4046</v>
      </c>
      <c r="B1160" s="201" t="s">
        <v>4047</v>
      </c>
      <c r="C1160" s="202" t="s">
        <v>4048</v>
      </c>
      <c r="D1160" s="154" t="s">
        <v>4049</v>
      </c>
      <c r="E1160" s="154" t="s">
        <v>243</v>
      </c>
      <c r="F1160" s="180"/>
    </row>
    <row r="1161" customHeight="1" spans="1:6">
      <c r="A1161" s="9" t="s">
        <v>4050</v>
      </c>
      <c r="B1161" s="276" t="str">
        <f>IFERROR(__xludf.DUMMYFUNCTION("""COMPUTED_VALUE"""),"Adisu Aramde delelu")</f>
        <v>Adisu Aramde delelu</v>
      </c>
      <c r="C1161" s="276" t="str">
        <f>IFERROR(__xludf.DUMMYFUNCTION("""COMPUTED_VALUE"""),"አዲሱ አራምዴ ደለሉ")</f>
        <v>አዲሱ አራምዴ ደለሉ</v>
      </c>
      <c r="D1161" s="276" t="str">
        <f>IFERROR(__xludf.DUMMYFUNCTION("""COMPUTED_VALUE"""),"0980-223753")</f>
        <v>0980-223753</v>
      </c>
      <c r="E1161" s="276" t="str">
        <f>IFERROR(__xludf.DUMMYFUNCTION("""COMPUTED_VALUE"""),"Addis Ababa")</f>
        <v>Addis Ababa</v>
      </c>
      <c r="F1161" s="276"/>
    </row>
    <row r="1162" customHeight="1" spans="1:6">
      <c r="A1162" s="9" t="s">
        <v>4051</v>
      </c>
      <c r="B1162" s="153" t="s">
        <v>4052</v>
      </c>
      <c r="C1162" s="202" t="s">
        <v>4053</v>
      </c>
      <c r="D1162" s="154" t="s">
        <v>4054</v>
      </c>
      <c r="E1162" s="154" t="s">
        <v>243</v>
      </c>
      <c r="F1162" s="180"/>
    </row>
    <row r="1163" customHeight="1" spans="1:6">
      <c r="A1163" s="9" t="s">
        <v>4055</v>
      </c>
      <c r="B1163" s="201" t="s">
        <v>4056</v>
      </c>
      <c r="C1163" s="202" t="s">
        <v>4057</v>
      </c>
      <c r="D1163" s="154" t="s">
        <v>4058</v>
      </c>
      <c r="E1163" s="154" t="s">
        <v>243</v>
      </c>
      <c r="F1163" s="180"/>
    </row>
    <row r="1164" customHeight="1" spans="1:6">
      <c r="A1164" s="9" t="s">
        <v>4059</v>
      </c>
      <c r="B1164" s="214" t="s">
        <v>4060</v>
      </c>
      <c r="C1164" s="214" t="s">
        <v>4061</v>
      </c>
      <c r="D1164" s="194"/>
      <c r="E1164" s="204" t="s">
        <v>92</v>
      </c>
      <c r="F1164" s="204"/>
    </row>
    <row r="1165" customHeight="1" spans="1:6">
      <c r="A1165" s="9" t="s">
        <v>4062</v>
      </c>
      <c r="B1165" s="195" t="s">
        <v>4063</v>
      </c>
      <c r="C1165" s="202" t="s">
        <v>4064</v>
      </c>
      <c r="D1165" s="152" t="s">
        <v>4065</v>
      </c>
      <c r="E1165" s="154" t="s">
        <v>104</v>
      </c>
      <c r="F1165" s="180"/>
    </row>
    <row r="1166" customHeight="1" spans="1:6">
      <c r="A1166" s="9" t="s">
        <v>4066</v>
      </c>
      <c r="B1166" s="200" t="s">
        <v>4067</v>
      </c>
      <c r="C1166" s="202" t="s">
        <v>4068</v>
      </c>
      <c r="D1166" s="152"/>
      <c r="E1166" s="210" t="s">
        <v>104</v>
      </c>
      <c r="F1166" s="180"/>
    </row>
    <row r="1167" customHeight="1" spans="1:6">
      <c r="A1167" s="9" t="s">
        <v>4069</v>
      </c>
      <c r="B1167" s="195" t="s">
        <v>4070</v>
      </c>
      <c r="C1167" s="213" t="s">
        <v>4071</v>
      </c>
      <c r="D1167" s="197"/>
      <c r="E1167" s="197" t="s">
        <v>1852</v>
      </c>
      <c r="F1167" s="197"/>
    </row>
    <row r="1168" customHeight="1" spans="1:6">
      <c r="A1168" s="9" t="s">
        <v>4072</v>
      </c>
      <c r="B1168" s="201" t="s">
        <v>4073</v>
      </c>
      <c r="C1168" s="202" t="s">
        <v>4074</v>
      </c>
      <c r="D1168" s="154"/>
      <c r="E1168" s="154" t="s">
        <v>243</v>
      </c>
      <c r="F1168" s="180"/>
    </row>
    <row r="1169" customHeight="1" spans="1:6">
      <c r="A1169" s="9" t="s">
        <v>4075</v>
      </c>
      <c r="B1169" s="201" t="s">
        <v>4076</v>
      </c>
      <c r="C1169" s="202" t="s">
        <v>4077</v>
      </c>
      <c r="D1169" s="154"/>
      <c r="E1169" s="154" t="s">
        <v>243</v>
      </c>
      <c r="F1169" s="180"/>
    </row>
    <row r="1170" customHeight="1" spans="1:6">
      <c r="A1170" s="9" t="s">
        <v>4078</v>
      </c>
      <c r="B1170" s="153" t="s">
        <v>4079</v>
      </c>
      <c r="C1170" s="202" t="s">
        <v>4080</v>
      </c>
      <c r="D1170" s="154"/>
      <c r="E1170" s="154" t="s">
        <v>243</v>
      </c>
      <c r="F1170" s="180"/>
    </row>
    <row r="1171" customHeight="1" spans="1:6">
      <c r="A1171" s="9" t="s">
        <v>4081</v>
      </c>
      <c r="B1171" s="197" t="s">
        <v>4082</v>
      </c>
      <c r="C1171" s="202" t="s">
        <v>4083</v>
      </c>
      <c r="D1171" s="248">
        <v>918483660</v>
      </c>
      <c r="E1171" s="154" t="s">
        <v>104</v>
      </c>
      <c r="F1171" s="180"/>
    </row>
    <row r="1172" customHeight="1" spans="1:6">
      <c r="A1172" s="9" t="s">
        <v>4084</v>
      </c>
      <c r="B1172" s="195" t="s">
        <v>4085</v>
      </c>
      <c r="C1172" s="202" t="s">
        <v>4086</v>
      </c>
      <c r="D1172" s="152"/>
      <c r="E1172" s="154" t="s">
        <v>181</v>
      </c>
      <c r="F1172" s="180"/>
    </row>
    <row r="1173" customHeight="1" spans="1:6">
      <c r="A1173" s="9" t="s">
        <v>4087</v>
      </c>
      <c r="B1173" s="200" t="s">
        <v>4088</v>
      </c>
      <c r="C1173" s="192" t="s">
        <v>4089</v>
      </c>
      <c r="D1173" s="194"/>
      <c r="E1173" s="194" t="s">
        <v>104</v>
      </c>
      <c r="F1173" s="194"/>
    </row>
    <row r="1174" customHeight="1" spans="1:6">
      <c r="A1174" s="9" t="s">
        <v>4090</v>
      </c>
      <c r="B1174" s="201" t="s">
        <v>4091</v>
      </c>
      <c r="C1174" s="202" t="s">
        <v>4092</v>
      </c>
      <c r="D1174" s="154" t="s">
        <v>4093</v>
      </c>
      <c r="E1174" s="154" t="s">
        <v>1395</v>
      </c>
      <c r="F1174" s="180"/>
    </row>
    <row r="1175" customHeight="1" spans="1:6">
      <c r="A1175" s="9" t="s">
        <v>4094</v>
      </c>
      <c r="B1175" s="194" t="s">
        <v>4095</v>
      </c>
      <c r="C1175" s="203" t="s">
        <v>4096</v>
      </c>
      <c r="D1175" s="197"/>
      <c r="E1175" s="197" t="s">
        <v>253</v>
      </c>
      <c r="F1175" s="197"/>
    </row>
    <row r="1176" customHeight="1" spans="1:6">
      <c r="A1176" s="9" t="s">
        <v>4097</v>
      </c>
      <c r="B1176" s="201" t="s">
        <v>4098</v>
      </c>
      <c r="C1176" s="202" t="s">
        <v>4099</v>
      </c>
      <c r="D1176" s="154" t="s">
        <v>4100</v>
      </c>
      <c r="E1176" s="154" t="s">
        <v>243</v>
      </c>
      <c r="F1176" s="180"/>
    </row>
    <row r="1177" customHeight="1" spans="1:6">
      <c r="A1177" s="9" t="s">
        <v>4101</v>
      </c>
      <c r="B1177" s="197" t="s">
        <v>4102</v>
      </c>
      <c r="C1177" s="202" t="s">
        <v>4103</v>
      </c>
      <c r="D1177" s="158">
        <v>923227662</v>
      </c>
      <c r="E1177" s="158" t="s">
        <v>216</v>
      </c>
      <c r="F1177" s="153"/>
    </row>
    <row r="1178" customHeight="1" spans="1:6">
      <c r="A1178" s="9" t="s">
        <v>4104</v>
      </c>
      <c r="B1178" s="194" t="s">
        <v>4105</v>
      </c>
      <c r="C1178" s="203" t="s">
        <v>4106</v>
      </c>
      <c r="D1178" s="197"/>
      <c r="E1178" s="197" t="s">
        <v>253</v>
      </c>
      <c r="F1178" s="197"/>
    </row>
    <row r="1179" customHeight="1" spans="1:6">
      <c r="A1179" s="9" t="s">
        <v>4107</v>
      </c>
      <c r="B1179" s="260" t="s">
        <v>4108</v>
      </c>
      <c r="C1179" s="243" t="s">
        <v>4109</v>
      </c>
      <c r="D1179" s="154">
        <v>906739915</v>
      </c>
      <c r="E1179" s="158" t="s">
        <v>243</v>
      </c>
      <c r="F1179" s="153"/>
    </row>
    <row r="1180" customHeight="1" spans="1:6">
      <c r="A1180" s="9" t="s">
        <v>4110</v>
      </c>
      <c r="B1180" s="214" t="s">
        <v>4111</v>
      </c>
      <c r="C1180" s="214" t="s">
        <v>4112</v>
      </c>
      <c r="D1180" s="194"/>
      <c r="E1180" s="204" t="s">
        <v>92</v>
      </c>
      <c r="F1180" s="204"/>
    </row>
    <row r="1181" customHeight="1" spans="1:6">
      <c r="A1181" s="9" t="s">
        <v>4113</v>
      </c>
      <c r="B1181" s="153" t="s">
        <v>4114</v>
      </c>
      <c r="C1181" s="202" t="s">
        <v>4115</v>
      </c>
      <c r="D1181" s="154"/>
      <c r="E1181" s="210" t="s">
        <v>104</v>
      </c>
      <c r="F1181" s="211"/>
    </row>
    <row r="1182" customHeight="1" spans="1:6">
      <c r="A1182" s="9" t="s">
        <v>4116</v>
      </c>
      <c r="B1182" s="214" t="s">
        <v>4117</v>
      </c>
      <c r="C1182" s="214" t="s">
        <v>4118</v>
      </c>
      <c r="D1182" s="194"/>
      <c r="E1182" s="204" t="s">
        <v>92</v>
      </c>
      <c r="F1182" s="204"/>
    </row>
    <row r="1183" customHeight="1" spans="1:6">
      <c r="A1183" s="9" t="s">
        <v>4119</v>
      </c>
      <c r="B1183" s="200" t="s">
        <v>4120</v>
      </c>
      <c r="C1183" s="192" t="s">
        <v>4121</v>
      </c>
      <c r="D1183" s="194"/>
      <c r="E1183" s="193" t="s">
        <v>216</v>
      </c>
      <c r="F1183" s="191"/>
    </row>
    <row r="1184" customHeight="1" spans="1:6">
      <c r="A1184" s="9" t="s">
        <v>4122</v>
      </c>
      <c r="B1184" s="195" t="s">
        <v>4123</v>
      </c>
      <c r="C1184" s="212" t="s">
        <v>4124</v>
      </c>
      <c r="D1184" s="197"/>
      <c r="E1184" s="198" t="s">
        <v>216</v>
      </c>
      <c r="F1184" s="199"/>
    </row>
    <row r="1185" customHeight="1" spans="1:6">
      <c r="A1185" s="9" t="s">
        <v>4125</v>
      </c>
      <c r="B1185" s="223" t="s">
        <v>4126</v>
      </c>
      <c r="C1185" s="223" t="s">
        <v>4127</v>
      </c>
      <c r="D1185" s="204" t="s">
        <v>4128</v>
      </c>
      <c r="E1185" s="204" t="s">
        <v>92</v>
      </c>
      <c r="F1185" s="204"/>
    </row>
    <row r="1186" customHeight="1" spans="1:6">
      <c r="A1186" s="9" t="s">
        <v>4129</v>
      </c>
      <c r="B1186" s="256" t="s">
        <v>4130</v>
      </c>
      <c r="C1186" s="256" t="s">
        <v>4131</v>
      </c>
      <c r="D1186" s="194"/>
      <c r="E1186" s="204" t="s">
        <v>92</v>
      </c>
      <c r="F1186" s="204"/>
    </row>
    <row r="1187" customHeight="1" spans="1:6">
      <c r="A1187" s="9" t="s">
        <v>4132</v>
      </c>
      <c r="B1187" s="158" t="s">
        <v>4133</v>
      </c>
      <c r="C1187" s="202" t="s">
        <v>4134</v>
      </c>
      <c r="D1187" s="158" t="s">
        <v>4135</v>
      </c>
      <c r="E1187" s="154" t="s">
        <v>211</v>
      </c>
      <c r="F1187" s="180"/>
    </row>
    <row r="1188" customHeight="1" spans="1:6">
      <c r="A1188" s="9" t="s">
        <v>4136</v>
      </c>
      <c r="B1188" s="200" t="s">
        <v>4137</v>
      </c>
      <c r="C1188" s="202" t="s">
        <v>4138</v>
      </c>
      <c r="D1188" s="158"/>
      <c r="E1188" s="154" t="s">
        <v>310</v>
      </c>
      <c r="F1188" s="180"/>
    </row>
    <row r="1189" customHeight="1" spans="1:6">
      <c r="A1189" s="9" t="s">
        <v>4139</v>
      </c>
      <c r="B1189" s="153" t="s">
        <v>4140</v>
      </c>
      <c r="C1189" s="202" t="s">
        <v>4141</v>
      </c>
      <c r="D1189" s="154" t="s">
        <v>4142</v>
      </c>
      <c r="E1189" s="154" t="s">
        <v>243</v>
      </c>
      <c r="F1189" s="180"/>
    </row>
    <row r="1190" customHeight="1" spans="1:6">
      <c r="A1190" s="9" t="s">
        <v>4143</v>
      </c>
      <c r="B1190" s="195" t="s">
        <v>4144</v>
      </c>
      <c r="C1190" s="202" t="s">
        <v>4145</v>
      </c>
      <c r="D1190" s="158" t="s">
        <v>4146</v>
      </c>
      <c r="E1190" s="154" t="s">
        <v>253</v>
      </c>
      <c r="F1190" s="180"/>
    </row>
    <row r="1191" customHeight="1" spans="1:6">
      <c r="A1191" s="9" t="s">
        <v>4147</v>
      </c>
      <c r="B1191" s="201" t="s">
        <v>4148</v>
      </c>
      <c r="C1191" s="202" t="s">
        <v>4149</v>
      </c>
      <c r="D1191" s="154" t="s">
        <v>4150</v>
      </c>
      <c r="E1191" s="154" t="s">
        <v>243</v>
      </c>
      <c r="F1191" s="180"/>
    </row>
    <row r="1192" customHeight="1" spans="1:6">
      <c r="A1192" s="9" t="s">
        <v>4151</v>
      </c>
      <c r="B1192" s="220" t="str">
        <f>IFERROR(__xludf.DUMMYFUNCTION("""COMPUTED_VALUE"""),"Admasu Dula Mela /Ato")</f>
        <v>Admasu Dula Mela /Ato</v>
      </c>
      <c r="C1192" s="220" t="str">
        <f>IFERROR(__xludf.DUMMYFUNCTION("""COMPUTED_VALUE"""),"አድማሱ ዱላ መላ /አቶ")</f>
        <v>አድማሱ ዱላ መላ /አቶ</v>
      </c>
      <c r="D1192" s="220" t="str">
        <f>IFERROR(__xludf.DUMMYFUNCTION("""COMPUTED_VALUE"""),"911451731")</f>
        <v>911451731</v>
      </c>
      <c r="E1192" s="220" t="str">
        <f>IFERROR(__xludf.DUMMYFUNCTION("""COMPUTED_VALUE"""),"addis abeba")</f>
        <v>addis abeba</v>
      </c>
      <c r="F1192" s="220"/>
    </row>
    <row r="1193" customHeight="1" spans="1:6">
      <c r="A1193" s="9" t="s">
        <v>4152</v>
      </c>
      <c r="B1193" s="200" t="s">
        <v>4153</v>
      </c>
      <c r="C1193" s="202" t="s">
        <v>4154</v>
      </c>
      <c r="D1193" s="154">
        <v>947858529</v>
      </c>
      <c r="E1193" s="154" t="s">
        <v>1281</v>
      </c>
      <c r="F1193" s="180"/>
    </row>
    <row r="1194" customHeight="1" spans="1:6">
      <c r="A1194" s="9" t="s">
        <v>4155</v>
      </c>
      <c r="B1194" s="200" t="s">
        <v>4156</v>
      </c>
      <c r="C1194" s="202" t="s">
        <v>4157</v>
      </c>
      <c r="D1194" s="152"/>
      <c r="E1194" s="154" t="s">
        <v>232</v>
      </c>
      <c r="F1194" s="180"/>
    </row>
    <row r="1195" customHeight="1" spans="1:6">
      <c r="A1195" s="9" t="s">
        <v>4158</v>
      </c>
      <c r="B1195" s="214" t="s">
        <v>4159</v>
      </c>
      <c r="C1195" s="214" t="s">
        <v>4160</v>
      </c>
      <c r="D1195" s="194"/>
      <c r="E1195" s="204" t="s">
        <v>92</v>
      </c>
      <c r="F1195" s="204"/>
    </row>
    <row r="1196" customHeight="1" spans="1:6">
      <c r="A1196" s="9" t="s">
        <v>4161</v>
      </c>
      <c r="B1196" s="200" t="s">
        <v>4162</v>
      </c>
      <c r="C1196" s="202" t="s">
        <v>4163</v>
      </c>
      <c r="D1196" s="154">
        <v>932557194</v>
      </c>
      <c r="E1196" s="210" t="s">
        <v>211</v>
      </c>
      <c r="F1196" s="211"/>
    </row>
    <row r="1197" customHeight="1" spans="1:6">
      <c r="A1197" s="9" t="s">
        <v>4164</v>
      </c>
      <c r="B1197" s="214" t="s">
        <v>4165</v>
      </c>
      <c r="C1197" s="214" t="s">
        <v>4166</v>
      </c>
      <c r="D1197" s="194"/>
      <c r="E1197" s="204" t="s">
        <v>92</v>
      </c>
      <c r="F1197" s="204"/>
    </row>
    <row r="1198" customHeight="1" spans="1:6">
      <c r="A1198" s="9" t="s">
        <v>4167</v>
      </c>
      <c r="B1198" s="201" t="s">
        <v>4168</v>
      </c>
      <c r="C1198" s="202" t="s">
        <v>4169</v>
      </c>
      <c r="D1198" s="154" t="s">
        <v>4170</v>
      </c>
      <c r="E1198" s="154" t="s">
        <v>58</v>
      </c>
      <c r="F1198" s="180"/>
    </row>
    <row r="1199" customHeight="1" spans="1:6">
      <c r="A1199" s="9" t="s">
        <v>4171</v>
      </c>
      <c r="B1199" s="195" t="s">
        <v>4172</v>
      </c>
      <c r="C1199" s="202" t="s">
        <v>4173</v>
      </c>
      <c r="D1199" s="158" t="s">
        <v>4174</v>
      </c>
      <c r="E1199" s="154" t="s">
        <v>310</v>
      </c>
      <c r="F1199" s="180"/>
    </row>
    <row r="1200" customHeight="1" spans="1:6">
      <c r="A1200" s="9" t="s">
        <v>4175</v>
      </c>
      <c r="B1200" s="201" t="s">
        <v>4176</v>
      </c>
      <c r="C1200" s="202" t="s">
        <v>4177</v>
      </c>
      <c r="D1200" s="154" t="s">
        <v>4178</v>
      </c>
      <c r="E1200" s="154" t="s">
        <v>243</v>
      </c>
      <c r="F1200" s="180"/>
    </row>
    <row r="1201" customHeight="1" spans="1:6">
      <c r="A1201" s="9" t="s">
        <v>4179</v>
      </c>
      <c r="B1201" s="158" t="s">
        <v>4180</v>
      </c>
      <c r="C1201" s="202" t="s">
        <v>4181</v>
      </c>
      <c r="D1201" s="158">
        <v>916865906</v>
      </c>
      <c r="E1201" s="154" t="s">
        <v>211</v>
      </c>
      <c r="F1201" s="180"/>
    </row>
    <row r="1202" customHeight="1" spans="1:6">
      <c r="A1202" s="9" t="s">
        <v>4182</v>
      </c>
      <c r="B1202" s="219" t="s">
        <v>4183</v>
      </c>
      <c r="C1202" s="219" t="s">
        <v>4184</v>
      </c>
      <c r="D1202" s="194"/>
      <c r="E1202" s="204" t="s">
        <v>92</v>
      </c>
      <c r="F1202" s="204"/>
    </row>
    <row r="1203" customHeight="1" spans="1:6">
      <c r="A1203" s="9" t="s">
        <v>4185</v>
      </c>
      <c r="B1203" s="160" t="s">
        <v>4186</v>
      </c>
      <c r="C1203" s="160" t="s">
        <v>4187</v>
      </c>
      <c r="D1203" s="204" t="s">
        <v>4188</v>
      </c>
      <c r="E1203" s="204" t="s">
        <v>92</v>
      </c>
      <c r="F1203" s="204"/>
    </row>
    <row r="1204" customHeight="1" spans="1:6">
      <c r="A1204" s="9" t="s">
        <v>4189</v>
      </c>
      <c r="B1204" s="278" t="s">
        <v>4190</v>
      </c>
      <c r="C1204" s="278" t="s">
        <v>4191</v>
      </c>
      <c r="D1204" s="279"/>
      <c r="E1204" s="240" t="s">
        <v>92</v>
      </c>
      <c r="F1204" s="240"/>
    </row>
    <row r="1205" customHeight="1" spans="1:6">
      <c r="A1205" s="9" t="s">
        <v>4192</v>
      </c>
      <c r="B1205" s="200" t="s">
        <v>4193</v>
      </c>
      <c r="C1205" s="236" t="s">
        <v>4194</v>
      </c>
      <c r="D1205" s="194"/>
      <c r="E1205" s="193" t="s">
        <v>436</v>
      </c>
      <c r="F1205" s="191"/>
    </row>
    <row r="1206" customHeight="1" spans="1:6">
      <c r="A1206" s="9" t="s">
        <v>4195</v>
      </c>
      <c r="B1206" s="195" t="s">
        <v>4196</v>
      </c>
      <c r="C1206" s="196" t="s">
        <v>4197</v>
      </c>
      <c r="D1206" s="197"/>
      <c r="E1206" s="197" t="s">
        <v>243</v>
      </c>
      <c r="F1206" s="197"/>
    </row>
    <row r="1207" customHeight="1" spans="1:6">
      <c r="A1207" s="9" t="s">
        <v>4198</v>
      </c>
      <c r="B1207" s="194" t="s">
        <v>4199</v>
      </c>
      <c r="C1207" s="202" t="s">
        <v>4200</v>
      </c>
      <c r="D1207" s="158"/>
      <c r="E1207" s="154" t="s">
        <v>104</v>
      </c>
      <c r="F1207" s="180"/>
    </row>
    <row r="1208" customHeight="1" spans="1:6">
      <c r="A1208" s="9" t="s">
        <v>4201</v>
      </c>
      <c r="B1208" s="201" t="s">
        <v>4202</v>
      </c>
      <c r="C1208" s="202" t="s">
        <v>4203</v>
      </c>
      <c r="D1208" s="154"/>
      <c r="E1208" s="154" t="s">
        <v>58</v>
      </c>
      <c r="F1208" s="180"/>
    </row>
    <row r="1209" customHeight="1" spans="1:6">
      <c r="A1209" s="9" t="s">
        <v>4204</v>
      </c>
      <c r="B1209" s="180" t="s">
        <v>4205</v>
      </c>
      <c r="C1209" s="192" t="s">
        <v>4206</v>
      </c>
      <c r="D1209" s="193" t="s">
        <v>4207</v>
      </c>
      <c r="E1209" s="194" t="s">
        <v>181</v>
      </c>
      <c r="F1209" s="194"/>
    </row>
    <row r="1210" customHeight="1" spans="1:6">
      <c r="A1210" s="9" t="s">
        <v>4208</v>
      </c>
      <c r="B1210" s="205" t="s">
        <v>4209</v>
      </c>
      <c r="C1210" s="205" t="s">
        <v>4210</v>
      </c>
      <c r="D1210" s="206" t="s">
        <v>4211</v>
      </c>
      <c r="E1210" s="193" t="s">
        <v>120</v>
      </c>
      <c r="F1210" s="221" t="s">
        <v>4212</v>
      </c>
    </row>
    <row r="1211" customHeight="1" spans="1:6">
      <c r="A1211" s="9" t="s">
        <v>4213</v>
      </c>
      <c r="B1211" s="200" t="s">
        <v>4214</v>
      </c>
      <c r="C1211" s="192" t="s">
        <v>4215</v>
      </c>
      <c r="D1211" s="194" t="s">
        <v>4216</v>
      </c>
      <c r="E1211" s="194" t="s">
        <v>310</v>
      </c>
      <c r="F1211" s="194"/>
    </row>
    <row r="1212" customHeight="1" spans="1:6">
      <c r="A1212" s="9" t="s">
        <v>4217</v>
      </c>
      <c r="B1212" s="195" t="s">
        <v>4218</v>
      </c>
      <c r="C1212" s="202" t="s">
        <v>4219</v>
      </c>
      <c r="D1212" s="152"/>
      <c r="E1212" s="154"/>
      <c r="F1212" s="180"/>
    </row>
    <row r="1213" customHeight="1" spans="1:6">
      <c r="A1213" s="9" t="s">
        <v>4220</v>
      </c>
      <c r="B1213" s="200" t="s">
        <v>4221</v>
      </c>
      <c r="C1213" s="202" t="s">
        <v>4222</v>
      </c>
      <c r="D1213" s="152"/>
      <c r="E1213" s="154" t="s">
        <v>232</v>
      </c>
      <c r="F1213" s="180"/>
    </row>
    <row r="1214" customHeight="1" spans="1:6">
      <c r="A1214" s="9" t="s">
        <v>4223</v>
      </c>
      <c r="B1214" s="200" t="s">
        <v>4224</v>
      </c>
      <c r="C1214" s="202" t="s">
        <v>4225</v>
      </c>
      <c r="D1214" s="152"/>
      <c r="E1214" s="154"/>
      <c r="F1214" s="180"/>
    </row>
    <row r="1215" customHeight="1" spans="1:6">
      <c r="A1215" s="9" t="s">
        <v>4226</v>
      </c>
      <c r="B1215" s="200" t="s">
        <v>4227</v>
      </c>
      <c r="C1215" s="202" t="s">
        <v>4228</v>
      </c>
      <c r="D1215" s="152" t="s">
        <v>4229</v>
      </c>
      <c r="E1215" s="154" t="s">
        <v>232</v>
      </c>
      <c r="F1215" s="180"/>
    </row>
    <row r="1216" customHeight="1" spans="1:6">
      <c r="A1216" s="9" t="s">
        <v>4230</v>
      </c>
      <c r="B1216" s="205" t="s">
        <v>4231</v>
      </c>
      <c r="C1216" s="205" t="s">
        <v>4232</v>
      </c>
      <c r="D1216" s="206" t="s">
        <v>4233</v>
      </c>
      <c r="E1216" s="193" t="s">
        <v>120</v>
      </c>
      <c r="F1216" s="207"/>
    </row>
    <row r="1217" customHeight="1" spans="1:6">
      <c r="A1217" s="9" t="s">
        <v>4234</v>
      </c>
      <c r="B1217" s="200" t="s">
        <v>4235</v>
      </c>
      <c r="C1217" s="246" t="s">
        <v>4236</v>
      </c>
      <c r="D1217" s="194"/>
      <c r="E1217" s="194" t="s">
        <v>202</v>
      </c>
      <c r="F1217" s="194"/>
    </row>
    <row r="1218" customHeight="1" spans="1:6">
      <c r="A1218" s="9" t="s">
        <v>4237</v>
      </c>
      <c r="B1218" s="195" t="s">
        <v>4238</v>
      </c>
      <c r="C1218" s="202" t="s">
        <v>4239</v>
      </c>
      <c r="D1218" s="152"/>
      <c r="E1218" s="154" t="s">
        <v>232</v>
      </c>
      <c r="F1218" s="180"/>
    </row>
    <row r="1219" customHeight="1" spans="1:6">
      <c r="A1219" s="9" t="s">
        <v>4240</v>
      </c>
      <c r="B1219" s="195" t="s">
        <v>4241</v>
      </c>
      <c r="C1219" s="196" t="s">
        <v>4242</v>
      </c>
      <c r="D1219" s="197"/>
      <c r="E1219" s="198" t="s">
        <v>202</v>
      </c>
      <c r="F1219" s="199"/>
    </row>
    <row r="1220" customHeight="1" spans="1:6">
      <c r="A1220" s="9" t="s">
        <v>4243</v>
      </c>
      <c r="B1220" s="195" t="s">
        <v>4244</v>
      </c>
      <c r="C1220" s="202" t="s">
        <v>4245</v>
      </c>
      <c r="D1220" s="154">
        <v>942857259</v>
      </c>
      <c r="E1220" s="154" t="s">
        <v>104</v>
      </c>
      <c r="F1220" s="180"/>
    </row>
    <row r="1221" customHeight="1" spans="1:6">
      <c r="A1221" s="9" t="s">
        <v>4246</v>
      </c>
      <c r="B1221" s="195" t="s">
        <v>4247</v>
      </c>
      <c r="C1221" s="202" t="s">
        <v>4248</v>
      </c>
      <c r="D1221" s="152" t="s">
        <v>4249</v>
      </c>
      <c r="E1221" s="154" t="s">
        <v>232</v>
      </c>
      <c r="F1221" s="180"/>
    </row>
    <row r="1222" customHeight="1" spans="1:6">
      <c r="A1222" s="9" t="s">
        <v>4250</v>
      </c>
      <c r="B1222" s="201" t="s">
        <v>4251</v>
      </c>
      <c r="C1222" s="202" t="s">
        <v>4252</v>
      </c>
      <c r="D1222" s="154" t="s">
        <v>4253</v>
      </c>
      <c r="E1222" s="154" t="s">
        <v>1395</v>
      </c>
      <c r="F1222" s="180"/>
    </row>
    <row r="1223" customHeight="1" spans="1:6">
      <c r="A1223" s="9" t="s">
        <v>4254</v>
      </c>
      <c r="B1223" s="153" t="s">
        <v>4255</v>
      </c>
      <c r="C1223" s="202" t="s">
        <v>4256</v>
      </c>
      <c r="D1223" s="154"/>
      <c r="E1223" s="154" t="s">
        <v>104</v>
      </c>
      <c r="F1223" s="180"/>
    </row>
    <row r="1224" customHeight="1" spans="1:6">
      <c r="A1224" s="9" t="s">
        <v>4257</v>
      </c>
      <c r="B1224" s="200" t="s">
        <v>4258</v>
      </c>
      <c r="C1224" s="246" t="s">
        <v>4259</v>
      </c>
      <c r="D1224" s="194"/>
      <c r="E1224" s="194" t="s">
        <v>202</v>
      </c>
      <c r="F1224" s="194"/>
    </row>
    <row r="1225" customHeight="1" spans="1:6">
      <c r="A1225" s="9" t="s">
        <v>4260</v>
      </c>
      <c r="B1225" s="195" t="s">
        <v>4261</v>
      </c>
      <c r="C1225" s="202" t="s">
        <v>4262</v>
      </c>
      <c r="D1225" s="152"/>
      <c r="E1225" s="154" t="s">
        <v>104</v>
      </c>
      <c r="F1225" s="180"/>
    </row>
    <row r="1226" customHeight="1" spans="1:6">
      <c r="A1226" s="9" t="s">
        <v>4263</v>
      </c>
      <c r="B1226" s="194" t="s">
        <v>4264</v>
      </c>
      <c r="C1226" s="192" t="s">
        <v>4265</v>
      </c>
      <c r="D1226" s="197"/>
      <c r="E1226" s="197" t="s">
        <v>202</v>
      </c>
      <c r="F1226" s="197"/>
    </row>
    <row r="1227" customHeight="1" spans="1:6">
      <c r="A1227" s="9" t="s">
        <v>4266</v>
      </c>
      <c r="B1227" s="195" t="s">
        <v>4267</v>
      </c>
      <c r="C1227" s="202" t="s">
        <v>4268</v>
      </c>
      <c r="D1227" s="152"/>
      <c r="E1227" s="154" t="s">
        <v>232</v>
      </c>
      <c r="F1227" s="180"/>
    </row>
    <row r="1228" customHeight="1" spans="1:6">
      <c r="A1228" s="9" t="s">
        <v>4269</v>
      </c>
      <c r="B1228" s="280" t="s">
        <v>4270</v>
      </c>
      <c r="C1228" s="202" t="s">
        <v>4271</v>
      </c>
      <c r="D1228" s="153">
        <v>948826974</v>
      </c>
      <c r="E1228" s="180" t="s">
        <v>104</v>
      </c>
      <c r="F1228" s="180"/>
    </row>
    <row r="1229" customHeight="1" spans="1:6">
      <c r="A1229" s="9" t="s">
        <v>4272</v>
      </c>
      <c r="B1229" s="223" t="s">
        <v>4273</v>
      </c>
      <c r="C1229" s="223" t="s">
        <v>4274</v>
      </c>
      <c r="D1229" s="204" t="s">
        <v>4275</v>
      </c>
      <c r="E1229" s="204" t="s">
        <v>92</v>
      </c>
      <c r="F1229" s="204"/>
    </row>
    <row r="1230" customHeight="1" spans="1:6">
      <c r="A1230" s="9" t="s">
        <v>4276</v>
      </c>
      <c r="B1230" s="222" t="str">
        <f>IFERROR(__xludf.DUMMYFUNCTION("""COMPUTED_VALUE"""),"Afendi Hassen Yusuf /Ato/")</f>
        <v>Afendi Hassen Yusuf /Ato/</v>
      </c>
      <c r="C1230" s="222" t="str">
        <f>IFERROR(__xludf.DUMMYFUNCTION("""COMPUTED_VALUE"""),"አፈንዲ ሀሰን የሱፍ /አቶ/")</f>
        <v>አፈንዲ ሀሰን የሱፍ /አቶ/</v>
      </c>
      <c r="D1230" s="222" t="str">
        <f>IFERROR(__xludf.DUMMYFUNCTION("""COMPUTED_VALUE"""),"911524644")</f>
        <v>911524644</v>
      </c>
      <c r="E1230" s="222" t="str">
        <f>IFERROR(__xludf.DUMMYFUNCTION("""COMPUTED_VALUE"""),"Addis Ababa")</f>
        <v>Addis Ababa</v>
      </c>
      <c r="F1230" s="222"/>
    </row>
    <row r="1231" customHeight="1" spans="1:6">
      <c r="A1231" s="9" t="s">
        <v>4277</v>
      </c>
      <c r="B1231" s="194" t="s">
        <v>4278</v>
      </c>
      <c r="C1231" s="192" t="s">
        <v>4279</v>
      </c>
      <c r="D1231" s="194"/>
      <c r="E1231" s="194" t="s">
        <v>243</v>
      </c>
      <c r="F1231" s="194"/>
    </row>
    <row r="1232" customHeight="1" spans="1:6">
      <c r="A1232" s="9" t="s">
        <v>4280</v>
      </c>
      <c r="B1232" s="200" t="s">
        <v>4281</v>
      </c>
      <c r="C1232" s="202" t="s">
        <v>4282</v>
      </c>
      <c r="D1232" s="152" t="s">
        <v>4283</v>
      </c>
      <c r="E1232" s="154" t="s">
        <v>181</v>
      </c>
      <c r="F1232" s="180"/>
    </row>
    <row r="1233" customHeight="1" spans="1:6">
      <c r="A1233" s="9" t="s">
        <v>4284</v>
      </c>
      <c r="B1233" s="160" t="s">
        <v>4285</v>
      </c>
      <c r="C1233" s="160" t="s">
        <v>4286</v>
      </c>
      <c r="D1233" s="204" t="s">
        <v>4287</v>
      </c>
      <c r="E1233" s="204" t="s">
        <v>92</v>
      </c>
      <c r="F1233" s="204"/>
    </row>
    <row r="1234" customHeight="1" spans="1:6">
      <c r="A1234" s="9" t="s">
        <v>4288</v>
      </c>
      <c r="B1234" s="195" t="s">
        <v>4289</v>
      </c>
      <c r="C1234" s="196" t="s">
        <v>4290</v>
      </c>
      <c r="D1234" s="197" t="s">
        <v>4291</v>
      </c>
      <c r="E1234" s="197" t="s">
        <v>243</v>
      </c>
      <c r="F1234" s="197"/>
    </row>
    <row r="1235" customHeight="1" spans="1:6">
      <c r="A1235" s="9" t="s">
        <v>4292</v>
      </c>
      <c r="B1235" s="205" t="s">
        <v>4293</v>
      </c>
      <c r="C1235" s="205" t="s">
        <v>4294</v>
      </c>
      <c r="D1235" s="206" t="s">
        <v>4295</v>
      </c>
      <c r="E1235" s="193" t="s">
        <v>120</v>
      </c>
      <c r="F1235" s="221"/>
    </row>
    <row r="1236" customHeight="1" spans="1:6">
      <c r="A1236" s="9" t="s">
        <v>4296</v>
      </c>
      <c r="B1236" s="197" t="s">
        <v>4297</v>
      </c>
      <c r="C1236" s="196" t="s">
        <v>4298</v>
      </c>
      <c r="D1236" s="197"/>
      <c r="E1236" s="197" t="s">
        <v>243</v>
      </c>
      <c r="F1236" s="197"/>
    </row>
    <row r="1237" customHeight="1" spans="1:6">
      <c r="A1237" s="9" t="s">
        <v>4299</v>
      </c>
      <c r="B1237" s="214" t="s">
        <v>4300</v>
      </c>
      <c r="C1237" s="214" t="s">
        <v>4301</v>
      </c>
      <c r="D1237" s="194"/>
      <c r="E1237" s="204" t="s">
        <v>92</v>
      </c>
      <c r="F1237" s="204"/>
    </row>
    <row r="1238" customHeight="1" spans="1:6">
      <c r="A1238" s="9" t="s">
        <v>4302</v>
      </c>
      <c r="B1238" s="158" t="s">
        <v>4303</v>
      </c>
      <c r="C1238" s="202" t="s">
        <v>4304</v>
      </c>
      <c r="D1238" s="158"/>
      <c r="E1238" s="154" t="s">
        <v>243</v>
      </c>
      <c r="F1238" s="180"/>
    </row>
    <row r="1239" customHeight="1" spans="1:6">
      <c r="A1239" s="9" t="s">
        <v>4305</v>
      </c>
      <c r="B1239" s="258" t="s">
        <v>4306</v>
      </c>
      <c r="C1239" s="258" t="s">
        <v>4307</v>
      </c>
      <c r="D1239" s="240" t="s">
        <v>4308</v>
      </c>
      <c r="E1239" s="240" t="s">
        <v>92</v>
      </c>
      <c r="F1239" s="240"/>
    </row>
    <row r="1240" customHeight="1" spans="1:6">
      <c r="A1240" s="9" t="s">
        <v>4305</v>
      </c>
      <c r="B1240" s="224" t="s">
        <v>4306</v>
      </c>
      <c r="C1240" s="225" t="s">
        <v>4309</v>
      </c>
      <c r="D1240" s="343" t="s">
        <v>4310</v>
      </c>
      <c r="E1240" s="229" t="s">
        <v>120</v>
      </c>
      <c r="F1240" s="252" t="s">
        <v>4311</v>
      </c>
    </row>
    <row r="1241" customHeight="1" spans="1:6">
      <c r="A1241" s="9" t="s">
        <v>4312</v>
      </c>
      <c r="B1241" s="201" t="s">
        <v>4313</v>
      </c>
      <c r="C1241" s="202" t="s">
        <v>4314</v>
      </c>
      <c r="D1241" s="154"/>
      <c r="E1241" s="154" t="s">
        <v>58</v>
      </c>
      <c r="F1241" s="180"/>
    </row>
    <row r="1242" customHeight="1" spans="1:6">
      <c r="A1242" s="9" t="s">
        <v>4315</v>
      </c>
      <c r="B1242" s="214" t="s">
        <v>4316</v>
      </c>
      <c r="C1242" s="214" t="s">
        <v>4317</v>
      </c>
      <c r="D1242" s="194"/>
      <c r="E1242" s="204" t="s">
        <v>92</v>
      </c>
      <c r="F1242" s="204"/>
    </row>
    <row r="1243" customHeight="1" spans="1:6">
      <c r="A1243" s="9" t="s">
        <v>4318</v>
      </c>
      <c r="B1243" s="201" t="s">
        <v>4319</v>
      </c>
      <c r="C1243" s="202" t="s">
        <v>4320</v>
      </c>
      <c r="D1243" s="154"/>
      <c r="E1243" s="154" t="s">
        <v>243</v>
      </c>
      <c r="F1243" s="180"/>
    </row>
    <row r="1244" customHeight="1" spans="1:6">
      <c r="A1244" s="9" t="s">
        <v>4321</v>
      </c>
      <c r="B1244" s="201" t="s">
        <v>4322</v>
      </c>
      <c r="C1244" s="202" t="s">
        <v>4323</v>
      </c>
      <c r="D1244" s="154" t="s">
        <v>4324</v>
      </c>
      <c r="E1244" s="154" t="s">
        <v>243</v>
      </c>
      <c r="F1244" s="180"/>
    </row>
    <row r="1245" customHeight="1" spans="1:6">
      <c r="A1245" s="9" t="s">
        <v>4325</v>
      </c>
      <c r="B1245" s="200" t="s">
        <v>4326</v>
      </c>
      <c r="C1245" s="202" t="s">
        <v>4327</v>
      </c>
      <c r="D1245" s="152"/>
      <c r="E1245" s="154" t="s">
        <v>232</v>
      </c>
      <c r="F1245" s="180"/>
    </row>
    <row r="1246" customHeight="1" spans="1:6">
      <c r="A1246" s="9" t="s">
        <v>4328</v>
      </c>
      <c r="B1246" s="233" t="s">
        <v>4329</v>
      </c>
      <c r="C1246" s="233" t="s">
        <v>4330</v>
      </c>
      <c r="D1246" s="204" t="s">
        <v>4331</v>
      </c>
      <c r="E1246" s="204" t="s">
        <v>605</v>
      </c>
      <c r="F1246" s="204" t="s">
        <v>4332</v>
      </c>
    </row>
    <row r="1247" customHeight="1" spans="1:6">
      <c r="A1247" s="9" t="s">
        <v>4333</v>
      </c>
      <c r="B1247" s="225" t="s">
        <v>4334</v>
      </c>
      <c r="C1247" s="225" t="s">
        <v>4335</v>
      </c>
      <c r="D1247" s="228" t="s">
        <v>4336</v>
      </c>
      <c r="E1247" s="229" t="s">
        <v>120</v>
      </c>
      <c r="F1247" s="230"/>
    </row>
    <row r="1248" customHeight="1" spans="1:6">
      <c r="A1248" s="9" t="s">
        <v>4337</v>
      </c>
      <c r="B1248" s="233" t="s">
        <v>4338</v>
      </c>
      <c r="C1248" s="233" t="s">
        <v>4339</v>
      </c>
      <c r="D1248" s="204" t="s">
        <v>4340</v>
      </c>
      <c r="E1248" s="204" t="s">
        <v>605</v>
      </c>
      <c r="F1248" s="204" t="s">
        <v>4341</v>
      </c>
    </row>
    <row r="1249" customHeight="1" spans="1:6">
      <c r="A1249" s="9" t="s">
        <v>4342</v>
      </c>
      <c r="B1249" s="195" t="s">
        <v>4343</v>
      </c>
      <c r="C1249" s="202" t="s">
        <v>4344</v>
      </c>
      <c r="D1249" s="152"/>
      <c r="E1249" s="154" t="s">
        <v>181</v>
      </c>
      <c r="F1249" s="180"/>
    </row>
    <row r="1250" customHeight="1" spans="1:6">
      <c r="A1250" s="9" t="s">
        <v>4345</v>
      </c>
      <c r="B1250" s="158" t="s">
        <v>4346</v>
      </c>
      <c r="C1250" s="202" t="s">
        <v>4347</v>
      </c>
      <c r="D1250" s="158">
        <v>916452405</v>
      </c>
      <c r="E1250" s="154" t="s">
        <v>211</v>
      </c>
      <c r="F1250" s="180"/>
    </row>
    <row r="1251" customHeight="1" spans="1:6">
      <c r="A1251" s="9" t="s">
        <v>4348</v>
      </c>
      <c r="B1251" s="153" t="s">
        <v>4349</v>
      </c>
      <c r="C1251" s="202" t="s">
        <v>4350</v>
      </c>
      <c r="D1251" s="154"/>
      <c r="E1251" s="154" t="s">
        <v>310</v>
      </c>
      <c r="F1251" s="153"/>
    </row>
    <row r="1252" customHeight="1" spans="1:6">
      <c r="A1252" s="9" t="s">
        <v>4351</v>
      </c>
      <c r="B1252" s="200" t="s">
        <v>4352</v>
      </c>
      <c r="C1252" s="192" t="s">
        <v>4353</v>
      </c>
      <c r="D1252" s="194"/>
      <c r="E1252" s="194" t="s">
        <v>3119</v>
      </c>
      <c r="F1252" s="194"/>
    </row>
    <row r="1253" customHeight="1" spans="1:6">
      <c r="A1253" s="9" t="s">
        <v>4354</v>
      </c>
      <c r="B1253" s="200" t="s">
        <v>4355</v>
      </c>
      <c r="C1253" s="202" t="s">
        <v>4356</v>
      </c>
      <c r="D1253" s="152" t="s">
        <v>4357</v>
      </c>
      <c r="E1253" s="154" t="s">
        <v>181</v>
      </c>
      <c r="F1253" s="180"/>
    </row>
    <row r="1254" customHeight="1" spans="1:6">
      <c r="A1254" s="9" t="s">
        <v>4358</v>
      </c>
      <c r="B1254" s="161" t="s">
        <v>4359</v>
      </c>
      <c r="C1254" s="161" t="s">
        <v>4360</v>
      </c>
      <c r="D1254" s="204" t="s">
        <v>4361</v>
      </c>
      <c r="E1254" s="204" t="s">
        <v>92</v>
      </c>
      <c r="F1254" s="204"/>
    </row>
    <row r="1255" customHeight="1" spans="1:6">
      <c r="A1255" s="9" t="s">
        <v>4362</v>
      </c>
      <c r="B1255" s="215" t="s">
        <v>4363</v>
      </c>
      <c r="C1255" s="205" t="s">
        <v>4364</v>
      </c>
      <c r="D1255" s="227" t="s">
        <v>4365</v>
      </c>
      <c r="E1255" s="193" t="s">
        <v>120</v>
      </c>
      <c r="F1255" s="216" t="s">
        <v>4366</v>
      </c>
    </row>
    <row r="1256" customHeight="1" spans="1:6">
      <c r="A1256" s="9" t="s">
        <v>4367</v>
      </c>
      <c r="B1256" s="201" t="s">
        <v>4368</v>
      </c>
      <c r="C1256" s="202" t="s">
        <v>4369</v>
      </c>
      <c r="D1256" s="154"/>
      <c r="E1256" s="154" t="s">
        <v>243</v>
      </c>
      <c r="F1256" s="180"/>
    </row>
    <row r="1257" customHeight="1" spans="1:6">
      <c r="A1257" s="9" t="s">
        <v>4370</v>
      </c>
      <c r="B1257" s="201" t="s">
        <v>4371</v>
      </c>
      <c r="C1257" s="202" t="s">
        <v>4372</v>
      </c>
      <c r="D1257" s="154"/>
      <c r="E1257" s="154" t="s">
        <v>211</v>
      </c>
      <c r="F1257" s="180"/>
    </row>
    <row r="1258" customHeight="1" spans="1:6">
      <c r="A1258" s="9" t="s">
        <v>4373</v>
      </c>
      <c r="B1258" s="223" t="s">
        <v>4374</v>
      </c>
      <c r="C1258" s="223" t="s">
        <v>4375</v>
      </c>
      <c r="D1258" s="204" t="s">
        <v>4376</v>
      </c>
      <c r="E1258" s="204" t="s">
        <v>92</v>
      </c>
      <c r="F1258" s="204"/>
    </row>
    <row r="1259" customHeight="1" spans="1:6">
      <c r="A1259" s="9" t="s">
        <v>4377</v>
      </c>
      <c r="B1259" s="153" t="s">
        <v>4378</v>
      </c>
      <c r="C1259" s="202" t="s">
        <v>4379</v>
      </c>
      <c r="D1259" s="154"/>
      <c r="E1259" s="154" t="s">
        <v>310</v>
      </c>
      <c r="F1259" s="153"/>
    </row>
    <row r="1260" customHeight="1" spans="1:6">
      <c r="A1260" s="9" t="s">
        <v>4380</v>
      </c>
      <c r="B1260" s="214" t="s">
        <v>4381</v>
      </c>
      <c r="C1260" s="214" t="s">
        <v>4382</v>
      </c>
      <c r="D1260" s="194"/>
      <c r="E1260" s="204" t="s">
        <v>92</v>
      </c>
      <c r="F1260" s="204"/>
    </row>
    <row r="1261" customHeight="1" spans="1:6">
      <c r="A1261" s="9" t="s">
        <v>4383</v>
      </c>
      <c r="B1261" s="153" t="s">
        <v>4384</v>
      </c>
      <c r="C1261" s="202" t="s">
        <v>4385</v>
      </c>
      <c r="D1261" s="154"/>
      <c r="E1261" s="154" t="s">
        <v>202</v>
      </c>
      <c r="F1261" s="180"/>
    </row>
    <row r="1262" customHeight="1" spans="1:6">
      <c r="A1262" s="9" t="s">
        <v>4386</v>
      </c>
      <c r="B1262" s="233" t="s">
        <v>4387</v>
      </c>
      <c r="C1262" s="233" t="s">
        <v>4388</v>
      </c>
      <c r="D1262" s="204" t="s">
        <v>4389</v>
      </c>
      <c r="E1262" s="204" t="s">
        <v>2067</v>
      </c>
      <c r="F1262" s="204" t="s">
        <v>4390</v>
      </c>
    </row>
    <row r="1263" customHeight="1" spans="1:6">
      <c r="A1263" s="9" t="s">
        <v>4391</v>
      </c>
      <c r="B1263" s="238" t="s">
        <v>4392</v>
      </c>
      <c r="C1263" s="192" t="s">
        <v>4393</v>
      </c>
      <c r="D1263" s="194"/>
      <c r="E1263" s="193" t="s">
        <v>216</v>
      </c>
      <c r="F1263" s="191"/>
    </row>
    <row r="1264" customHeight="1" spans="1:6">
      <c r="A1264" s="9" t="s">
        <v>4394</v>
      </c>
      <c r="B1264" s="195" t="s">
        <v>4395</v>
      </c>
      <c r="C1264" s="202" t="s">
        <v>4396</v>
      </c>
      <c r="D1264" s="152"/>
      <c r="E1264" s="154" t="s">
        <v>232</v>
      </c>
      <c r="F1264" s="180"/>
    </row>
    <row r="1265" customHeight="1" spans="1:6">
      <c r="A1265" s="9" t="s">
        <v>4397</v>
      </c>
      <c r="B1265" s="197" t="s">
        <v>4398</v>
      </c>
      <c r="C1265" s="203" t="s">
        <v>4399</v>
      </c>
      <c r="D1265" s="197"/>
      <c r="E1265" s="197" t="s">
        <v>253</v>
      </c>
      <c r="F1265" s="197"/>
    </row>
    <row r="1266" customHeight="1" spans="1:6">
      <c r="A1266" s="9" t="s">
        <v>4400</v>
      </c>
      <c r="B1266" s="180" t="s">
        <v>4401</v>
      </c>
      <c r="C1266" s="243" t="s">
        <v>4402</v>
      </c>
      <c r="D1266" s="154">
        <v>937346640</v>
      </c>
      <c r="E1266" s="158" t="s">
        <v>968</v>
      </c>
      <c r="F1266" s="153"/>
    </row>
    <row r="1267" customHeight="1" spans="1:6">
      <c r="A1267" s="9" t="s">
        <v>4403</v>
      </c>
      <c r="B1267" s="195" t="s">
        <v>4404</v>
      </c>
      <c r="C1267" s="196" t="s">
        <v>4405</v>
      </c>
      <c r="D1267" s="197"/>
      <c r="E1267" s="197" t="s">
        <v>104</v>
      </c>
      <c r="F1267" s="197"/>
    </row>
    <row r="1268" customHeight="1" spans="1:6">
      <c r="A1268" s="9" t="s">
        <v>4406</v>
      </c>
      <c r="B1268" s="197" t="s">
        <v>4407</v>
      </c>
      <c r="C1268" s="202" t="s">
        <v>4408</v>
      </c>
      <c r="D1268" s="248">
        <v>918613660</v>
      </c>
      <c r="E1268" s="154" t="s">
        <v>104</v>
      </c>
      <c r="F1268" s="180"/>
    </row>
    <row r="1269" customHeight="1" spans="1:6">
      <c r="A1269" s="9" t="s">
        <v>4409</v>
      </c>
      <c r="B1269" s="195" t="s">
        <v>4410</v>
      </c>
      <c r="C1269" s="202" t="s">
        <v>4411</v>
      </c>
      <c r="D1269" s="154"/>
      <c r="E1269" s="154" t="s">
        <v>104</v>
      </c>
      <c r="F1269" s="180"/>
    </row>
    <row r="1270" customHeight="1" spans="1:6">
      <c r="A1270" s="9" t="s">
        <v>4412</v>
      </c>
      <c r="B1270" s="158" t="s">
        <v>4413</v>
      </c>
      <c r="C1270" s="202" t="s">
        <v>4414</v>
      </c>
      <c r="D1270" s="158">
        <v>916388710</v>
      </c>
      <c r="E1270" s="154" t="s">
        <v>211</v>
      </c>
      <c r="F1270" s="180"/>
    </row>
    <row r="1271" customHeight="1" spans="1:6">
      <c r="A1271" s="9" t="s">
        <v>4415</v>
      </c>
      <c r="B1271" s="200" t="s">
        <v>4416</v>
      </c>
      <c r="C1271" s="202" t="s">
        <v>4417</v>
      </c>
      <c r="D1271" s="152"/>
      <c r="E1271" s="154" t="s">
        <v>232</v>
      </c>
      <c r="F1271" s="180"/>
    </row>
    <row r="1272" customHeight="1" spans="1:6">
      <c r="A1272" s="9" t="s">
        <v>4418</v>
      </c>
      <c r="B1272" s="195" t="s">
        <v>4419</v>
      </c>
      <c r="C1272" s="196" t="s">
        <v>4420</v>
      </c>
      <c r="D1272" s="197"/>
      <c r="E1272" s="197" t="s">
        <v>125</v>
      </c>
      <c r="F1272" s="197"/>
    </row>
    <row r="1273" customHeight="1" spans="1:6">
      <c r="A1273" s="9" t="s">
        <v>4421</v>
      </c>
      <c r="B1273" s="158" t="s">
        <v>4422</v>
      </c>
      <c r="C1273" s="202" t="s">
        <v>4423</v>
      </c>
      <c r="D1273" s="158">
        <v>927925167</v>
      </c>
      <c r="E1273" s="154" t="s">
        <v>211</v>
      </c>
      <c r="F1273" s="261"/>
    </row>
    <row r="1274" customHeight="1" spans="1:6">
      <c r="A1274" s="9" t="s">
        <v>4424</v>
      </c>
      <c r="B1274" s="160" t="s">
        <v>4425</v>
      </c>
      <c r="C1274" s="160" t="s">
        <v>4426</v>
      </c>
      <c r="D1274" s="204" t="s">
        <v>4427</v>
      </c>
      <c r="E1274" s="204" t="s">
        <v>92</v>
      </c>
      <c r="F1274" s="204"/>
    </row>
    <row r="1275" customHeight="1" spans="1:6">
      <c r="A1275" s="9" t="s">
        <v>4428</v>
      </c>
      <c r="B1275" s="195" t="s">
        <v>4429</v>
      </c>
      <c r="C1275" s="196" t="s">
        <v>4430</v>
      </c>
      <c r="D1275" s="197" t="s">
        <v>4431</v>
      </c>
      <c r="E1275" s="198" t="s">
        <v>216</v>
      </c>
      <c r="F1275" s="199"/>
    </row>
    <row r="1276" customHeight="1" spans="1:6">
      <c r="A1276" s="9" t="s">
        <v>4432</v>
      </c>
      <c r="B1276" s="281" t="s">
        <v>4433</v>
      </c>
      <c r="C1276" s="282" t="s">
        <v>4434</v>
      </c>
      <c r="D1276" s="229" t="s">
        <v>4435</v>
      </c>
      <c r="E1276" s="229" t="s">
        <v>9</v>
      </c>
      <c r="F1276" s="283"/>
    </row>
    <row r="1277" customHeight="1" spans="1:6">
      <c r="A1277" s="9" t="s">
        <v>4432</v>
      </c>
      <c r="B1277" s="284" t="s">
        <v>4433</v>
      </c>
      <c r="C1277" s="285" t="s">
        <v>4434</v>
      </c>
      <c r="D1277" s="286" t="s">
        <v>4436</v>
      </c>
      <c r="E1277" s="286" t="s">
        <v>32</v>
      </c>
      <c r="F1277" s="286"/>
    </row>
    <row r="1278" customHeight="1" spans="1:6">
      <c r="A1278" s="9" t="s">
        <v>4437</v>
      </c>
      <c r="B1278" s="205" t="s">
        <v>4438</v>
      </c>
      <c r="C1278" s="205" t="s">
        <v>4439</v>
      </c>
      <c r="D1278" s="206" t="s">
        <v>4440</v>
      </c>
      <c r="E1278" s="193" t="s">
        <v>120</v>
      </c>
      <c r="F1278" s="221"/>
    </row>
    <row r="1279" customHeight="1" spans="1:6">
      <c r="A1279" s="9" t="s">
        <v>4441</v>
      </c>
      <c r="B1279" s="208" t="s">
        <v>4442</v>
      </c>
      <c r="C1279" s="208" t="s">
        <v>4443</v>
      </c>
      <c r="D1279" s="194"/>
      <c r="E1279" s="204" t="s">
        <v>92</v>
      </c>
      <c r="F1279" s="204"/>
    </row>
    <row r="1280" customHeight="1" spans="1:6">
      <c r="A1280" s="9" t="s">
        <v>4444</v>
      </c>
      <c r="B1280" s="160" t="s">
        <v>4445</v>
      </c>
      <c r="C1280" s="160" t="s">
        <v>4446</v>
      </c>
      <c r="D1280" s="204" t="s">
        <v>4447</v>
      </c>
      <c r="E1280" s="204" t="s">
        <v>92</v>
      </c>
      <c r="F1280" s="204"/>
    </row>
    <row r="1281" customHeight="1" spans="1:6">
      <c r="A1281" s="9" t="s">
        <v>4448</v>
      </c>
      <c r="B1281" s="195" t="s">
        <v>4449</v>
      </c>
      <c r="C1281" s="212" t="s">
        <v>4450</v>
      </c>
      <c r="D1281" s="197" t="s">
        <v>4451</v>
      </c>
      <c r="E1281" s="154" t="s">
        <v>104</v>
      </c>
      <c r="F1281" s="199"/>
    </row>
    <row r="1282" customHeight="1" spans="1:6">
      <c r="A1282" s="9" t="s">
        <v>4452</v>
      </c>
      <c r="B1282" s="200" t="s">
        <v>4453</v>
      </c>
      <c r="C1282" s="202" t="s">
        <v>4454</v>
      </c>
      <c r="D1282" s="152" t="s">
        <v>4455</v>
      </c>
      <c r="E1282" s="154" t="s">
        <v>232</v>
      </c>
      <c r="F1282" s="180"/>
    </row>
    <row r="1283" customHeight="1" spans="1:6">
      <c r="A1283" s="9" t="s">
        <v>4456</v>
      </c>
      <c r="B1283" s="200" t="s">
        <v>4457</v>
      </c>
      <c r="C1283" s="202" t="s">
        <v>4458</v>
      </c>
      <c r="D1283" s="152" t="s">
        <v>4459</v>
      </c>
      <c r="E1283" s="154"/>
      <c r="F1283" s="180"/>
    </row>
    <row r="1284" customHeight="1" spans="1:6">
      <c r="A1284" s="9" t="s">
        <v>4460</v>
      </c>
      <c r="B1284" s="194" t="s">
        <v>4461</v>
      </c>
      <c r="C1284" s="202" t="s">
        <v>4462</v>
      </c>
      <c r="D1284" s="158"/>
      <c r="E1284" s="154" t="s">
        <v>243</v>
      </c>
      <c r="F1284" s="250"/>
    </row>
    <row r="1285" customHeight="1" spans="1:6">
      <c r="A1285" s="9" t="s">
        <v>4463</v>
      </c>
      <c r="B1285" s="200" t="s">
        <v>4464</v>
      </c>
      <c r="C1285" s="202" t="s">
        <v>4465</v>
      </c>
      <c r="D1285" s="152"/>
      <c r="E1285" s="154" t="s">
        <v>211</v>
      </c>
      <c r="F1285" s="180"/>
    </row>
    <row r="1286" customHeight="1" spans="1:6">
      <c r="A1286" s="9" t="s">
        <v>4466</v>
      </c>
      <c r="B1286" s="200" t="s">
        <v>4467</v>
      </c>
      <c r="C1286" s="192" t="s">
        <v>4468</v>
      </c>
      <c r="D1286" s="194"/>
      <c r="E1286" s="194" t="s">
        <v>273</v>
      </c>
      <c r="F1286" s="194"/>
    </row>
    <row r="1287" customHeight="1" spans="1:6">
      <c r="A1287" s="9" t="s">
        <v>4469</v>
      </c>
      <c r="B1287" s="195" t="s">
        <v>4470</v>
      </c>
      <c r="C1287" s="202" t="s">
        <v>4471</v>
      </c>
      <c r="D1287" s="158">
        <v>939149372</v>
      </c>
      <c r="E1287" s="154" t="s">
        <v>3024</v>
      </c>
      <c r="F1287" s="180"/>
    </row>
    <row r="1288" customHeight="1" spans="1:6">
      <c r="A1288" s="9" t="s">
        <v>4472</v>
      </c>
      <c r="B1288" s="195" t="s">
        <v>4473</v>
      </c>
      <c r="C1288" s="202" t="s">
        <v>4474</v>
      </c>
      <c r="D1288" s="152" t="s">
        <v>4475</v>
      </c>
      <c r="E1288" s="154" t="s">
        <v>232</v>
      </c>
      <c r="F1288" s="180"/>
    </row>
    <row r="1289" customHeight="1" spans="1:6">
      <c r="A1289" s="9" t="s">
        <v>4476</v>
      </c>
      <c r="B1289" s="201" t="s">
        <v>4477</v>
      </c>
      <c r="C1289" s="202" t="s">
        <v>4478</v>
      </c>
      <c r="D1289" s="154" t="s">
        <v>4479</v>
      </c>
      <c r="E1289" s="154" t="s">
        <v>58</v>
      </c>
      <c r="F1289" s="180"/>
    </row>
    <row r="1290" customHeight="1" spans="1:6">
      <c r="A1290" s="9" t="s">
        <v>4480</v>
      </c>
      <c r="B1290" s="201" t="s">
        <v>4481</v>
      </c>
      <c r="C1290" s="202" t="s">
        <v>4482</v>
      </c>
      <c r="D1290" s="158"/>
      <c r="E1290" s="158" t="s">
        <v>104</v>
      </c>
      <c r="F1290" s="153"/>
    </row>
    <row r="1291" customHeight="1" spans="1:6">
      <c r="A1291" s="9" t="s">
        <v>4483</v>
      </c>
      <c r="B1291" s="197" t="s">
        <v>4484</v>
      </c>
      <c r="C1291" s="202" t="s">
        <v>4485</v>
      </c>
      <c r="D1291" s="248"/>
      <c r="E1291" s="154" t="s">
        <v>104</v>
      </c>
      <c r="F1291" s="180"/>
    </row>
    <row r="1292" customHeight="1" spans="1:6">
      <c r="A1292" s="9" t="s">
        <v>4486</v>
      </c>
      <c r="B1292" s="195" t="s">
        <v>4487</v>
      </c>
      <c r="C1292" s="254" t="s">
        <v>4488</v>
      </c>
      <c r="D1292" s="197"/>
      <c r="E1292" s="197" t="s">
        <v>243</v>
      </c>
      <c r="F1292" s="197"/>
    </row>
    <row r="1293" customHeight="1" spans="1:6">
      <c r="A1293" s="9" t="s">
        <v>4489</v>
      </c>
      <c r="B1293" s="200" t="s">
        <v>4490</v>
      </c>
      <c r="C1293" s="202" t="s">
        <v>4491</v>
      </c>
      <c r="D1293" s="152"/>
      <c r="E1293" s="154" t="s">
        <v>181</v>
      </c>
      <c r="F1293" s="180"/>
    </row>
    <row r="1294" customHeight="1" spans="1:6">
      <c r="A1294" s="9" t="s">
        <v>4492</v>
      </c>
      <c r="B1294" s="200" t="s">
        <v>4493</v>
      </c>
      <c r="C1294" s="202" t="s">
        <v>4494</v>
      </c>
      <c r="D1294" s="158"/>
      <c r="E1294" s="154"/>
      <c r="F1294" s="180"/>
    </row>
    <row r="1295" customHeight="1" spans="1:6">
      <c r="A1295" s="9" t="s">
        <v>4495</v>
      </c>
      <c r="B1295" s="153" t="s">
        <v>4496</v>
      </c>
      <c r="C1295" s="202" t="s">
        <v>4497</v>
      </c>
      <c r="D1295" s="154"/>
      <c r="E1295" s="154" t="s">
        <v>104</v>
      </c>
      <c r="F1295" s="180"/>
    </row>
    <row r="1296" customHeight="1" spans="1:6">
      <c r="A1296" s="9" t="s">
        <v>4498</v>
      </c>
      <c r="B1296" s="200" t="s">
        <v>4499</v>
      </c>
      <c r="C1296" s="202" t="s">
        <v>4500</v>
      </c>
      <c r="D1296" s="152" t="s">
        <v>4501</v>
      </c>
      <c r="E1296" s="154" t="s">
        <v>181</v>
      </c>
      <c r="F1296" s="180"/>
    </row>
    <row r="1297" customHeight="1" spans="1:6">
      <c r="A1297" s="9" t="s">
        <v>4502</v>
      </c>
      <c r="B1297" s="195" t="s">
        <v>4503</v>
      </c>
      <c r="C1297" s="202" t="s">
        <v>4504</v>
      </c>
      <c r="D1297" s="152" t="s">
        <v>4505</v>
      </c>
      <c r="E1297" s="154" t="s">
        <v>479</v>
      </c>
      <c r="F1297" s="180"/>
    </row>
    <row r="1298" customHeight="1" spans="1:6">
      <c r="A1298" s="9" t="s">
        <v>4506</v>
      </c>
      <c r="B1298" s="201" t="s">
        <v>4507</v>
      </c>
      <c r="C1298" s="202" t="s">
        <v>4508</v>
      </c>
      <c r="D1298" s="154"/>
      <c r="E1298" s="154"/>
      <c r="F1298" s="180"/>
    </row>
    <row r="1299" customHeight="1" spans="1:6">
      <c r="A1299" s="9" t="s">
        <v>4509</v>
      </c>
      <c r="B1299" s="194" t="s">
        <v>4510</v>
      </c>
      <c r="C1299" s="192" t="s">
        <v>4511</v>
      </c>
      <c r="D1299" s="194"/>
      <c r="E1299" s="194" t="s">
        <v>202</v>
      </c>
      <c r="F1299" s="194"/>
    </row>
    <row r="1300" customHeight="1" spans="1:6">
      <c r="A1300" s="9" t="s">
        <v>4512</v>
      </c>
      <c r="B1300" s="197" t="s">
        <v>4513</v>
      </c>
      <c r="C1300" s="196" t="s">
        <v>4514</v>
      </c>
      <c r="D1300" s="197"/>
      <c r="E1300" s="197" t="s">
        <v>202</v>
      </c>
      <c r="F1300" s="197"/>
    </row>
    <row r="1301" customHeight="1" spans="1:6">
      <c r="A1301" s="9" t="s">
        <v>4515</v>
      </c>
      <c r="B1301" s="195" t="s">
        <v>4516</v>
      </c>
      <c r="C1301" s="202" t="s">
        <v>4517</v>
      </c>
      <c r="D1301" s="152"/>
      <c r="E1301" s="154" t="s">
        <v>232</v>
      </c>
      <c r="F1301" s="180"/>
    </row>
    <row r="1302" customHeight="1" spans="1:6">
      <c r="A1302" s="9" t="s">
        <v>4518</v>
      </c>
      <c r="B1302" s="200" t="s">
        <v>4519</v>
      </c>
      <c r="C1302" s="192" t="s">
        <v>4520</v>
      </c>
      <c r="D1302" s="194"/>
      <c r="E1302" s="193" t="s">
        <v>202</v>
      </c>
      <c r="F1302" s="191"/>
    </row>
    <row r="1303" customHeight="1" spans="1:6">
      <c r="A1303" s="9" t="s">
        <v>4521</v>
      </c>
      <c r="B1303" s="214" t="s">
        <v>4522</v>
      </c>
      <c r="C1303" s="214" t="s">
        <v>4523</v>
      </c>
      <c r="D1303" s="194"/>
      <c r="E1303" s="204" t="s">
        <v>92</v>
      </c>
      <c r="F1303" s="204"/>
    </row>
    <row r="1304" customHeight="1" spans="1:6">
      <c r="A1304" s="9" t="s">
        <v>4524</v>
      </c>
      <c r="B1304" s="200" t="s">
        <v>4525</v>
      </c>
      <c r="C1304" s="202" t="s">
        <v>4526</v>
      </c>
      <c r="D1304" s="152"/>
      <c r="E1304" s="154" t="s">
        <v>4527</v>
      </c>
      <c r="F1304" s="180"/>
    </row>
    <row r="1305" customHeight="1" spans="1:6">
      <c r="A1305" s="9" t="s">
        <v>4528</v>
      </c>
      <c r="B1305" s="195" t="s">
        <v>4529</v>
      </c>
      <c r="C1305" s="202" t="s">
        <v>4530</v>
      </c>
      <c r="D1305" s="158" t="s">
        <v>4531</v>
      </c>
      <c r="E1305" s="154" t="s">
        <v>202</v>
      </c>
      <c r="F1305" s="180"/>
    </row>
    <row r="1306" customHeight="1" spans="1:6">
      <c r="A1306" s="9" t="s">
        <v>4532</v>
      </c>
      <c r="B1306" s="287" t="s">
        <v>4533</v>
      </c>
      <c r="C1306" s="192" t="s">
        <v>4534</v>
      </c>
      <c r="D1306" s="194" t="s">
        <v>4535</v>
      </c>
      <c r="E1306" s="193" t="s">
        <v>13</v>
      </c>
      <c r="F1306" s="191"/>
    </row>
    <row r="1307" customHeight="1" spans="1:6">
      <c r="A1307" s="9" t="s">
        <v>4536</v>
      </c>
      <c r="B1307" s="214" t="s">
        <v>4537</v>
      </c>
      <c r="C1307" s="214" t="s">
        <v>4538</v>
      </c>
      <c r="D1307" s="194"/>
      <c r="E1307" s="204" t="s">
        <v>92</v>
      </c>
      <c r="F1307" s="204"/>
    </row>
    <row r="1308" customHeight="1" spans="1:6">
      <c r="A1308" s="9" t="s">
        <v>4539</v>
      </c>
      <c r="B1308" s="201" t="s">
        <v>4540</v>
      </c>
      <c r="C1308" s="202" t="s">
        <v>4541</v>
      </c>
      <c r="D1308" s="154" t="s">
        <v>4542</v>
      </c>
      <c r="E1308" s="154" t="s">
        <v>9</v>
      </c>
      <c r="F1308" s="180"/>
    </row>
    <row r="1309" customHeight="1" spans="1:6">
      <c r="A1309" s="9" t="s">
        <v>4543</v>
      </c>
      <c r="B1309" s="195" t="s">
        <v>4544</v>
      </c>
      <c r="C1309" s="202" t="s">
        <v>4545</v>
      </c>
      <c r="D1309" s="152" t="s">
        <v>4546</v>
      </c>
      <c r="E1309" s="154" t="s">
        <v>9</v>
      </c>
      <c r="F1309" s="180"/>
    </row>
    <row r="1310" customHeight="1" spans="1:6">
      <c r="A1310" s="9" t="s">
        <v>4547</v>
      </c>
      <c r="B1310" s="201" t="s">
        <v>4548</v>
      </c>
      <c r="C1310" s="202" t="s">
        <v>4549</v>
      </c>
      <c r="D1310" s="153"/>
      <c r="E1310" s="180" t="s">
        <v>216</v>
      </c>
      <c r="F1310" s="180"/>
    </row>
    <row r="1311" customHeight="1" spans="1:6">
      <c r="A1311" s="9" t="s">
        <v>4550</v>
      </c>
      <c r="B1311" s="200" t="s">
        <v>4551</v>
      </c>
      <c r="C1311" s="192" t="s">
        <v>4552</v>
      </c>
      <c r="D1311" s="194"/>
      <c r="E1311" s="193" t="s">
        <v>13</v>
      </c>
      <c r="F1311" s="191"/>
    </row>
    <row r="1312" customHeight="1" spans="1:6">
      <c r="A1312" s="9" t="s">
        <v>4553</v>
      </c>
      <c r="B1312" s="200" t="s">
        <v>4554</v>
      </c>
      <c r="C1312" s="192" t="s">
        <v>4555</v>
      </c>
      <c r="D1312" s="194" t="s">
        <v>4556</v>
      </c>
      <c r="E1312" s="194"/>
      <c r="F1312" s="194"/>
    </row>
    <row r="1313" customHeight="1" spans="1:6">
      <c r="A1313" s="9" t="s">
        <v>4557</v>
      </c>
      <c r="B1313" s="199" t="s">
        <v>4558</v>
      </c>
      <c r="C1313" s="196" t="s">
        <v>4559</v>
      </c>
      <c r="D1313" s="198" t="s">
        <v>4560</v>
      </c>
      <c r="E1313" s="197" t="s">
        <v>9</v>
      </c>
      <c r="F1313" s="197"/>
    </row>
    <row r="1314" customHeight="1" spans="1:6">
      <c r="A1314" s="9" t="s">
        <v>4561</v>
      </c>
      <c r="B1314" s="191" t="s">
        <v>4562</v>
      </c>
      <c r="C1314" s="192" t="s">
        <v>4563</v>
      </c>
      <c r="D1314" s="193"/>
      <c r="E1314" s="194" t="s">
        <v>9</v>
      </c>
      <c r="F1314" s="194"/>
    </row>
    <row r="1315" customHeight="1" spans="1:6">
      <c r="A1315" s="9" t="s">
        <v>4564</v>
      </c>
      <c r="B1315" s="191" t="s">
        <v>4565</v>
      </c>
      <c r="C1315" s="192" t="s">
        <v>4566</v>
      </c>
      <c r="D1315" s="193" t="s">
        <v>4567</v>
      </c>
      <c r="E1315" s="194" t="s">
        <v>9</v>
      </c>
      <c r="F1315" s="194"/>
    </row>
    <row r="1316" customHeight="1" spans="1:6">
      <c r="A1316" s="9" t="s">
        <v>4568</v>
      </c>
      <c r="B1316" s="201" t="s">
        <v>4569</v>
      </c>
      <c r="C1316" s="202" t="s">
        <v>4570</v>
      </c>
      <c r="D1316" s="154" t="s">
        <v>4571</v>
      </c>
      <c r="E1316" s="154" t="s">
        <v>9</v>
      </c>
      <c r="F1316" s="180"/>
    </row>
    <row r="1317" customHeight="1" spans="1:6">
      <c r="A1317" s="9" t="s">
        <v>4572</v>
      </c>
      <c r="B1317" s="201" t="s">
        <v>4573</v>
      </c>
      <c r="C1317" s="202" t="s">
        <v>4574</v>
      </c>
      <c r="D1317" s="154"/>
      <c r="E1317" s="154" t="s">
        <v>479</v>
      </c>
      <c r="F1317" s="180"/>
    </row>
    <row r="1318" customHeight="1" spans="1:6">
      <c r="A1318" s="9" t="s">
        <v>4575</v>
      </c>
      <c r="B1318" s="201" t="s">
        <v>4576</v>
      </c>
      <c r="C1318" s="202" t="s">
        <v>4577</v>
      </c>
      <c r="D1318" s="154"/>
      <c r="E1318" s="154" t="s">
        <v>111</v>
      </c>
      <c r="F1318" s="180"/>
    </row>
    <row r="1319" customHeight="1" spans="1:6">
      <c r="A1319" s="9" t="s">
        <v>4578</v>
      </c>
      <c r="B1319" s="201" t="s">
        <v>4579</v>
      </c>
      <c r="C1319" s="202" t="s">
        <v>4580</v>
      </c>
      <c r="D1319" s="154" t="s">
        <v>4581</v>
      </c>
      <c r="E1319" s="210" t="s">
        <v>211</v>
      </c>
      <c r="F1319" s="211"/>
    </row>
    <row r="1320" customHeight="1" spans="1:6">
      <c r="A1320" s="9" t="s">
        <v>4582</v>
      </c>
      <c r="B1320" s="205" t="s">
        <v>4583</v>
      </c>
      <c r="C1320" s="205" t="s">
        <v>4584</v>
      </c>
      <c r="D1320" s="206" t="s">
        <v>4585</v>
      </c>
      <c r="E1320" s="193" t="s">
        <v>120</v>
      </c>
      <c r="F1320" s="221"/>
    </row>
    <row r="1321" customHeight="1" spans="1:6">
      <c r="A1321" s="9" t="s">
        <v>4586</v>
      </c>
      <c r="B1321" s="160" t="s">
        <v>4587</v>
      </c>
      <c r="C1321" s="160" t="s">
        <v>4588</v>
      </c>
      <c r="D1321" s="204" t="s">
        <v>4589</v>
      </c>
      <c r="E1321" s="204" t="s">
        <v>92</v>
      </c>
      <c r="F1321" s="204"/>
    </row>
    <row r="1322" customHeight="1" spans="1:6">
      <c r="A1322" s="9" t="s">
        <v>4590</v>
      </c>
      <c r="B1322" s="160" t="s">
        <v>4591</v>
      </c>
      <c r="C1322" s="160" t="s">
        <v>4592</v>
      </c>
      <c r="D1322" s="204" t="s">
        <v>4589</v>
      </c>
      <c r="E1322" s="204" t="s">
        <v>92</v>
      </c>
      <c r="F1322" s="204"/>
    </row>
    <row r="1323" customHeight="1" spans="1:6">
      <c r="A1323" s="9" t="s">
        <v>4593</v>
      </c>
      <c r="B1323" s="153" t="s">
        <v>4594</v>
      </c>
      <c r="C1323" s="202" t="s">
        <v>4595</v>
      </c>
      <c r="D1323" s="158">
        <v>917207930</v>
      </c>
      <c r="E1323" s="158" t="s">
        <v>32</v>
      </c>
      <c r="F1323" s="153"/>
    </row>
    <row r="1324" customHeight="1" spans="1:6">
      <c r="A1324" s="9" t="s">
        <v>4596</v>
      </c>
      <c r="B1324" s="219" t="s">
        <v>4597</v>
      </c>
      <c r="C1324" s="219" t="s">
        <v>4598</v>
      </c>
      <c r="D1324" s="194"/>
      <c r="E1324" s="204" t="s">
        <v>92</v>
      </c>
      <c r="F1324" s="204"/>
    </row>
    <row r="1325" customHeight="1" spans="1:6">
      <c r="A1325" s="9" t="s">
        <v>4599</v>
      </c>
      <c r="B1325" s="215" t="s">
        <v>4600</v>
      </c>
      <c r="C1325" s="205" t="s">
        <v>4601</v>
      </c>
      <c r="D1325" s="244" t="s">
        <v>4602</v>
      </c>
      <c r="E1325" s="26" t="s">
        <v>92</v>
      </c>
      <c r="F1325" s="26"/>
    </row>
    <row r="1326" customHeight="1" spans="1:6">
      <c r="A1326" s="9" t="s">
        <v>4603</v>
      </c>
      <c r="B1326" s="205" t="s">
        <v>4604</v>
      </c>
      <c r="C1326" s="205" t="s">
        <v>4605</v>
      </c>
      <c r="D1326" s="206" t="s">
        <v>4606</v>
      </c>
      <c r="E1326" s="193" t="s">
        <v>120</v>
      </c>
      <c r="F1326" s="221" t="s">
        <v>4607</v>
      </c>
    </row>
    <row r="1327" customHeight="1" spans="1:6">
      <c r="A1327" s="9" t="s">
        <v>4608</v>
      </c>
      <c r="B1327" s="215" t="s">
        <v>4609</v>
      </c>
      <c r="C1327" s="205" t="s">
        <v>4610</v>
      </c>
      <c r="D1327" s="206" t="s">
        <v>4611</v>
      </c>
      <c r="E1327" s="193" t="s">
        <v>120</v>
      </c>
      <c r="F1327" s="221" t="s">
        <v>4612</v>
      </c>
    </row>
    <row r="1328" customHeight="1" spans="1:6">
      <c r="A1328" s="9" t="s">
        <v>4613</v>
      </c>
      <c r="B1328" s="205" t="s">
        <v>4614</v>
      </c>
      <c r="C1328" s="205" t="s">
        <v>4615</v>
      </c>
      <c r="D1328" s="206" t="s">
        <v>4616</v>
      </c>
      <c r="E1328" s="193" t="s">
        <v>120</v>
      </c>
      <c r="F1328" s="239" t="s">
        <v>4617</v>
      </c>
    </row>
    <row r="1329" customHeight="1" spans="1:6">
      <c r="A1329" s="9" t="s">
        <v>4618</v>
      </c>
      <c r="B1329" s="205" t="s">
        <v>4619</v>
      </c>
      <c r="C1329" s="205" t="s">
        <v>4620</v>
      </c>
      <c r="D1329" s="206" t="s">
        <v>4621</v>
      </c>
      <c r="E1329" s="193" t="s">
        <v>120</v>
      </c>
      <c r="F1329" s="221" t="s">
        <v>4622</v>
      </c>
    </row>
    <row r="1330" customHeight="1" spans="1:6">
      <c r="A1330" s="9" t="s">
        <v>4623</v>
      </c>
      <c r="B1330" s="214" t="s">
        <v>4624</v>
      </c>
      <c r="C1330" s="214" t="s">
        <v>4625</v>
      </c>
      <c r="D1330" s="204"/>
      <c r="E1330" s="204" t="s">
        <v>92</v>
      </c>
      <c r="F1330" s="204"/>
    </row>
    <row r="1331" customHeight="1" spans="1:6">
      <c r="A1331" s="9" t="s">
        <v>4626</v>
      </c>
      <c r="B1331" s="234" t="s">
        <v>4627</v>
      </c>
      <c r="C1331" s="235" t="s">
        <v>4628</v>
      </c>
      <c r="D1331" s="36" t="s">
        <v>4629</v>
      </c>
      <c r="E1331" s="45" t="s">
        <v>691</v>
      </c>
      <c r="F1331" s="288"/>
    </row>
    <row r="1332" customHeight="1" spans="1:6">
      <c r="A1332" s="9" t="s">
        <v>4630</v>
      </c>
      <c r="B1332" s="160" t="s">
        <v>4631</v>
      </c>
      <c r="C1332" s="160" t="s">
        <v>4632</v>
      </c>
      <c r="D1332" s="204" t="s">
        <v>4633</v>
      </c>
      <c r="E1332" s="204" t="s">
        <v>92</v>
      </c>
      <c r="F1332" s="204"/>
    </row>
    <row r="1333" customHeight="1" spans="1:6">
      <c r="A1333" s="9" t="s">
        <v>4634</v>
      </c>
      <c r="B1333" s="214" t="s">
        <v>4635</v>
      </c>
      <c r="C1333" s="214" t="s">
        <v>4636</v>
      </c>
      <c r="D1333" s="204"/>
      <c r="E1333" s="204" t="s">
        <v>92</v>
      </c>
      <c r="F1333" s="204"/>
    </row>
    <row r="1334" customHeight="1" spans="1:6">
      <c r="A1334" s="9" t="s">
        <v>4637</v>
      </c>
      <c r="B1334" s="195" t="s">
        <v>4638</v>
      </c>
      <c r="C1334" s="196" t="s">
        <v>4639</v>
      </c>
      <c r="D1334" s="289"/>
      <c r="E1334" s="198" t="s">
        <v>1395</v>
      </c>
      <c r="F1334" s="199"/>
    </row>
    <row r="1335" customHeight="1" spans="1:6">
      <c r="A1335" s="9" t="s">
        <v>4640</v>
      </c>
      <c r="B1335" s="222" t="str">
        <f>IFERROR(__xludf.DUMMYFUNCTION("""COMPUTED_VALUE"""),"Ahmed Nuru or/and Amare getu Snshaw")</f>
        <v>Ahmed Nuru or/and Amare getu Snshaw</v>
      </c>
      <c r="C1335" s="222" t="str">
        <f>IFERROR(__xludf.DUMMYFUNCTION("""COMPUTED_VALUE"""),"አህመድ ኑሩ እና /ወይም አማረ ጌጡ ስንሻው")</f>
        <v>አህመድ ኑሩ እና /ወይም አማረ ጌጡ ስንሻው</v>
      </c>
      <c r="D1335" s="222" t="str">
        <f>IFERROR(__xludf.DUMMYFUNCTION("""COMPUTED_VALUE"""),"0928955576
0918770281")</f>
        <v>0928955576
0918770281</v>
      </c>
      <c r="E1335" s="222" t="str">
        <f>IFERROR(__xludf.DUMMYFUNCTION("""COMPUTED_VALUE"""),"Gonder")</f>
        <v>Gonder</v>
      </c>
      <c r="F1335" s="222" t="str">
        <f>IFERROR(__xludf.DUMMYFUNCTION("""COMPUTED_VALUE"""),"Ahmedbekery@gmail.com")</f>
        <v>Ahmedbekery@gmail.com</v>
      </c>
    </row>
    <row r="1336" customHeight="1" spans="1:6">
      <c r="A1336" s="9" t="s">
        <v>4641</v>
      </c>
      <c r="B1336" s="234" t="s">
        <v>4642</v>
      </c>
      <c r="C1336" s="234" t="s">
        <v>4643</v>
      </c>
      <c r="D1336" s="344" t="s">
        <v>4644</v>
      </c>
      <c r="E1336" s="45" t="s">
        <v>104</v>
      </c>
      <c r="F1336" s="45"/>
    </row>
    <row r="1337" customHeight="1" spans="1:6">
      <c r="A1337" s="9" t="s">
        <v>4645</v>
      </c>
      <c r="B1337" s="233" t="s">
        <v>4646</v>
      </c>
      <c r="C1337" s="233" t="s">
        <v>4647</v>
      </c>
      <c r="D1337" s="204" t="s">
        <v>4648</v>
      </c>
      <c r="E1337" s="204" t="s">
        <v>605</v>
      </c>
      <c r="F1337" s="204" t="s">
        <v>4649</v>
      </c>
    </row>
    <row r="1338" customHeight="1" spans="1:6">
      <c r="A1338" s="9" t="s">
        <v>4650</v>
      </c>
      <c r="B1338" s="223" t="s">
        <v>4651</v>
      </c>
      <c r="C1338" s="223" t="s">
        <v>4652</v>
      </c>
      <c r="D1338" s="204" t="s">
        <v>4653</v>
      </c>
      <c r="E1338" s="204" t="s">
        <v>92</v>
      </c>
      <c r="F1338" s="204"/>
    </row>
    <row r="1339" customHeight="1" spans="1:6">
      <c r="A1339" s="9" t="s">
        <v>4654</v>
      </c>
      <c r="B1339" s="255" t="s">
        <v>4655</v>
      </c>
      <c r="C1339" s="255" t="s">
        <v>4656</v>
      </c>
      <c r="D1339" s="256" t="s">
        <v>4657</v>
      </c>
      <c r="E1339" s="26" t="s">
        <v>1701</v>
      </c>
      <c r="F1339" s="290" t="s">
        <v>4658</v>
      </c>
    </row>
    <row r="1340" customHeight="1" spans="1:6">
      <c r="A1340" s="9" t="s">
        <v>4659</v>
      </c>
      <c r="B1340" s="222" t="str">
        <f>IFERROR(__xludf.DUMMYFUNCTION("""COMPUTED_VALUE"""),"Ahmedin Umer mohammed /ato")</f>
        <v>Ahmedin Umer mohammed /ato</v>
      </c>
      <c r="C1340" s="222" t="str">
        <f>IFERROR(__xludf.DUMMYFUNCTION("""COMPUTED_VALUE"""),"አህመዲን ዑመር መሃመድ አቶ")</f>
        <v>አህመዲን ዑመር መሃመድ አቶ</v>
      </c>
      <c r="D1340" s="222" t="str">
        <f>IFERROR(__xludf.DUMMYFUNCTION("""COMPUTED_VALUE"""),"0911-530007")</f>
        <v>0911-530007</v>
      </c>
      <c r="E1340" s="222" t="str">
        <f>IFERROR(__xludf.DUMMYFUNCTION("""COMPUTED_VALUE"""),"addis Ababa")</f>
        <v>addis Ababa</v>
      </c>
      <c r="F1340" s="222"/>
    </row>
    <row r="1341" customHeight="1" spans="1:6">
      <c r="A1341" s="9" t="s">
        <v>4660</v>
      </c>
      <c r="B1341" s="222" t="str">
        <f>IFERROR(__xludf.DUMMYFUNCTION("""COMPUTED_VALUE"""),"Ahmedin Umer mohammed /ato")</f>
        <v>Ahmedin Umer mohammed /ato</v>
      </c>
      <c r="C1341" s="222" t="str">
        <f>IFERROR(__xludf.DUMMYFUNCTION("""COMPUTED_VALUE"""),"አህመዲን ዑመር መሃመድ አቶ")</f>
        <v>አህመዲን ዑመር መሃመድ አቶ</v>
      </c>
      <c r="D1341" s="222" t="str">
        <f>IFERROR(__xludf.DUMMYFUNCTION("""COMPUTED_VALUE"""),"0911-530007")</f>
        <v>0911-530007</v>
      </c>
      <c r="E1341" s="222" t="str">
        <f>IFERROR(__xludf.DUMMYFUNCTION("""COMPUTED_VALUE"""),"addis abeba")</f>
        <v>addis abeba</v>
      </c>
      <c r="F1341" s="222"/>
    </row>
    <row r="1342" customHeight="1" spans="1:6">
      <c r="A1342" s="9" t="s">
        <v>4661</v>
      </c>
      <c r="B1342" s="215" t="s">
        <v>4662</v>
      </c>
      <c r="C1342" s="205" t="s">
        <v>4663</v>
      </c>
      <c r="D1342" s="227" t="s">
        <v>4664</v>
      </c>
      <c r="E1342" s="193" t="s">
        <v>120</v>
      </c>
      <c r="F1342" s="216" t="s">
        <v>4665</v>
      </c>
    </row>
    <row r="1343" customHeight="1" spans="1:6">
      <c r="A1343" s="9" t="s">
        <v>4666</v>
      </c>
      <c r="B1343" s="200" t="s">
        <v>4667</v>
      </c>
      <c r="C1343" s="192" t="s">
        <v>4668</v>
      </c>
      <c r="D1343" s="194" t="s">
        <v>4669</v>
      </c>
      <c r="E1343" s="193" t="s">
        <v>202</v>
      </c>
      <c r="F1343" s="191"/>
    </row>
    <row r="1344" customHeight="1" spans="1:6">
      <c r="A1344" s="9" t="s">
        <v>4670</v>
      </c>
      <c r="B1344" s="214" t="s">
        <v>4671</v>
      </c>
      <c r="C1344" s="214" t="s">
        <v>4672</v>
      </c>
      <c r="D1344" s="194"/>
      <c r="E1344" s="204" t="s">
        <v>92</v>
      </c>
      <c r="F1344" s="204"/>
    </row>
    <row r="1345" customHeight="1" spans="1:6">
      <c r="A1345" s="9" t="s">
        <v>4673</v>
      </c>
      <c r="B1345" s="215" t="s">
        <v>4674</v>
      </c>
      <c r="C1345" s="205" t="s">
        <v>4675</v>
      </c>
      <c r="D1345" s="342" t="s">
        <v>4676</v>
      </c>
      <c r="E1345" s="193" t="s">
        <v>120</v>
      </c>
      <c r="F1345" s="216"/>
    </row>
    <row r="1346" customHeight="1" spans="1:6">
      <c r="A1346" s="9" t="s">
        <v>4677</v>
      </c>
      <c r="B1346" s="205" t="s">
        <v>4678</v>
      </c>
      <c r="C1346" s="205" t="s">
        <v>4679</v>
      </c>
      <c r="D1346" s="206" t="s">
        <v>4680</v>
      </c>
      <c r="E1346" s="193" t="s">
        <v>120</v>
      </c>
      <c r="F1346" s="221" t="s">
        <v>4681</v>
      </c>
    </row>
    <row r="1347" customHeight="1" spans="1:6">
      <c r="A1347" s="9" t="s">
        <v>4682</v>
      </c>
      <c r="B1347" s="214" t="s">
        <v>4683</v>
      </c>
      <c r="C1347" s="214" t="s">
        <v>4679</v>
      </c>
      <c r="D1347" s="194"/>
      <c r="E1347" s="204" t="s">
        <v>92</v>
      </c>
      <c r="F1347" s="204"/>
    </row>
    <row r="1348" customHeight="1" spans="1:6">
      <c r="A1348" s="9" t="s">
        <v>4684</v>
      </c>
      <c r="B1348" s="200" t="s">
        <v>4685</v>
      </c>
      <c r="C1348" s="202" t="s">
        <v>4686</v>
      </c>
      <c r="D1348" s="152" t="s">
        <v>4687</v>
      </c>
      <c r="E1348" s="154" t="s">
        <v>232</v>
      </c>
      <c r="F1348" s="180"/>
    </row>
    <row r="1349" customHeight="1" spans="1:6">
      <c r="A1349" s="9" t="s">
        <v>4688</v>
      </c>
      <c r="B1349" s="215" t="s">
        <v>4689</v>
      </c>
      <c r="C1349" s="205" t="s">
        <v>4690</v>
      </c>
      <c r="D1349" s="255" t="s">
        <v>4691</v>
      </c>
      <c r="E1349" s="26" t="s">
        <v>92</v>
      </c>
      <c r="F1349" s="26" t="s">
        <v>4692</v>
      </c>
    </row>
    <row r="1350" customHeight="1" spans="1:6">
      <c r="A1350" s="9" t="s">
        <v>4693</v>
      </c>
      <c r="B1350" s="205" t="s">
        <v>4694</v>
      </c>
      <c r="C1350" s="205" t="s">
        <v>4695</v>
      </c>
      <c r="D1350" s="206" t="s">
        <v>4696</v>
      </c>
      <c r="E1350" s="193" t="s">
        <v>120</v>
      </c>
      <c r="F1350" s="239"/>
    </row>
    <row r="1351" customHeight="1" spans="1:6">
      <c r="A1351" s="9" t="s">
        <v>4697</v>
      </c>
      <c r="B1351" s="205" t="s">
        <v>4698</v>
      </c>
      <c r="C1351" s="205" t="s">
        <v>4699</v>
      </c>
      <c r="D1351" s="206" t="s">
        <v>4700</v>
      </c>
      <c r="E1351" s="193" t="s">
        <v>120</v>
      </c>
      <c r="F1351" s="239"/>
    </row>
    <row r="1352" customHeight="1" spans="1:6">
      <c r="A1352" s="9" t="s">
        <v>4701</v>
      </c>
      <c r="B1352" s="153" t="s">
        <v>4702</v>
      </c>
      <c r="C1352" s="202" t="s">
        <v>4703</v>
      </c>
      <c r="D1352" s="154">
        <v>961865324</v>
      </c>
      <c r="E1352" s="154" t="s">
        <v>9</v>
      </c>
      <c r="F1352" s="180"/>
    </row>
    <row r="1353" customHeight="1" spans="1:6">
      <c r="A1353" s="9" t="s">
        <v>4704</v>
      </c>
      <c r="B1353" s="195" t="s">
        <v>4705</v>
      </c>
      <c r="C1353" s="213" t="s">
        <v>4706</v>
      </c>
      <c r="D1353" s="197"/>
      <c r="E1353" s="197" t="s">
        <v>1852</v>
      </c>
      <c r="F1353" s="197"/>
    </row>
    <row r="1354" customHeight="1" spans="1:6">
      <c r="A1354" s="9" t="s">
        <v>4707</v>
      </c>
      <c r="B1354" s="201" t="s">
        <v>4708</v>
      </c>
      <c r="C1354" s="202" t="s">
        <v>4709</v>
      </c>
      <c r="D1354" s="154" t="s">
        <v>4710</v>
      </c>
      <c r="E1354" s="154" t="s">
        <v>186</v>
      </c>
      <c r="F1354" s="180"/>
    </row>
    <row r="1355" customHeight="1" spans="1:6">
      <c r="A1355" s="9" t="s">
        <v>4711</v>
      </c>
      <c r="B1355" s="200" t="s">
        <v>4712</v>
      </c>
      <c r="C1355" s="192" t="s">
        <v>4713</v>
      </c>
      <c r="D1355" s="194" t="s">
        <v>4714</v>
      </c>
      <c r="E1355" s="194" t="s">
        <v>273</v>
      </c>
      <c r="F1355" s="194"/>
    </row>
    <row r="1356" customHeight="1" spans="1:6">
      <c r="A1356" s="9" t="s">
        <v>4715</v>
      </c>
      <c r="B1356" s="214" t="s">
        <v>4716</v>
      </c>
      <c r="C1356" s="214" t="s">
        <v>4717</v>
      </c>
      <c r="D1356" s="194"/>
      <c r="E1356" s="204" t="s">
        <v>92</v>
      </c>
      <c r="F1356" s="204"/>
    </row>
    <row r="1357" customHeight="1" spans="1:6">
      <c r="A1357" s="9" t="s">
        <v>4718</v>
      </c>
      <c r="B1357" s="195" t="s">
        <v>4719</v>
      </c>
      <c r="C1357" s="196" t="s">
        <v>4720</v>
      </c>
      <c r="D1357" s="197"/>
      <c r="E1357" s="198" t="s">
        <v>202</v>
      </c>
      <c r="F1357" s="199"/>
    </row>
    <row r="1358" customHeight="1" spans="1:6">
      <c r="A1358" s="9" t="s">
        <v>4721</v>
      </c>
      <c r="B1358" s="234" t="s">
        <v>4722</v>
      </c>
      <c r="C1358" s="235" t="s">
        <v>4723</v>
      </c>
      <c r="D1358" s="344" t="s">
        <v>4724</v>
      </c>
      <c r="E1358" s="45" t="s">
        <v>691</v>
      </c>
      <c r="F1358" s="288" t="s">
        <v>4725</v>
      </c>
    </row>
    <row r="1359" customHeight="1" spans="1:6">
      <c r="A1359" s="9" t="s">
        <v>4726</v>
      </c>
      <c r="B1359" s="200" t="s">
        <v>4727</v>
      </c>
      <c r="C1359" s="192" t="s">
        <v>4728</v>
      </c>
      <c r="D1359" s="194"/>
      <c r="E1359" s="194" t="s">
        <v>273</v>
      </c>
      <c r="F1359" s="194"/>
    </row>
    <row r="1360" customHeight="1" spans="1:6">
      <c r="A1360" s="9" t="s">
        <v>4729</v>
      </c>
      <c r="B1360" s="200" t="s">
        <v>4730</v>
      </c>
      <c r="C1360" s="202" t="s">
        <v>4731</v>
      </c>
      <c r="D1360" s="152" t="s">
        <v>4732</v>
      </c>
      <c r="E1360" s="154" t="s">
        <v>243</v>
      </c>
      <c r="F1360" s="180"/>
    </row>
    <row r="1361" customHeight="1" spans="1:6">
      <c r="A1361" s="9" t="s">
        <v>4733</v>
      </c>
      <c r="B1361" s="195" t="s">
        <v>4734</v>
      </c>
      <c r="C1361" s="196" t="s">
        <v>4735</v>
      </c>
      <c r="D1361" s="197" t="s">
        <v>4736</v>
      </c>
      <c r="E1361" s="197" t="s">
        <v>58</v>
      </c>
      <c r="F1361" s="197"/>
    </row>
    <row r="1362" customHeight="1" spans="1:6">
      <c r="A1362" s="9" t="s">
        <v>4737</v>
      </c>
      <c r="B1362" s="153" t="s">
        <v>4738</v>
      </c>
      <c r="C1362" s="212" t="s">
        <v>4739</v>
      </c>
      <c r="D1362" s="197" t="s">
        <v>4740</v>
      </c>
      <c r="E1362" s="154" t="s">
        <v>104</v>
      </c>
      <c r="F1362" s="199"/>
    </row>
    <row r="1363" customHeight="1" spans="1:6">
      <c r="A1363" s="9" t="s">
        <v>4741</v>
      </c>
      <c r="B1363" s="195" t="s">
        <v>4742</v>
      </c>
      <c r="C1363" s="202" t="s">
        <v>4743</v>
      </c>
      <c r="D1363" s="152" t="s">
        <v>4744</v>
      </c>
      <c r="E1363" s="154" t="s">
        <v>211</v>
      </c>
      <c r="F1363" s="180"/>
    </row>
    <row r="1364" customHeight="1" spans="1:6">
      <c r="A1364" s="9" t="s">
        <v>4745</v>
      </c>
      <c r="B1364" s="160" t="s">
        <v>4746</v>
      </c>
      <c r="C1364" s="160" t="s">
        <v>4747</v>
      </c>
      <c r="D1364" s="204" t="s">
        <v>4748</v>
      </c>
      <c r="E1364" s="204" t="s">
        <v>92</v>
      </c>
      <c r="F1364" s="204"/>
    </row>
    <row r="1365" customHeight="1" spans="1:6">
      <c r="A1365" s="9" t="s">
        <v>4749</v>
      </c>
      <c r="B1365" s="201" t="s">
        <v>4750</v>
      </c>
      <c r="C1365" s="202" t="s">
        <v>4751</v>
      </c>
      <c r="D1365" s="154" t="s">
        <v>4752</v>
      </c>
      <c r="E1365" s="154"/>
      <c r="F1365" s="180"/>
    </row>
    <row r="1366" customHeight="1" spans="1:6">
      <c r="A1366" s="9" t="s">
        <v>4753</v>
      </c>
      <c r="B1366" s="214" t="s">
        <v>4754</v>
      </c>
      <c r="C1366" s="214" t="s">
        <v>4755</v>
      </c>
      <c r="D1366" s="194"/>
      <c r="E1366" s="204" t="s">
        <v>92</v>
      </c>
      <c r="F1366" s="204"/>
    </row>
    <row r="1367" customHeight="1" spans="1:6">
      <c r="A1367" s="9" t="s">
        <v>4756</v>
      </c>
      <c r="B1367" s="214" t="s">
        <v>4757</v>
      </c>
      <c r="C1367" s="214" t="s">
        <v>4758</v>
      </c>
      <c r="D1367" s="194"/>
      <c r="E1367" s="204" t="s">
        <v>92</v>
      </c>
      <c r="F1367" s="204"/>
    </row>
    <row r="1368" customHeight="1" spans="1:6">
      <c r="A1368" s="9" t="s">
        <v>4759</v>
      </c>
      <c r="B1368" s="201" t="s">
        <v>4760</v>
      </c>
      <c r="C1368" s="202" t="s">
        <v>4761</v>
      </c>
      <c r="D1368" s="154" t="s">
        <v>4762</v>
      </c>
      <c r="E1368" s="154" t="s">
        <v>186</v>
      </c>
      <c r="F1368" s="180"/>
    </row>
    <row r="1369" customHeight="1" spans="1:6">
      <c r="A1369" s="9" t="s">
        <v>4763</v>
      </c>
      <c r="B1369" s="260" t="s">
        <v>4764</v>
      </c>
      <c r="C1369" s="243" t="s">
        <v>4765</v>
      </c>
      <c r="D1369" s="154"/>
      <c r="E1369" s="158" t="s">
        <v>243</v>
      </c>
      <c r="F1369" s="153"/>
    </row>
    <row r="1370" customHeight="1" spans="1:6">
      <c r="A1370" s="9" t="s">
        <v>4766</v>
      </c>
      <c r="B1370" s="201" t="s">
        <v>4767</v>
      </c>
      <c r="C1370" s="202" t="s">
        <v>4768</v>
      </c>
      <c r="D1370" s="154"/>
      <c r="E1370" s="154" t="s">
        <v>243</v>
      </c>
      <c r="F1370" s="180"/>
    </row>
    <row r="1371" customHeight="1" spans="1:6">
      <c r="A1371" s="9" t="s">
        <v>4769</v>
      </c>
      <c r="B1371" s="222" t="str">
        <f>IFERROR(__xludf.DUMMYFUNCTION("""COMPUTED_VALUE"""),"Akalu Kebede Beri /Ato/ and/or Mihretab Fikra /W/o/")</f>
        <v>Akalu Kebede Beri /Ato/ and/or Mihretab Fikra /W/o/</v>
      </c>
      <c r="C1371" s="222" t="str">
        <f>IFERROR(__xludf.DUMMYFUNCTION("""COMPUTED_VALUE"""),"አካሉ ከበደ በሪ /አቶ/ እና/ወይም ምህረትአብ ፍቅሬ")</f>
        <v>አካሉ ከበደ በሪ /አቶ/ እና/ወይም ምህረትአብ ፍቅሬ</v>
      </c>
      <c r="D1371" s="222" t="str">
        <f>IFERROR(__xludf.DUMMYFUNCTION("""COMPUTED_VALUE"""),"0112-794964
0911-251255")</f>
        <v>0112-794964
0911-251255</v>
      </c>
      <c r="E1371" s="222" t="str">
        <f>IFERROR(__xludf.DUMMYFUNCTION("""COMPUTED_VALUE"""),"Addis Ababa")</f>
        <v>Addis Ababa</v>
      </c>
      <c r="F1371" s="222" t="str">
        <f>IFERROR(__xludf.DUMMYFUNCTION("""COMPUTED_VALUE"""),"akakebe@gmail.com")</f>
        <v>akakebe@gmail.com</v>
      </c>
    </row>
    <row r="1372" customHeight="1" spans="1:6">
      <c r="A1372" s="9" t="s">
        <v>4770</v>
      </c>
      <c r="B1372" s="153" t="s">
        <v>4771</v>
      </c>
      <c r="C1372" s="202" t="s">
        <v>4772</v>
      </c>
      <c r="D1372" s="154">
        <v>934442544</v>
      </c>
      <c r="E1372" s="154" t="s">
        <v>104</v>
      </c>
      <c r="F1372" s="180"/>
    </row>
    <row r="1373" customHeight="1" spans="1:6">
      <c r="A1373" s="9" t="s">
        <v>4773</v>
      </c>
      <c r="B1373" s="200" t="s">
        <v>4774</v>
      </c>
      <c r="C1373" s="246" t="s">
        <v>4775</v>
      </c>
      <c r="D1373" s="194"/>
      <c r="E1373" s="194" t="s">
        <v>1852</v>
      </c>
      <c r="F1373" s="194"/>
    </row>
    <row r="1374" customHeight="1" spans="1:6">
      <c r="A1374" s="9" t="s">
        <v>4776</v>
      </c>
      <c r="B1374" s="234" t="s">
        <v>4777</v>
      </c>
      <c r="C1374" s="235" t="s">
        <v>4778</v>
      </c>
      <c r="D1374" s="36">
        <v>912667820</v>
      </c>
      <c r="E1374" s="45" t="s">
        <v>691</v>
      </c>
      <c r="F1374" s="288" t="s">
        <v>4779</v>
      </c>
    </row>
    <row r="1375" customHeight="1" spans="1:6">
      <c r="A1375" s="9" t="s">
        <v>4780</v>
      </c>
      <c r="B1375" s="200" t="s">
        <v>4781</v>
      </c>
      <c r="C1375" s="236" t="s">
        <v>4782</v>
      </c>
      <c r="D1375" s="194" t="s">
        <v>4783</v>
      </c>
      <c r="E1375" s="154" t="s">
        <v>104</v>
      </c>
      <c r="F1375" s="191"/>
    </row>
    <row r="1376" customHeight="1" spans="1:6">
      <c r="A1376" s="9" t="s">
        <v>4784</v>
      </c>
      <c r="B1376" s="195" t="s">
        <v>4785</v>
      </c>
      <c r="C1376" s="202" t="s">
        <v>4786</v>
      </c>
      <c r="D1376" s="152" t="s">
        <v>4787</v>
      </c>
      <c r="E1376" s="154" t="s">
        <v>181</v>
      </c>
      <c r="F1376" s="180"/>
    </row>
    <row r="1377" customHeight="1" spans="1:6">
      <c r="A1377" s="9" t="s">
        <v>4788</v>
      </c>
      <c r="B1377" s="276" t="str">
        <f>IFERROR(__xludf.DUMMYFUNCTION("""COMPUTED_VALUE"""),"Akililu Bekele Tefera /Ato/ and/or Aklesiya Workneh Desta /W/o/")</f>
        <v>Akililu Bekele Tefera /Ato/ and/or Aklesiya Workneh Desta /W/o/</v>
      </c>
      <c r="C1377" s="276" t="str">
        <f>IFERROR(__xludf.DUMMYFUNCTION("""COMPUTED_VALUE"""),"አክሊሉ በቀለ ተፈራ /አቶ/ እና/ወይም")</f>
        <v>አክሊሉ በቀለ ተፈራ /አቶ/ እና/ወይም</v>
      </c>
      <c r="D1377" s="276" t="str">
        <f>IFERROR(__xludf.DUMMYFUNCTION("""COMPUTED_VALUE"""),"0911-632850")</f>
        <v>0911-632850</v>
      </c>
      <c r="E1377" s="276" t="str">
        <f>IFERROR(__xludf.DUMMYFUNCTION("""COMPUTED_VALUE"""),"Addis Ababa")</f>
        <v>Addis Ababa</v>
      </c>
      <c r="F1377" s="276"/>
    </row>
    <row r="1378" customHeight="1" spans="1:6">
      <c r="A1378" s="9" t="s">
        <v>4789</v>
      </c>
      <c r="B1378" s="214" t="s">
        <v>4790</v>
      </c>
      <c r="C1378" s="214" t="s">
        <v>4791</v>
      </c>
      <c r="D1378" s="194"/>
      <c r="E1378" s="204" t="s">
        <v>92</v>
      </c>
      <c r="F1378" s="204"/>
    </row>
    <row r="1379" customHeight="1" spans="1:6">
      <c r="A1379" s="9" t="s">
        <v>4792</v>
      </c>
      <c r="B1379" s="215" t="s">
        <v>4793</v>
      </c>
      <c r="C1379" s="205" t="s">
        <v>4794</v>
      </c>
      <c r="D1379" s="342" t="s">
        <v>4795</v>
      </c>
      <c r="E1379" s="193" t="s">
        <v>120</v>
      </c>
      <c r="F1379" s="216"/>
    </row>
    <row r="1380" customHeight="1" spans="1:6">
      <c r="A1380" s="9" t="s">
        <v>4796</v>
      </c>
      <c r="B1380" s="214" t="s">
        <v>4797</v>
      </c>
      <c r="C1380" s="214" t="s">
        <v>4798</v>
      </c>
      <c r="D1380" s="194"/>
      <c r="E1380" s="204" t="s">
        <v>92</v>
      </c>
      <c r="F1380" s="204"/>
    </row>
    <row r="1381" customHeight="1" spans="1:6">
      <c r="A1381" s="9" t="s">
        <v>4799</v>
      </c>
      <c r="B1381" s="200" t="s">
        <v>4800</v>
      </c>
      <c r="C1381" s="202" t="s">
        <v>4801</v>
      </c>
      <c r="D1381" s="152" t="s">
        <v>4802</v>
      </c>
      <c r="E1381" s="154" t="s">
        <v>181</v>
      </c>
      <c r="F1381" s="180"/>
    </row>
    <row r="1382" customHeight="1" spans="1:6">
      <c r="A1382" s="9" t="s">
        <v>4803</v>
      </c>
      <c r="B1382" s="234" t="s">
        <v>4804</v>
      </c>
      <c r="C1382" s="235" t="s">
        <v>4805</v>
      </c>
      <c r="D1382" s="36">
        <v>911603883</v>
      </c>
      <c r="E1382" s="45" t="s">
        <v>691</v>
      </c>
      <c r="F1382" s="45"/>
    </row>
    <row r="1383" customHeight="1" spans="1:6">
      <c r="A1383" s="9" t="s">
        <v>4806</v>
      </c>
      <c r="B1383" s="205" t="s">
        <v>4807</v>
      </c>
      <c r="C1383" s="205" t="s">
        <v>4808</v>
      </c>
      <c r="D1383" s="206" t="s">
        <v>4809</v>
      </c>
      <c r="E1383" s="193" t="s">
        <v>120</v>
      </c>
      <c r="F1383" s="221" t="s">
        <v>4810</v>
      </c>
    </row>
    <row r="1384" customHeight="1" spans="1:6">
      <c r="A1384" s="9" t="s">
        <v>4811</v>
      </c>
      <c r="B1384" s="205" t="s">
        <v>4812</v>
      </c>
      <c r="C1384" s="205" t="s">
        <v>4813</v>
      </c>
      <c r="D1384" s="206" t="s">
        <v>4814</v>
      </c>
      <c r="E1384" s="193" t="s">
        <v>120</v>
      </c>
      <c r="F1384" s="239" t="s">
        <v>4815</v>
      </c>
    </row>
    <row r="1385" customHeight="1" spans="1:6">
      <c r="A1385" s="9" t="s">
        <v>4816</v>
      </c>
      <c r="B1385" s="194" t="s">
        <v>4817</v>
      </c>
      <c r="C1385" s="202" t="s">
        <v>4818</v>
      </c>
      <c r="D1385" s="248"/>
      <c r="E1385" s="154" t="s">
        <v>104</v>
      </c>
      <c r="F1385" s="180"/>
    </row>
    <row r="1386" customHeight="1" spans="1:6">
      <c r="A1386" s="9" t="s">
        <v>4819</v>
      </c>
      <c r="B1386" s="214" t="s">
        <v>4820</v>
      </c>
      <c r="C1386" s="214" t="s">
        <v>4821</v>
      </c>
      <c r="D1386" s="194"/>
      <c r="E1386" s="204" t="s">
        <v>92</v>
      </c>
      <c r="F1386" s="204"/>
    </row>
    <row r="1387" customHeight="1" spans="1:6">
      <c r="A1387" s="9" t="s">
        <v>4822</v>
      </c>
      <c r="B1387" s="153" t="s">
        <v>4823</v>
      </c>
      <c r="C1387" s="202" t="s">
        <v>4824</v>
      </c>
      <c r="D1387" s="154"/>
      <c r="E1387" s="154" t="s">
        <v>104</v>
      </c>
      <c r="F1387" s="180"/>
    </row>
    <row r="1388" customHeight="1" spans="1:6">
      <c r="A1388" s="9" t="s">
        <v>4825</v>
      </c>
      <c r="B1388" s="214" t="s">
        <v>4826</v>
      </c>
      <c r="C1388" s="214" t="s">
        <v>4827</v>
      </c>
      <c r="D1388" s="194"/>
      <c r="E1388" s="204" t="s">
        <v>92</v>
      </c>
      <c r="F1388" s="204"/>
    </row>
    <row r="1389" customHeight="1" spans="1:6">
      <c r="A1389" s="9" t="s">
        <v>4828</v>
      </c>
      <c r="B1389" s="223" t="s">
        <v>4829</v>
      </c>
      <c r="C1389" s="223" t="s">
        <v>4830</v>
      </c>
      <c r="D1389" s="204" t="s">
        <v>4831</v>
      </c>
      <c r="E1389" s="204" t="s">
        <v>92</v>
      </c>
      <c r="F1389" s="204"/>
    </row>
    <row r="1390" customHeight="1" spans="1:6">
      <c r="A1390" s="9" t="s">
        <v>4832</v>
      </c>
      <c r="B1390" s="200" t="s">
        <v>4833</v>
      </c>
      <c r="C1390" s="202" t="s">
        <v>4834</v>
      </c>
      <c r="D1390" s="152"/>
      <c r="E1390" s="154" t="s">
        <v>104</v>
      </c>
      <c r="F1390" s="180"/>
    </row>
    <row r="1391" customHeight="1" spans="1:6">
      <c r="A1391" s="9" t="s">
        <v>4835</v>
      </c>
      <c r="B1391" s="223" t="s">
        <v>4836</v>
      </c>
      <c r="C1391" s="223" t="s">
        <v>4837</v>
      </c>
      <c r="D1391" s="204" t="s">
        <v>4838</v>
      </c>
      <c r="E1391" s="204" t="s">
        <v>92</v>
      </c>
      <c r="F1391" s="204"/>
    </row>
    <row r="1392" customHeight="1" spans="1:6">
      <c r="A1392" s="9" t="s">
        <v>4839</v>
      </c>
      <c r="B1392" s="160" t="s">
        <v>4840</v>
      </c>
      <c r="C1392" s="160" t="s">
        <v>4841</v>
      </c>
      <c r="D1392" s="204" t="s">
        <v>4842</v>
      </c>
      <c r="E1392" s="204" t="s">
        <v>92</v>
      </c>
      <c r="F1392" s="204"/>
    </row>
    <row r="1393" customHeight="1" spans="1:6">
      <c r="A1393" s="9" t="s">
        <v>4843</v>
      </c>
      <c r="B1393" s="222" t="str">
        <f>IFERROR(__xludf.DUMMYFUNCTION("""COMPUTED_VALUE"""),"Aklil Zeleke Biru /Ato")</f>
        <v>Aklil Zeleke Biru /Ato</v>
      </c>
      <c r="C1393" s="222" t="str">
        <f>IFERROR(__xludf.DUMMYFUNCTION("""COMPUTED_VALUE"""),"አከሊል ዘለቀ ብሩ /አቶ")</f>
        <v>አከሊል ዘለቀ ብሩ /አቶ</v>
      </c>
      <c r="D1393" s="222" t="str">
        <f>IFERROR(__xludf.DUMMYFUNCTION("""COMPUTED_VALUE"""),"929094193")</f>
        <v>929094193</v>
      </c>
      <c r="E1393" s="222" t="str">
        <f>IFERROR(__xludf.DUMMYFUNCTION("""COMPUTED_VALUE"""),"Addis Ababa")</f>
        <v>Addis Ababa</v>
      </c>
      <c r="F1393" s="222" t="str">
        <f>IFERROR(__xludf.DUMMYFUNCTION("""COMPUTED_VALUE"""),"aklil.biru@gmail.com")</f>
        <v>aklil.biru@gmail.com</v>
      </c>
    </row>
    <row r="1394" customHeight="1" spans="1:6">
      <c r="A1394" s="9" t="s">
        <v>4844</v>
      </c>
      <c r="B1394" s="223" t="s">
        <v>4845</v>
      </c>
      <c r="C1394" s="223" t="s">
        <v>4846</v>
      </c>
      <c r="D1394" s="204" t="s">
        <v>4847</v>
      </c>
      <c r="E1394" s="204" t="s">
        <v>92</v>
      </c>
      <c r="F1394" s="204"/>
    </row>
    <row r="1395" customHeight="1" spans="1:6">
      <c r="A1395" s="9" t="s">
        <v>4848</v>
      </c>
      <c r="B1395" s="160" t="s">
        <v>4849</v>
      </c>
      <c r="C1395" s="160" t="s">
        <v>4850</v>
      </c>
      <c r="D1395" s="204" t="s">
        <v>4851</v>
      </c>
      <c r="E1395" s="204" t="s">
        <v>92</v>
      </c>
      <c r="F1395" s="204"/>
    </row>
    <row r="1396" customHeight="1" spans="1:6">
      <c r="A1396" s="9" t="s">
        <v>4852</v>
      </c>
      <c r="B1396" s="219" t="s">
        <v>4853</v>
      </c>
      <c r="C1396" s="219" t="s">
        <v>4854</v>
      </c>
      <c r="D1396" s="194"/>
      <c r="E1396" s="204" t="s">
        <v>92</v>
      </c>
      <c r="F1396" s="204"/>
    </row>
    <row r="1397" customHeight="1" spans="1:6">
      <c r="A1397" s="9" t="s">
        <v>4855</v>
      </c>
      <c r="B1397" s="195" t="s">
        <v>4856</v>
      </c>
      <c r="C1397" s="213" t="s">
        <v>4857</v>
      </c>
      <c r="D1397" s="197" t="s">
        <v>4858</v>
      </c>
      <c r="E1397" s="197" t="s">
        <v>186</v>
      </c>
      <c r="F1397" s="197"/>
    </row>
    <row r="1398" customHeight="1" spans="1:6">
      <c r="A1398" s="9" t="s">
        <v>4859</v>
      </c>
      <c r="B1398" s="222" t="s">
        <v>4860</v>
      </c>
      <c r="C1398" s="222" t="str">
        <f>IFERROR(__xludf.DUMMYFUNCTION("""COMPUTED_VALUE"""),"አክሊሉ አለማየሀ /አቶ")</f>
        <v>አክሊሉ አለማየሀ /አቶ</v>
      </c>
      <c r="D1398" s="222" t="str">
        <f>IFERROR(__xludf.DUMMYFUNCTION("""COMPUTED_VALUE"""),"912144861")</f>
        <v>912144861</v>
      </c>
      <c r="E1398" s="222" t="str">
        <f>IFERROR(__xludf.DUMMYFUNCTION("""COMPUTED_VALUE"""),"A/A")</f>
        <v>A/A</v>
      </c>
      <c r="F1398" s="222" t="str">
        <f>IFERROR(__xludf.DUMMYFUNCTION("""COMPUTED_VALUE"""),"mensisteaaklilu@gmail.com")</f>
        <v>mensisteaaklilu@gmail.com</v>
      </c>
    </row>
    <row r="1399" customHeight="1" spans="1:6">
      <c r="A1399" s="9" t="s">
        <v>4861</v>
      </c>
      <c r="B1399" s="260" t="s">
        <v>4862</v>
      </c>
      <c r="C1399" s="243" t="s">
        <v>4863</v>
      </c>
      <c r="D1399" s="154"/>
      <c r="E1399" s="158" t="s">
        <v>243</v>
      </c>
      <c r="F1399" s="153"/>
    </row>
    <row r="1400" customHeight="1" spans="1:6">
      <c r="A1400" s="9" t="s">
        <v>4864</v>
      </c>
      <c r="B1400" s="233" t="s">
        <v>4865</v>
      </c>
      <c r="C1400" s="233" t="s">
        <v>4866</v>
      </c>
      <c r="D1400" s="204" t="s">
        <v>4867</v>
      </c>
      <c r="E1400" s="204" t="s">
        <v>2067</v>
      </c>
      <c r="F1400" s="204" t="s">
        <v>4868</v>
      </c>
    </row>
    <row r="1401" customHeight="1" spans="1:6">
      <c r="A1401" s="9" t="s">
        <v>4869</v>
      </c>
      <c r="B1401" s="291" t="str">
        <f>IFERROR(__xludf.DUMMYFUNCTION("query(Transactions!A4:N1000,""select C,D,E,F,G,H,I,J,K,L,M,N where I = date '2023-06-8' "")"),"Aklilu Almayha /Ato")</f>
        <v>Aklilu Almayha /Ato</v>
      </c>
      <c r="C1401" s="222" t="str">
        <f>IFERROR(__xludf.DUMMYFUNCTION("""COMPUTED_VALUE"""),"አክሊሉ አለማየሀ /አቶ")</f>
        <v>አክሊሉ አለማየሀ /አቶ</v>
      </c>
      <c r="D1401" s="222" t="str">
        <f>IFERROR(__xludf.DUMMYFUNCTION("""COMPUTED_VALUE"""),"912144861")</f>
        <v>912144861</v>
      </c>
      <c r="E1401" s="222" t="str">
        <f>IFERROR(__xludf.DUMMYFUNCTION("""COMPUTED_VALUE"""),"A/A")</f>
        <v>A/A</v>
      </c>
      <c r="F1401" s="222" t="str">
        <f>IFERROR(__xludf.DUMMYFUNCTION("""COMPUTED_VALUE"""),"mensisteaaklilu@gmail.com")</f>
        <v>mensisteaaklilu@gmail.com</v>
      </c>
    </row>
    <row r="1402" customHeight="1" spans="1:6">
      <c r="A1402" s="9" t="s">
        <v>4870</v>
      </c>
      <c r="B1402" s="214" t="s">
        <v>4871</v>
      </c>
      <c r="C1402" s="214" t="s">
        <v>4872</v>
      </c>
      <c r="D1402" s="194"/>
      <c r="E1402" s="204" t="s">
        <v>92</v>
      </c>
      <c r="F1402" s="204"/>
    </row>
    <row r="1403" customHeight="1" spans="1:6">
      <c r="A1403" s="9" t="s">
        <v>4873</v>
      </c>
      <c r="B1403" s="215" t="s">
        <v>4874</v>
      </c>
      <c r="C1403" s="205" t="s">
        <v>4875</v>
      </c>
      <c r="D1403" s="342" t="s">
        <v>4876</v>
      </c>
      <c r="E1403" s="193" t="s">
        <v>120</v>
      </c>
      <c r="F1403" s="216" t="s">
        <v>4877</v>
      </c>
    </row>
    <row r="1404" customHeight="1" spans="1:6">
      <c r="A1404" s="9" t="s">
        <v>4878</v>
      </c>
      <c r="B1404" s="223" t="s">
        <v>4879</v>
      </c>
      <c r="C1404" s="223" t="s">
        <v>4880</v>
      </c>
      <c r="D1404" s="204" t="s">
        <v>4881</v>
      </c>
      <c r="E1404" s="204" t="s">
        <v>92</v>
      </c>
      <c r="F1404" s="204"/>
    </row>
    <row r="1405" customHeight="1" spans="1:6">
      <c r="A1405" s="9" t="s">
        <v>4882</v>
      </c>
      <c r="B1405" s="200" t="s">
        <v>4883</v>
      </c>
      <c r="C1405" s="246" t="s">
        <v>4884</v>
      </c>
      <c r="D1405" s="194" t="s">
        <v>4885</v>
      </c>
      <c r="E1405" s="194" t="s">
        <v>186</v>
      </c>
      <c r="F1405" s="194"/>
    </row>
    <row r="1406" customHeight="1" spans="1:6">
      <c r="A1406" s="9" t="s">
        <v>4886</v>
      </c>
      <c r="B1406" s="214" t="s">
        <v>4887</v>
      </c>
      <c r="C1406" s="214" t="s">
        <v>4888</v>
      </c>
      <c r="D1406" s="194"/>
      <c r="E1406" s="204" t="s">
        <v>92</v>
      </c>
      <c r="F1406" s="204"/>
    </row>
    <row r="1407" customHeight="1" spans="1:6">
      <c r="A1407" s="9" t="s">
        <v>4889</v>
      </c>
      <c r="B1407" s="223" t="s">
        <v>4890</v>
      </c>
      <c r="C1407" s="223" t="s">
        <v>4891</v>
      </c>
      <c r="D1407" s="204" t="s">
        <v>4892</v>
      </c>
      <c r="E1407" s="204" t="s">
        <v>92</v>
      </c>
      <c r="F1407" s="204"/>
    </row>
    <row r="1408" customHeight="1" spans="1:6">
      <c r="A1408" s="9" t="s">
        <v>4893</v>
      </c>
      <c r="B1408" s="160" t="s">
        <v>4894</v>
      </c>
      <c r="C1408" s="160" t="s">
        <v>4895</v>
      </c>
      <c r="D1408" s="204" t="s">
        <v>4896</v>
      </c>
      <c r="E1408" s="204" t="s">
        <v>92</v>
      </c>
      <c r="F1408" s="204"/>
    </row>
    <row r="1409" customHeight="1" spans="1:6">
      <c r="A1409" s="9" t="s">
        <v>4897</v>
      </c>
      <c r="B1409" s="194" t="s">
        <v>4898</v>
      </c>
      <c r="C1409" s="192" t="s">
        <v>4899</v>
      </c>
      <c r="D1409" s="194"/>
      <c r="E1409" s="194" t="s">
        <v>243</v>
      </c>
      <c r="F1409" s="194"/>
    </row>
    <row r="1410" customHeight="1" spans="1:6">
      <c r="A1410" s="9" t="s">
        <v>4900</v>
      </c>
      <c r="B1410" s="223" t="s">
        <v>4901</v>
      </c>
      <c r="C1410" s="223" t="s">
        <v>4902</v>
      </c>
      <c r="D1410" s="204" t="s">
        <v>4903</v>
      </c>
      <c r="E1410" s="204" t="s">
        <v>92</v>
      </c>
      <c r="F1410" s="204" t="s">
        <v>4904</v>
      </c>
    </row>
    <row r="1411" customHeight="1" spans="1:6">
      <c r="A1411" s="9" t="s">
        <v>4905</v>
      </c>
      <c r="B1411" s="255" t="s">
        <v>4901</v>
      </c>
      <c r="C1411" s="255" t="s">
        <v>4906</v>
      </c>
      <c r="D1411" s="256" t="s">
        <v>4907</v>
      </c>
      <c r="E1411" s="26" t="s">
        <v>1701</v>
      </c>
      <c r="F1411" s="257" t="s">
        <v>4908</v>
      </c>
    </row>
    <row r="1412" customHeight="1" spans="1:6">
      <c r="A1412" s="9" t="s">
        <v>4909</v>
      </c>
      <c r="B1412" s="220" t="str">
        <f>IFERROR(__xludf.DUMMYFUNCTION("""COMPUTED_VALUE"""),"Aklilu Merid Mamuye")</f>
        <v>Aklilu Merid Mamuye</v>
      </c>
      <c r="C1412" s="220" t="str">
        <f>IFERROR(__xludf.DUMMYFUNCTION("""COMPUTED_VALUE"""),"አክሊሉ መርድ ማሙዬ")</f>
        <v>አክሊሉ መርድ ማሙዬ</v>
      </c>
      <c r="D1412" s="220" t="str">
        <f>IFERROR(__xludf.DUMMYFUNCTION("""COMPUTED_VALUE"""),"912202558")</f>
        <v>912202558</v>
      </c>
      <c r="E1412" s="220" t="str">
        <f>IFERROR(__xludf.DUMMYFUNCTION("""COMPUTED_VALUE"""),"Addis Ababa")</f>
        <v>Addis Ababa</v>
      </c>
      <c r="F1412" s="220" t="str">
        <f>IFERROR(__xludf.DUMMYFUNCTION("""COMPUTED_VALUE"""),"aklilmerid@gmail.com")</f>
        <v>aklilmerid@gmail.com</v>
      </c>
    </row>
    <row r="1413" customHeight="1" spans="1:6">
      <c r="A1413" s="9" t="s">
        <v>4910</v>
      </c>
      <c r="B1413" s="208" t="s">
        <v>4911</v>
      </c>
      <c r="C1413" s="208" t="s">
        <v>4912</v>
      </c>
      <c r="D1413" s="194"/>
      <c r="E1413" s="204" t="s">
        <v>92</v>
      </c>
      <c r="F1413" s="204"/>
    </row>
    <row r="1414" customHeight="1" spans="1:6">
      <c r="A1414" s="9" t="s">
        <v>4913</v>
      </c>
      <c r="B1414" s="276" t="str">
        <f>IFERROR(__xludf.DUMMYFUNCTION("""COMPUTED_VALUE"""),"Aklilu Shewangzaw Tefera")</f>
        <v>Aklilu Shewangzaw Tefera</v>
      </c>
      <c r="C1414" s="276" t="str">
        <f>IFERROR(__xludf.DUMMYFUNCTION("""COMPUTED_VALUE"""),"አክሊሉ ሸዋንግዛው ተፈራ")</f>
        <v>አክሊሉ ሸዋንግዛው ተፈራ</v>
      </c>
      <c r="D1414" s="276" t="str">
        <f>IFERROR(__xludf.DUMMYFUNCTION("""COMPUTED_VALUE"""),"0912-394562
0915826782")</f>
        <v>0912-394562
0915826782</v>
      </c>
      <c r="E1414" s="276" t="str">
        <f>IFERROR(__xludf.DUMMYFUNCTION("""COMPUTED_VALUE"""),"D/birhan")</f>
        <v>D/birhan</v>
      </c>
      <c r="F1414" s="276"/>
    </row>
    <row r="1415" customHeight="1" spans="1:6">
      <c r="A1415" s="9" t="s">
        <v>4913</v>
      </c>
      <c r="B1415" s="276" t="str">
        <f>IFERROR(__xludf.DUMMYFUNCTION("""COMPUTED_VALUE"""),"Aklilu Shewangzaw Tefera")</f>
        <v>Aklilu Shewangzaw Tefera</v>
      </c>
      <c r="C1415" s="276" t="str">
        <f>IFERROR(__xludf.DUMMYFUNCTION("""COMPUTED_VALUE"""),"አክሊሉ ሸዋንግዛው ተፈራ")</f>
        <v>አክሊሉ ሸዋንግዛው ተፈራ</v>
      </c>
      <c r="D1415" s="276" t="str">
        <f>IFERROR(__xludf.DUMMYFUNCTION("""COMPUTED_VALUE"""),"0912-394562
0915826782")</f>
        <v>0912-394562
0915826782</v>
      </c>
      <c r="E1415" s="276" t="str">
        <f>IFERROR(__xludf.DUMMYFUNCTION("""COMPUTED_VALUE"""),"D/birhan")</f>
        <v>D/birhan</v>
      </c>
      <c r="F1415" s="276"/>
    </row>
    <row r="1416" customHeight="1" spans="1:6">
      <c r="A1416" s="9" t="s">
        <v>4914</v>
      </c>
      <c r="B1416" s="215" t="s">
        <v>4915</v>
      </c>
      <c r="C1416" s="205" t="s">
        <v>4916</v>
      </c>
      <c r="D1416" s="227" t="s">
        <v>4917</v>
      </c>
      <c r="E1416" s="193" t="s">
        <v>120</v>
      </c>
      <c r="F1416" s="216"/>
    </row>
    <row r="1417" customHeight="1" spans="1:6">
      <c r="A1417" s="9" t="s">
        <v>4918</v>
      </c>
      <c r="B1417" s="233" t="s">
        <v>4919</v>
      </c>
      <c r="C1417" s="233" t="s">
        <v>4920</v>
      </c>
      <c r="D1417" s="204" t="s">
        <v>4921</v>
      </c>
      <c r="E1417" s="204" t="s">
        <v>4922</v>
      </c>
      <c r="F1417" s="204" t="s">
        <v>4923</v>
      </c>
    </row>
    <row r="1418" customHeight="1" spans="1:6">
      <c r="A1418" s="9" t="s">
        <v>4924</v>
      </c>
      <c r="B1418" s="160" t="s">
        <v>4925</v>
      </c>
      <c r="C1418" s="160" t="s">
        <v>4926</v>
      </c>
      <c r="D1418" s="204" t="s">
        <v>4927</v>
      </c>
      <c r="E1418" s="204" t="s">
        <v>92</v>
      </c>
      <c r="F1418" s="204"/>
    </row>
    <row r="1419" customHeight="1" spans="1:6">
      <c r="A1419" s="9" t="s">
        <v>4928</v>
      </c>
      <c r="B1419" s="266" t="s">
        <v>4929</v>
      </c>
      <c r="C1419" s="292" t="s">
        <v>4930</v>
      </c>
      <c r="D1419" s="256" t="s">
        <v>4931</v>
      </c>
      <c r="E1419" s="26" t="s">
        <v>1701</v>
      </c>
      <c r="F1419" s="290" t="s">
        <v>4932</v>
      </c>
    </row>
    <row r="1420" customHeight="1" spans="1:6">
      <c r="A1420" s="9" t="s">
        <v>4933</v>
      </c>
      <c r="B1420" s="195" t="s">
        <v>4934</v>
      </c>
      <c r="C1420" s="202" t="s">
        <v>4935</v>
      </c>
      <c r="D1420" s="154">
        <v>975774646</v>
      </c>
      <c r="E1420" s="154" t="s">
        <v>479</v>
      </c>
      <c r="F1420" s="180"/>
    </row>
    <row r="1421" customHeight="1" spans="1:6">
      <c r="A1421" s="9" t="s">
        <v>4936</v>
      </c>
      <c r="B1421" s="219" t="s">
        <v>4937</v>
      </c>
      <c r="C1421" s="219" t="s">
        <v>4938</v>
      </c>
      <c r="D1421" s="194"/>
      <c r="E1421" s="204" t="s">
        <v>92</v>
      </c>
      <c r="F1421" s="204"/>
    </row>
    <row r="1422" customHeight="1" spans="1:6">
      <c r="A1422" s="9" t="s">
        <v>4939</v>
      </c>
      <c r="B1422" s="161" t="s">
        <v>4940</v>
      </c>
      <c r="C1422" s="161" t="s">
        <v>4941</v>
      </c>
      <c r="D1422" s="194"/>
      <c r="E1422" s="204" t="s">
        <v>92</v>
      </c>
      <c r="F1422" s="204"/>
    </row>
    <row r="1423" customHeight="1" spans="1:6">
      <c r="A1423" s="9" t="s">
        <v>4942</v>
      </c>
      <c r="B1423" s="271" t="s">
        <v>4943</v>
      </c>
      <c r="C1423" s="271" t="s">
        <v>4944</v>
      </c>
      <c r="D1423" s="272" t="s">
        <v>4945</v>
      </c>
      <c r="E1423" s="29" t="s">
        <v>1701</v>
      </c>
      <c r="F1423" s="293" t="s">
        <v>4946</v>
      </c>
    </row>
    <row r="1424" customHeight="1" spans="1:6">
      <c r="A1424" s="9" t="s">
        <v>4947</v>
      </c>
      <c r="B1424" s="160" t="s">
        <v>4948</v>
      </c>
      <c r="C1424" s="160" t="s">
        <v>4949</v>
      </c>
      <c r="D1424" s="204" t="s">
        <v>4950</v>
      </c>
      <c r="E1424" s="204" t="s">
        <v>92</v>
      </c>
      <c r="F1424" s="204"/>
    </row>
    <row r="1425" customHeight="1" spans="1:6">
      <c r="A1425" s="9" t="s">
        <v>4951</v>
      </c>
      <c r="B1425" s="195" t="s">
        <v>4952</v>
      </c>
      <c r="C1425" s="196" t="s">
        <v>4953</v>
      </c>
      <c r="D1425" s="197" t="s">
        <v>4954</v>
      </c>
      <c r="E1425" s="198" t="s">
        <v>216</v>
      </c>
      <c r="F1425" s="199"/>
    </row>
    <row r="1426" customHeight="1" spans="1:6">
      <c r="A1426" s="9" t="s">
        <v>4955</v>
      </c>
      <c r="B1426" s="201" t="s">
        <v>4956</v>
      </c>
      <c r="C1426" s="202" t="s">
        <v>4957</v>
      </c>
      <c r="D1426" s="158">
        <v>942614146</v>
      </c>
      <c r="E1426" s="158" t="s">
        <v>32</v>
      </c>
      <c r="F1426" s="153"/>
    </row>
    <row r="1427" customHeight="1" spans="1:6">
      <c r="A1427" s="9" t="s">
        <v>4958</v>
      </c>
      <c r="B1427" s="195" t="s">
        <v>4959</v>
      </c>
      <c r="C1427" s="202" t="s">
        <v>4960</v>
      </c>
      <c r="D1427" s="152" t="s">
        <v>4961</v>
      </c>
      <c r="E1427" s="154"/>
      <c r="F1427" s="180"/>
    </row>
    <row r="1428" customHeight="1" spans="1:6">
      <c r="A1428" s="9" t="s">
        <v>4962</v>
      </c>
      <c r="B1428" s="153" t="s">
        <v>4963</v>
      </c>
      <c r="C1428" s="202" t="s">
        <v>4964</v>
      </c>
      <c r="D1428" s="154"/>
      <c r="E1428" s="154" t="s">
        <v>310</v>
      </c>
      <c r="F1428" s="153"/>
    </row>
    <row r="1429" customHeight="1" spans="1:6">
      <c r="A1429" s="9" t="s">
        <v>4965</v>
      </c>
      <c r="B1429" s="195" t="s">
        <v>4966</v>
      </c>
      <c r="C1429" s="202" t="s">
        <v>4967</v>
      </c>
      <c r="D1429" s="154"/>
      <c r="E1429" s="154" t="s">
        <v>104</v>
      </c>
      <c r="F1429" s="180"/>
    </row>
    <row r="1430" customHeight="1" spans="1:6">
      <c r="A1430" s="9" t="s">
        <v>4968</v>
      </c>
      <c r="B1430" s="214" t="s">
        <v>4969</v>
      </c>
      <c r="C1430" s="214" t="s">
        <v>4970</v>
      </c>
      <c r="D1430" s="194"/>
      <c r="E1430" s="204" t="s">
        <v>92</v>
      </c>
      <c r="F1430" s="204"/>
    </row>
    <row r="1431" customHeight="1" spans="1:6">
      <c r="A1431" s="9" t="s">
        <v>4971</v>
      </c>
      <c r="B1431" s="194" t="s">
        <v>4972</v>
      </c>
      <c r="C1431" s="192" t="s">
        <v>4973</v>
      </c>
      <c r="D1431" s="194"/>
      <c r="E1431" s="194" t="s">
        <v>243</v>
      </c>
      <c r="F1431" s="194"/>
    </row>
    <row r="1432" customHeight="1" spans="1:6">
      <c r="A1432" s="9" t="s">
        <v>4974</v>
      </c>
      <c r="B1432" s="180" t="s">
        <v>4975</v>
      </c>
      <c r="C1432" s="196" t="s">
        <v>4976</v>
      </c>
      <c r="D1432" s="198" t="s">
        <v>4977</v>
      </c>
      <c r="E1432" s="197" t="s">
        <v>202</v>
      </c>
      <c r="F1432" s="197"/>
    </row>
    <row r="1433" customHeight="1" spans="1:6">
      <c r="A1433" s="9" t="s">
        <v>4978</v>
      </c>
      <c r="B1433" s="200" t="s">
        <v>4979</v>
      </c>
      <c r="C1433" s="192" t="s">
        <v>4980</v>
      </c>
      <c r="D1433" s="194"/>
      <c r="E1433" s="194" t="s">
        <v>273</v>
      </c>
      <c r="F1433" s="194"/>
    </row>
    <row r="1434" customHeight="1" spans="1:6">
      <c r="A1434" s="9" t="s">
        <v>4981</v>
      </c>
      <c r="B1434" s="255" t="s">
        <v>4982</v>
      </c>
      <c r="C1434" s="255" t="s">
        <v>4983</v>
      </c>
      <c r="D1434" s="256" t="s">
        <v>4984</v>
      </c>
      <c r="E1434" s="26" t="s">
        <v>1701</v>
      </c>
      <c r="F1434" s="263"/>
    </row>
    <row r="1435" customHeight="1" spans="1:6">
      <c r="A1435" s="9" t="s">
        <v>4985</v>
      </c>
      <c r="B1435" s="153" t="s">
        <v>4986</v>
      </c>
      <c r="C1435" s="202" t="s">
        <v>4987</v>
      </c>
      <c r="D1435" s="154">
        <v>948771794</v>
      </c>
      <c r="E1435" s="154" t="s">
        <v>232</v>
      </c>
      <c r="F1435" s="180"/>
    </row>
    <row r="1436" customHeight="1" spans="1:6">
      <c r="A1436" s="9" t="s">
        <v>4988</v>
      </c>
      <c r="B1436" s="197" t="s">
        <v>4989</v>
      </c>
      <c r="C1436" s="196" t="s">
        <v>4990</v>
      </c>
      <c r="D1436" s="197"/>
      <c r="E1436" s="197" t="s">
        <v>202</v>
      </c>
      <c r="F1436" s="197"/>
    </row>
    <row r="1437" customHeight="1" spans="1:6">
      <c r="A1437" s="9" t="s">
        <v>4991</v>
      </c>
      <c r="B1437" s="200" t="s">
        <v>4992</v>
      </c>
      <c r="C1437" s="202" t="s">
        <v>4993</v>
      </c>
      <c r="D1437" s="152"/>
      <c r="E1437" s="154" t="s">
        <v>232</v>
      </c>
      <c r="F1437" s="180"/>
    </row>
    <row r="1438" customHeight="1" spans="1:6">
      <c r="A1438" s="9" t="s">
        <v>4994</v>
      </c>
      <c r="B1438" s="201" t="s">
        <v>4995</v>
      </c>
      <c r="C1438" s="202" t="s">
        <v>4996</v>
      </c>
      <c r="D1438" s="154" t="s">
        <v>4997</v>
      </c>
      <c r="E1438" s="154" t="s">
        <v>3349</v>
      </c>
      <c r="F1438" s="180"/>
    </row>
    <row r="1439" customHeight="1" spans="1:6">
      <c r="A1439" s="9" t="s">
        <v>4998</v>
      </c>
      <c r="B1439" s="200" t="s">
        <v>4999</v>
      </c>
      <c r="C1439" s="202" t="s">
        <v>5000</v>
      </c>
      <c r="D1439" s="158"/>
      <c r="E1439" s="154"/>
      <c r="F1439" s="180"/>
    </row>
    <row r="1440" customHeight="1" spans="1:6">
      <c r="A1440" s="9" t="s">
        <v>5001</v>
      </c>
      <c r="B1440" s="195" t="s">
        <v>5002</v>
      </c>
      <c r="C1440" s="202" t="s">
        <v>5003</v>
      </c>
      <c r="D1440" s="154"/>
      <c r="E1440" s="154" t="s">
        <v>181</v>
      </c>
      <c r="F1440" s="180"/>
    </row>
    <row r="1441" customHeight="1" spans="1:6">
      <c r="A1441" s="9" t="s">
        <v>5004</v>
      </c>
      <c r="B1441" s="200" t="s">
        <v>5005</v>
      </c>
      <c r="C1441" s="202" t="s">
        <v>5006</v>
      </c>
      <c r="D1441" s="152"/>
      <c r="E1441" s="154" t="s">
        <v>232</v>
      </c>
      <c r="F1441" s="180"/>
    </row>
    <row r="1442" customHeight="1" spans="1:6">
      <c r="A1442" s="9" t="s">
        <v>5007</v>
      </c>
      <c r="B1442" s="194" t="s">
        <v>5008</v>
      </c>
      <c r="C1442" s="192" t="s">
        <v>5009</v>
      </c>
      <c r="D1442" s="194"/>
      <c r="E1442" s="194" t="s">
        <v>561</v>
      </c>
      <c r="F1442" s="194"/>
    </row>
    <row r="1443" customHeight="1" spans="1:6">
      <c r="A1443" s="9" t="s">
        <v>5010</v>
      </c>
      <c r="B1443" s="197" t="s">
        <v>5011</v>
      </c>
      <c r="C1443" s="203" t="s">
        <v>5012</v>
      </c>
      <c r="D1443" s="197"/>
      <c r="E1443" s="197" t="s">
        <v>32</v>
      </c>
      <c r="F1443" s="197"/>
    </row>
    <row r="1444" customHeight="1" spans="1:6">
      <c r="A1444" s="9" t="s">
        <v>5013</v>
      </c>
      <c r="B1444" s="201" t="s">
        <v>5014</v>
      </c>
      <c r="C1444" s="202" t="s">
        <v>5015</v>
      </c>
      <c r="D1444" s="154" t="s">
        <v>5016</v>
      </c>
      <c r="E1444" s="154"/>
      <c r="F1444" s="180"/>
    </row>
    <row r="1445" customHeight="1" spans="1:6">
      <c r="A1445" s="9" t="s">
        <v>5017</v>
      </c>
      <c r="B1445" s="238" t="s">
        <v>5018</v>
      </c>
      <c r="C1445" s="202" t="s">
        <v>5019</v>
      </c>
      <c r="D1445" s="154"/>
      <c r="E1445" s="154" t="s">
        <v>181</v>
      </c>
      <c r="F1445" s="180"/>
    </row>
    <row r="1446" customHeight="1" spans="1:6">
      <c r="A1446" s="9" t="s">
        <v>5020</v>
      </c>
      <c r="B1446" s="201" t="s">
        <v>5021</v>
      </c>
      <c r="C1446" s="202" t="s">
        <v>5022</v>
      </c>
      <c r="D1446" s="154"/>
      <c r="E1446" s="154" t="s">
        <v>243</v>
      </c>
      <c r="F1446" s="180"/>
    </row>
    <row r="1447" customHeight="1" spans="1:6">
      <c r="A1447" s="9" t="s">
        <v>5023</v>
      </c>
      <c r="B1447" s="233" t="s">
        <v>5024</v>
      </c>
      <c r="C1447" s="233" t="s">
        <v>5025</v>
      </c>
      <c r="D1447" s="204" t="s">
        <v>5026</v>
      </c>
      <c r="E1447" s="204" t="s">
        <v>5027</v>
      </c>
      <c r="F1447" s="204" t="s">
        <v>5028</v>
      </c>
    </row>
    <row r="1448" customHeight="1" spans="1:6">
      <c r="A1448" s="9" t="s">
        <v>5029</v>
      </c>
      <c r="B1448" s="195" t="s">
        <v>5030</v>
      </c>
      <c r="C1448" s="196" t="s">
        <v>5031</v>
      </c>
      <c r="D1448" s="197" t="s">
        <v>5032</v>
      </c>
      <c r="E1448" s="198" t="s">
        <v>216</v>
      </c>
      <c r="F1448" s="199"/>
    </row>
    <row r="1449" customHeight="1" spans="1:6">
      <c r="A1449" s="9" t="s">
        <v>5033</v>
      </c>
      <c r="B1449" s="153" t="s">
        <v>5034</v>
      </c>
      <c r="C1449" s="202" t="s">
        <v>5035</v>
      </c>
      <c r="D1449" s="154"/>
      <c r="E1449" s="154" t="s">
        <v>104</v>
      </c>
      <c r="F1449" s="180"/>
    </row>
    <row r="1450" customHeight="1" spans="1:6">
      <c r="A1450" s="9" t="s">
        <v>5036</v>
      </c>
      <c r="B1450" s="200" t="s">
        <v>5037</v>
      </c>
      <c r="C1450" s="202" t="s">
        <v>5038</v>
      </c>
      <c r="D1450" s="154"/>
      <c r="E1450" s="154" t="s">
        <v>181</v>
      </c>
      <c r="F1450" s="180"/>
    </row>
    <row r="1451" customHeight="1" spans="1:6">
      <c r="A1451" s="9" t="s">
        <v>5039</v>
      </c>
      <c r="B1451" s="194" t="s">
        <v>5040</v>
      </c>
      <c r="C1451" s="192" t="s">
        <v>5041</v>
      </c>
      <c r="D1451" s="194"/>
      <c r="E1451" s="194" t="s">
        <v>243</v>
      </c>
      <c r="F1451" s="194"/>
    </row>
    <row r="1452" customHeight="1" spans="1:6">
      <c r="A1452" s="9" t="s">
        <v>5042</v>
      </c>
      <c r="B1452" s="201" t="s">
        <v>5043</v>
      </c>
      <c r="C1452" s="202" t="s">
        <v>5044</v>
      </c>
      <c r="D1452" s="154"/>
      <c r="E1452" s="154"/>
      <c r="F1452" s="180"/>
    </row>
    <row r="1453" customHeight="1" spans="1:6">
      <c r="A1453" s="9" t="s">
        <v>5045</v>
      </c>
      <c r="B1453" s="197" t="s">
        <v>5046</v>
      </c>
      <c r="C1453" s="203" t="s">
        <v>5047</v>
      </c>
      <c r="D1453" s="197"/>
      <c r="E1453" s="197" t="s">
        <v>253</v>
      </c>
      <c r="F1453" s="197"/>
    </row>
    <row r="1454" customHeight="1" spans="1:6">
      <c r="A1454" s="9" t="s">
        <v>5048</v>
      </c>
      <c r="B1454" s="220" t="str">
        <f>IFERROR(__xludf.DUMMYFUNCTION("""COMPUTED_VALUE"""),"Alayou Tadesse W/Tsadike")</f>
        <v>Alayou Tadesse W/Tsadike</v>
      </c>
      <c r="C1454" s="220" t="str">
        <f>IFERROR(__xludf.DUMMYFUNCTION("""COMPUTED_VALUE"""),"አላዩ ታደሰ ወ/ጻዲቅ")</f>
        <v>አላዩ ታደሰ ወ/ጻዲቅ</v>
      </c>
      <c r="D1454" s="220" t="str">
        <f>IFERROR(__xludf.DUMMYFUNCTION("""COMPUTED_VALUE"""),"912037409")</f>
        <v>912037409</v>
      </c>
      <c r="E1454" s="220" t="str">
        <f>IFERROR(__xludf.DUMMYFUNCTION("""COMPUTED_VALUE"""),"Addis Ababa")</f>
        <v>Addis Ababa</v>
      </c>
      <c r="F1454" s="220" t="str">
        <f>IFERROR(__xludf.DUMMYFUNCTION("""COMPUTED_VALUE"""),"alayut@gmail.com")</f>
        <v>alayut@gmail.com</v>
      </c>
    </row>
    <row r="1455" customHeight="1" spans="1:6">
      <c r="A1455" s="9" t="s">
        <v>5049</v>
      </c>
      <c r="B1455" s="195" t="s">
        <v>5050</v>
      </c>
      <c r="C1455" s="212" t="s">
        <v>5051</v>
      </c>
      <c r="D1455" s="197" t="s">
        <v>5052</v>
      </c>
      <c r="E1455" s="154" t="s">
        <v>104</v>
      </c>
      <c r="F1455" s="199"/>
    </row>
    <row r="1456" customHeight="1" spans="1:6">
      <c r="A1456" s="9" t="s">
        <v>5053</v>
      </c>
      <c r="B1456" s="201" t="s">
        <v>5054</v>
      </c>
      <c r="C1456" s="202" t="s">
        <v>5055</v>
      </c>
      <c r="D1456" s="154"/>
      <c r="E1456" s="154" t="s">
        <v>58</v>
      </c>
      <c r="F1456" s="180"/>
    </row>
    <row r="1457" customHeight="1" spans="1:6">
      <c r="A1457" s="9" t="s">
        <v>5056</v>
      </c>
      <c r="B1457" s="200" t="s">
        <v>5057</v>
      </c>
      <c r="C1457" s="202" t="s">
        <v>5058</v>
      </c>
      <c r="D1457" s="152" t="s">
        <v>5059</v>
      </c>
      <c r="E1457" s="154" t="s">
        <v>181</v>
      </c>
      <c r="F1457" s="180"/>
    </row>
    <row r="1458" customHeight="1" spans="1:6">
      <c r="A1458" s="9" t="s">
        <v>5060</v>
      </c>
      <c r="B1458" s="223" t="s">
        <v>5061</v>
      </c>
      <c r="C1458" s="223" t="s">
        <v>5062</v>
      </c>
      <c r="D1458" s="204" t="s">
        <v>5063</v>
      </c>
      <c r="E1458" s="204" t="s">
        <v>92</v>
      </c>
      <c r="F1458" s="204"/>
    </row>
    <row r="1459" customHeight="1" spans="1:6">
      <c r="A1459" s="9" t="s">
        <v>5064</v>
      </c>
      <c r="B1459" s="215" t="s">
        <v>5065</v>
      </c>
      <c r="C1459" s="205" t="s">
        <v>5066</v>
      </c>
      <c r="D1459" s="244" t="s">
        <v>5067</v>
      </c>
      <c r="E1459" s="26" t="s">
        <v>92</v>
      </c>
      <c r="F1459" s="26" t="s">
        <v>5068</v>
      </c>
    </row>
    <row r="1460" customHeight="1" spans="1:6">
      <c r="A1460" s="9" t="s">
        <v>5069</v>
      </c>
      <c r="B1460" s="160" t="s">
        <v>5070</v>
      </c>
      <c r="C1460" s="160" t="s">
        <v>5071</v>
      </c>
      <c r="D1460" s="204" t="s">
        <v>5072</v>
      </c>
      <c r="E1460" s="204" t="s">
        <v>92</v>
      </c>
      <c r="F1460" s="204"/>
    </row>
    <row r="1461" customHeight="1" spans="1:6">
      <c r="A1461" s="9" t="s">
        <v>5073</v>
      </c>
      <c r="B1461" s="215" t="s">
        <v>5074</v>
      </c>
      <c r="C1461" s="205" t="s">
        <v>5075</v>
      </c>
      <c r="D1461" s="227" t="s">
        <v>5076</v>
      </c>
      <c r="E1461" s="193" t="s">
        <v>120</v>
      </c>
      <c r="F1461" s="216"/>
    </row>
    <row r="1462" customHeight="1" spans="1:6">
      <c r="A1462" s="9" t="s">
        <v>5077</v>
      </c>
      <c r="B1462" s="215" t="s">
        <v>5078</v>
      </c>
      <c r="C1462" s="205" t="s">
        <v>5079</v>
      </c>
      <c r="D1462" s="206" t="s">
        <v>5080</v>
      </c>
      <c r="E1462" s="193" t="s">
        <v>120</v>
      </c>
      <c r="F1462" s="221" t="s">
        <v>5081</v>
      </c>
    </row>
    <row r="1463" customHeight="1" spans="1:6">
      <c r="A1463" s="9" t="s">
        <v>5082</v>
      </c>
      <c r="B1463" s="214" t="s">
        <v>5083</v>
      </c>
      <c r="C1463" s="214" t="s">
        <v>5084</v>
      </c>
      <c r="D1463" s="194"/>
      <c r="E1463" s="204" t="s">
        <v>92</v>
      </c>
      <c r="F1463" s="204"/>
    </row>
    <row r="1464" customHeight="1" spans="1:6">
      <c r="A1464" s="9" t="s">
        <v>5085</v>
      </c>
      <c r="B1464" s="214" t="s">
        <v>5086</v>
      </c>
      <c r="C1464" s="214" t="s">
        <v>5087</v>
      </c>
      <c r="D1464" s="194"/>
      <c r="E1464" s="204" t="s">
        <v>92</v>
      </c>
      <c r="F1464" s="204"/>
    </row>
    <row r="1465" customHeight="1" spans="1:6">
      <c r="A1465" s="9" t="s">
        <v>5088</v>
      </c>
      <c r="B1465" s="223" t="s">
        <v>5089</v>
      </c>
      <c r="C1465" s="223" t="s">
        <v>5090</v>
      </c>
      <c r="D1465" s="204" t="s">
        <v>5091</v>
      </c>
      <c r="E1465" s="173" t="s">
        <v>92</v>
      </c>
      <c r="F1465" s="234"/>
    </row>
    <row r="1466" customHeight="1" spans="1:6">
      <c r="A1466" s="9" t="s">
        <v>5092</v>
      </c>
      <c r="B1466" s="223" t="s">
        <v>5093</v>
      </c>
      <c r="C1466" s="223" t="s">
        <v>5094</v>
      </c>
      <c r="D1466" s="204" t="s">
        <v>5095</v>
      </c>
      <c r="E1466" s="204" t="s">
        <v>92</v>
      </c>
      <c r="F1466" s="204"/>
    </row>
    <row r="1467" customHeight="1" spans="1:6">
      <c r="A1467" s="9" t="s">
        <v>5096</v>
      </c>
      <c r="B1467" s="160" t="s">
        <v>5097</v>
      </c>
      <c r="C1467" s="160" t="s">
        <v>5098</v>
      </c>
      <c r="D1467" s="204" t="s">
        <v>5099</v>
      </c>
      <c r="E1467" s="204" t="s">
        <v>92</v>
      </c>
      <c r="F1467" s="204"/>
    </row>
    <row r="1468" customHeight="1" spans="1:6">
      <c r="A1468" s="9" t="s">
        <v>5100</v>
      </c>
      <c r="B1468" s="215" t="s">
        <v>5101</v>
      </c>
      <c r="C1468" s="205" t="s">
        <v>5102</v>
      </c>
      <c r="D1468" s="227" t="s">
        <v>5103</v>
      </c>
      <c r="E1468" s="193" t="s">
        <v>120</v>
      </c>
      <c r="F1468" s="216" t="s">
        <v>5104</v>
      </c>
    </row>
    <row r="1469" customHeight="1" spans="1:6">
      <c r="A1469" s="9" t="s">
        <v>5105</v>
      </c>
      <c r="B1469" s="201" t="s">
        <v>5106</v>
      </c>
      <c r="C1469" s="202" t="s">
        <v>5107</v>
      </c>
      <c r="D1469" s="154" t="s">
        <v>5108</v>
      </c>
      <c r="E1469" s="154" t="s">
        <v>58</v>
      </c>
      <c r="F1469" s="180"/>
    </row>
    <row r="1470" customHeight="1" spans="1:6">
      <c r="A1470" s="9" t="s">
        <v>5109</v>
      </c>
      <c r="B1470" s="223" t="s">
        <v>5110</v>
      </c>
      <c r="C1470" s="223" t="s">
        <v>5111</v>
      </c>
      <c r="D1470" s="204" t="s">
        <v>5112</v>
      </c>
      <c r="E1470" s="204" t="s">
        <v>92</v>
      </c>
      <c r="F1470" s="204"/>
    </row>
    <row r="1471" customHeight="1" spans="1:6">
      <c r="A1471" s="9" t="s">
        <v>5113</v>
      </c>
      <c r="B1471" s="200" t="s">
        <v>5114</v>
      </c>
      <c r="C1471" s="202" t="s">
        <v>5115</v>
      </c>
      <c r="D1471" s="152"/>
      <c r="E1471" s="154" t="s">
        <v>104</v>
      </c>
      <c r="F1471" s="180"/>
    </row>
    <row r="1472" customHeight="1" spans="1:6">
      <c r="A1472" s="9" t="s">
        <v>5116</v>
      </c>
      <c r="B1472" s="205" t="s">
        <v>5117</v>
      </c>
      <c r="C1472" s="205" t="s">
        <v>5118</v>
      </c>
      <c r="D1472" s="206" t="s">
        <v>5119</v>
      </c>
      <c r="E1472" s="193" t="s">
        <v>120</v>
      </c>
      <c r="F1472" s="221" t="s">
        <v>5120</v>
      </c>
    </row>
    <row r="1473" customHeight="1" spans="1:6">
      <c r="A1473" s="9" t="s">
        <v>5121</v>
      </c>
      <c r="B1473" s="200" t="s">
        <v>5122</v>
      </c>
      <c r="C1473" s="192" t="s">
        <v>5123</v>
      </c>
      <c r="D1473" s="194"/>
      <c r="E1473" s="193" t="s">
        <v>202</v>
      </c>
      <c r="F1473" s="191"/>
    </row>
    <row r="1474" customHeight="1" spans="1:6">
      <c r="A1474" s="9" t="s">
        <v>5124</v>
      </c>
      <c r="B1474" s="200" t="s">
        <v>5125</v>
      </c>
      <c r="C1474" s="202" t="s">
        <v>5126</v>
      </c>
      <c r="D1474" s="152"/>
      <c r="E1474" s="154" t="s">
        <v>232</v>
      </c>
      <c r="F1474" s="180"/>
    </row>
    <row r="1475" customHeight="1" spans="1:6">
      <c r="A1475" s="9" t="s">
        <v>5127</v>
      </c>
      <c r="B1475" s="200" t="s">
        <v>5128</v>
      </c>
      <c r="C1475" s="202" t="s">
        <v>5129</v>
      </c>
      <c r="D1475" s="152"/>
      <c r="E1475" s="154" t="s">
        <v>232</v>
      </c>
      <c r="F1475" s="180"/>
    </row>
    <row r="1476" customHeight="1" spans="1:6">
      <c r="A1476" s="9" t="s">
        <v>5130</v>
      </c>
      <c r="B1476" s="200" t="s">
        <v>5131</v>
      </c>
      <c r="C1476" s="192" t="s">
        <v>5132</v>
      </c>
      <c r="D1476" s="194"/>
      <c r="E1476" s="193" t="s">
        <v>216</v>
      </c>
      <c r="F1476" s="191"/>
    </row>
    <row r="1477" customHeight="1" spans="1:6">
      <c r="A1477" s="9" t="s">
        <v>5133</v>
      </c>
      <c r="B1477" s="200" t="s">
        <v>5134</v>
      </c>
      <c r="C1477" s="202" t="s">
        <v>5135</v>
      </c>
      <c r="D1477" s="152"/>
      <c r="E1477" s="154" t="s">
        <v>104</v>
      </c>
      <c r="F1477" s="180"/>
    </row>
    <row r="1478" customHeight="1" spans="1:6">
      <c r="A1478" s="9" t="s">
        <v>5136</v>
      </c>
      <c r="B1478" s="195" t="s">
        <v>5137</v>
      </c>
      <c r="C1478" s="202" t="s">
        <v>5138</v>
      </c>
      <c r="D1478" s="152"/>
      <c r="E1478" s="154" t="s">
        <v>232</v>
      </c>
      <c r="F1478" s="180"/>
    </row>
    <row r="1479" customHeight="1" spans="1:6">
      <c r="A1479" s="9" t="s">
        <v>5139</v>
      </c>
      <c r="B1479" s="223" t="s">
        <v>5140</v>
      </c>
      <c r="C1479" s="223" t="s">
        <v>5141</v>
      </c>
      <c r="D1479" s="204" t="s">
        <v>5142</v>
      </c>
      <c r="E1479" s="204" t="s">
        <v>92</v>
      </c>
      <c r="F1479" s="204"/>
    </row>
    <row r="1480" customHeight="1" spans="1:6">
      <c r="A1480" s="9" t="s">
        <v>5143</v>
      </c>
      <c r="B1480" s="195" t="s">
        <v>5144</v>
      </c>
      <c r="C1480" s="213" t="s">
        <v>5145</v>
      </c>
      <c r="D1480" s="197"/>
      <c r="E1480" s="197" t="s">
        <v>202</v>
      </c>
      <c r="F1480" s="197"/>
    </row>
    <row r="1481" customHeight="1" spans="1:6">
      <c r="A1481" s="9" t="s">
        <v>5146</v>
      </c>
      <c r="B1481" s="255" t="s">
        <v>5147</v>
      </c>
      <c r="C1481" s="255" t="s">
        <v>5148</v>
      </c>
      <c r="D1481" s="256" t="s">
        <v>5149</v>
      </c>
      <c r="E1481" s="26" t="s">
        <v>1701</v>
      </c>
      <c r="F1481" s="290" t="s">
        <v>5150</v>
      </c>
    </row>
    <row r="1482" customHeight="1" spans="1:6">
      <c r="A1482" s="9" t="s">
        <v>5151</v>
      </c>
      <c r="B1482" s="195" t="s">
        <v>5152</v>
      </c>
      <c r="C1482" s="202" t="s">
        <v>5153</v>
      </c>
      <c r="D1482" s="152"/>
      <c r="E1482" s="154" t="s">
        <v>232</v>
      </c>
      <c r="F1482" s="180"/>
    </row>
    <row r="1483" customHeight="1" spans="1:6">
      <c r="A1483" s="9" t="s">
        <v>5154</v>
      </c>
      <c r="B1483" s="223" t="s">
        <v>5155</v>
      </c>
      <c r="C1483" s="223" t="s">
        <v>5156</v>
      </c>
      <c r="D1483" s="204" t="s">
        <v>5157</v>
      </c>
      <c r="E1483" s="204" t="s">
        <v>92</v>
      </c>
      <c r="F1483" s="204"/>
    </row>
    <row r="1484" customHeight="1" spans="1:6">
      <c r="A1484" s="9" t="s">
        <v>5158</v>
      </c>
      <c r="B1484" s="162" t="s">
        <v>5159</v>
      </c>
      <c r="C1484" s="205" t="s">
        <v>5160</v>
      </c>
      <c r="D1484" s="342" t="s">
        <v>5161</v>
      </c>
      <c r="E1484" s="193" t="s">
        <v>120</v>
      </c>
      <c r="F1484" s="216" t="s">
        <v>5162</v>
      </c>
    </row>
    <row r="1485" customHeight="1" spans="1:6">
      <c r="A1485" s="9" t="s">
        <v>5163</v>
      </c>
      <c r="B1485" s="200" t="s">
        <v>5164</v>
      </c>
      <c r="C1485" s="192" t="s">
        <v>5165</v>
      </c>
      <c r="D1485" s="194"/>
      <c r="E1485" s="193" t="s">
        <v>202</v>
      </c>
      <c r="F1485" s="191"/>
    </row>
    <row r="1486" customHeight="1" spans="1:6">
      <c r="A1486" s="9" t="s">
        <v>5166</v>
      </c>
      <c r="B1486" s="219" t="s">
        <v>5167</v>
      </c>
      <c r="C1486" s="219" t="s">
        <v>5168</v>
      </c>
      <c r="D1486" s="194"/>
      <c r="E1486" s="204" t="s">
        <v>92</v>
      </c>
      <c r="F1486" s="204"/>
    </row>
    <row r="1487" customHeight="1" spans="1:6">
      <c r="A1487" s="9" t="s">
        <v>5169</v>
      </c>
      <c r="B1487" s="200" t="s">
        <v>5170</v>
      </c>
      <c r="C1487" s="202" t="s">
        <v>5171</v>
      </c>
      <c r="D1487" s="152" t="s">
        <v>5172</v>
      </c>
      <c r="E1487" s="154" t="s">
        <v>232</v>
      </c>
      <c r="F1487" s="180"/>
    </row>
    <row r="1488" customHeight="1" spans="1:6">
      <c r="A1488" s="9" t="s">
        <v>5173</v>
      </c>
      <c r="B1488" s="194" t="s">
        <v>5174</v>
      </c>
      <c r="C1488" s="192" t="s">
        <v>5175</v>
      </c>
      <c r="D1488" s="194"/>
      <c r="E1488" s="194" t="s">
        <v>104</v>
      </c>
      <c r="F1488" s="194"/>
    </row>
    <row r="1489" customHeight="1" spans="1:6">
      <c r="A1489" s="9" t="s">
        <v>5176</v>
      </c>
      <c r="B1489" s="197" t="s">
        <v>5177</v>
      </c>
      <c r="C1489" s="196" t="s">
        <v>5178</v>
      </c>
      <c r="D1489" s="197"/>
      <c r="E1489" s="197" t="s">
        <v>104</v>
      </c>
      <c r="F1489" s="197"/>
    </row>
    <row r="1490" customHeight="1" spans="1:6">
      <c r="A1490" s="9" t="s">
        <v>5179</v>
      </c>
      <c r="B1490" s="153" t="s">
        <v>5180</v>
      </c>
      <c r="C1490" s="202" t="s">
        <v>5181</v>
      </c>
      <c r="D1490" s="154">
        <v>922661375</v>
      </c>
      <c r="E1490" s="154" t="s">
        <v>104</v>
      </c>
      <c r="F1490" s="180"/>
    </row>
    <row r="1491" customHeight="1" spans="1:6">
      <c r="A1491" s="9" t="s">
        <v>5182</v>
      </c>
      <c r="B1491" s="200" t="s">
        <v>5183</v>
      </c>
      <c r="C1491" s="202" t="s">
        <v>5184</v>
      </c>
      <c r="D1491" s="152" t="s">
        <v>5185</v>
      </c>
      <c r="E1491" s="154" t="s">
        <v>232</v>
      </c>
      <c r="F1491" s="180"/>
    </row>
    <row r="1492" customHeight="1" spans="1:6">
      <c r="A1492" s="9" t="s">
        <v>5186</v>
      </c>
      <c r="B1492" s="153" t="s">
        <v>5187</v>
      </c>
      <c r="C1492" s="202" t="s">
        <v>5188</v>
      </c>
      <c r="D1492" s="341" t="s">
        <v>5189</v>
      </c>
      <c r="E1492" s="154" t="s">
        <v>104</v>
      </c>
      <c r="F1492" s="180"/>
    </row>
    <row r="1493" customHeight="1" spans="1:6">
      <c r="A1493" s="9" t="s">
        <v>5190</v>
      </c>
      <c r="B1493" s="158" t="s">
        <v>5191</v>
      </c>
      <c r="C1493" s="202" t="s">
        <v>5192</v>
      </c>
      <c r="D1493" s="158"/>
      <c r="E1493" s="154" t="s">
        <v>104</v>
      </c>
      <c r="F1493" s="180"/>
    </row>
    <row r="1494" customHeight="1" spans="1:6">
      <c r="A1494" s="9" t="s">
        <v>5193</v>
      </c>
      <c r="B1494" s="222" t="str">
        <f>IFERROR(__xludf.DUMMYFUNCTION("""COMPUTED_VALUE"""),"Alehegn Tesema Cheru /Ato")</f>
        <v>Alehegn Tesema Cheru /Ato</v>
      </c>
      <c r="C1494" s="222" t="str">
        <f>IFERROR(__xludf.DUMMYFUNCTION("""COMPUTED_VALUE"""),"አለኸኝ ተሰማ ቸሩ /አቶ")</f>
        <v>አለኸኝ ተሰማ ቸሩ /አቶ</v>
      </c>
      <c r="D1494" s="222" t="str">
        <f>IFERROR(__xludf.DUMMYFUNCTION("""COMPUTED_VALUE"""),"913010562")</f>
        <v>913010562</v>
      </c>
      <c r="E1494" s="222" t="str">
        <f>IFERROR(__xludf.DUMMYFUNCTION("""COMPUTED_VALUE"""),"A A")</f>
        <v>A A</v>
      </c>
      <c r="F1494" s="222"/>
    </row>
    <row r="1495" customHeight="1" spans="1:6">
      <c r="A1495" s="9" t="s">
        <v>5194</v>
      </c>
      <c r="B1495" s="197" t="s">
        <v>5195</v>
      </c>
      <c r="C1495" s="254" t="s">
        <v>5196</v>
      </c>
      <c r="D1495" s="197" t="s">
        <v>5197</v>
      </c>
      <c r="E1495" s="197" t="s">
        <v>202</v>
      </c>
      <c r="F1495" s="197"/>
    </row>
    <row r="1496" customHeight="1" spans="1:6">
      <c r="A1496" s="9" t="s">
        <v>5198</v>
      </c>
      <c r="B1496" s="200" t="s">
        <v>5199</v>
      </c>
      <c r="C1496" s="192" t="s">
        <v>5200</v>
      </c>
      <c r="D1496" s="194"/>
      <c r="E1496" s="194" t="s">
        <v>273</v>
      </c>
      <c r="F1496" s="194"/>
    </row>
    <row r="1497" customHeight="1" spans="1:6">
      <c r="A1497" s="9" t="s">
        <v>5201</v>
      </c>
      <c r="B1497" s="200" t="s">
        <v>5202</v>
      </c>
      <c r="C1497" s="202" t="s">
        <v>5203</v>
      </c>
      <c r="D1497" s="154"/>
      <c r="E1497" s="154" t="s">
        <v>104</v>
      </c>
      <c r="F1497" s="180"/>
    </row>
    <row r="1498" customHeight="1" spans="1:6">
      <c r="A1498" s="9" t="s">
        <v>5204</v>
      </c>
      <c r="B1498" s="194" t="s">
        <v>5205</v>
      </c>
      <c r="C1498" s="264" t="s">
        <v>5206</v>
      </c>
      <c r="D1498" s="194"/>
      <c r="E1498" s="158" t="s">
        <v>216</v>
      </c>
      <c r="F1498" s="158"/>
    </row>
    <row r="1499" customHeight="1" spans="1:6">
      <c r="A1499" s="9" t="s">
        <v>5207</v>
      </c>
      <c r="B1499" s="200" t="s">
        <v>5208</v>
      </c>
      <c r="C1499" s="192" t="s">
        <v>5209</v>
      </c>
      <c r="D1499" s="194"/>
      <c r="E1499" s="193" t="s">
        <v>202</v>
      </c>
      <c r="F1499" s="191"/>
    </row>
    <row r="1500" customHeight="1" spans="1:6">
      <c r="A1500" s="9" t="s">
        <v>5210</v>
      </c>
      <c r="B1500" s="194" t="s">
        <v>5211</v>
      </c>
      <c r="C1500" s="264" t="s">
        <v>5212</v>
      </c>
      <c r="D1500" s="194"/>
      <c r="E1500" s="158" t="s">
        <v>216</v>
      </c>
      <c r="F1500" s="158"/>
    </row>
    <row r="1501" customHeight="1" spans="1:6">
      <c r="A1501" s="9" t="s">
        <v>5213</v>
      </c>
      <c r="B1501" s="153" t="s">
        <v>5214</v>
      </c>
      <c r="C1501" s="196" t="s">
        <v>5215</v>
      </c>
      <c r="D1501" s="197"/>
      <c r="E1501" s="198" t="s">
        <v>216</v>
      </c>
      <c r="F1501" s="199"/>
    </row>
    <row r="1502" customHeight="1" spans="1:6">
      <c r="A1502" s="9" t="s">
        <v>5216</v>
      </c>
      <c r="B1502" s="197" t="s">
        <v>5217</v>
      </c>
      <c r="C1502" s="254" t="s">
        <v>5218</v>
      </c>
      <c r="D1502" s="197" t="s">
        <v>5219</v>
      </c>
      <c r="E1502" s="197" t="s">
        <v>202</v>
      </c>
      <c r="F1502" s="197"/>
    </row>
    <row r="1503" customHeight="1" spans="1:6">
      <c r="A1503" s="9" t="s">
        <v>5220</v>
      </c>
      <c r="B1503" s="200" t="s">
        <v>5221</v>
      </c>
      <c r="C1503" s="192" t="s">
        <v>5222</v>
      </c>
      <c r="D1503" s="194"/>
      <c r="E1503" s="194" t="s">
        <v>202</v>
      </c>
      <c r="F1503" s="194"/>
    </row>
    <row r="1504" customHeight="1" spans="1:6">
      <c r="A1504" s="9" t="s">
        <v>5223</v>
      </c>
      <c r="B1504" s="200" t="s">
        <v>5224</v>
      </c>
      <c r="C1504" s="202" t="s">
        <v>5225</v>
      </c>
      <c r="D1504" s="152"/>
      <c r="E1504" s="154" t="s">
        <v>232</v>
      </c>
      <c r="F1504" s="180"/>
    </row>
    <row r="1505" customHeight="1" spans="1:6">
      <c r="A1505" s="9" t="s">
        <v>5226</v>
      </c>
      <c r="B1505" s="195" t="s">
        <v>5227</v>
      </c>
      <c r="C1505" s="202" t="s">
        <v>5228</v>
      </c>
      <c r="D1505" s="152"/>
      <c r="E1505" s="154" t="s">
        <v>232</v>
      </c>
      <c r="F1505" s="180"/>
    </row>
    <row r="1506" customHeight="1" spans="1:6">
      <c r="A1506" s="9" t="s">
        <v>5229</v>
      </c>
      <c r="B1506" s="195" t="s">
        <v>5230</v>
      </c>
      <c r="C1506" s="202" t="s">
        <v>5231</v>
      </c>
      <c r="D1506" s="158"/>
      <c r="E1506" s="154"/>
      <c r="F1506" s="180"/>
    </row>
    <row r="1507" customHeight="1" spans="1:6">
      <c r="A1507" s="9" t="s">
        <v>5232</v>
      </c>
      <c r="B1507" s="195" t="s">
        <v>5233</v>
      </c>
      <c r="C1507" s="196" t="s">
        <v>5234</v>
      </c>
      <c r="D1507" s="197"/>
      <c r="E1507" s="197" t="s">
        <v>273</v>
      </c>
      <c r="F1507" s="197"/>
    </row>
    <row r="1508" customHeight="1" spans="1:6">
      <c r="A1508" s="9" t="s">
        <v>5235</v>
      </c>
      <c r="B1508" s="153" t="s">
        <v>5236</v>
      </c>
      <c r="C1508" s="202" t="s">
        <v>5237</v>
      </c>
      <c r="D1508" s="154"/>
      <c r="E1508" s="154" t="s">
        <v>104</v>
      </c>
      <c r="F1508" s="180"/>
    </row>
    <row r="1509" customHeight="1" spans="1:6">
      <c r="A1509" s="9" t="s">
        <v>5238</v>
      </c>
      <c r="B1509" s="201" t="s">
        <v>5239</v>
      </c>
      <c r="C1509" s="202" t="s">
        <v>5240</v>
      </c>
      <c r="D1509" s="154"/>
      <c r="E1509" s="154" t="s">
        <v>243</v>
      </c>
      <c r="F1509" s="180"/>
    </row>
    <row r="1510" customHeight="1" spans="1:6">
      <c r="A1510" s="9" t="s">
        <v>5241</v>
      </c>
      <c r="B1510" s="200" t="s">
        <v>5242</v>
      </c>
      <c r="C1510" s="202" t="s">
        <v>5243</v>
      </c>
      <c r="D1510" s="152" t="s">
        <v>5244</v>
      </c>
      <c r="E1510" s="154" t="s">
        <v>232</v>
      </c>
      <c r="F1510" s="180"/>
    </row>
    <row r="1511" customHeight="1" spans="1:6">
      <c r="A1511" s="9" t="s">
        <v>5245</v>
      </c>
      <c r="B1511" s="214" t="s">
        <v>5246</v>
      </c>
      <c r="C1511" s="214" t="s">
        <v>5247</v>
      </c>
      <c r="D1511" s="194"/>
      <c r="E1511" s="204" t="s">
        <v>92</v>
      </c>
      <c r="F1511" s="204"/>
    </row>
    <row r="1512" customHeight="1" spans="1:6">
      <c r="A1512" s="9" t="s">
        <v>5248</v>
      </c>
      <c r="B1512" s="195" t="s">
        <v>5249</v>
      </c>
      <c r="C1512" s="196" t="s">
        <v>5250</v>
      </c>
      <c r="D1512" s="197" t="s">
        <v>5251</v>
      </c>
      <c r="E1512" s="197" t="s">
        <v>273</v>
      </c>
      <c r="F1512" s="197"/>
    </row>
    <row r="1513" customHeight="1" spans="1:6">
      <c r="A1513" s="9" t="s">
        <v>5252</v>
      </c>
      <c r="B1513" s="200" t="s">
        <v>5253</v>
      </c>
      <c r="C1513" s="192" t="s">
        <v>5254</v>
      </c>
      <c r="D1513" s="194"/>
      <c r="E1513" s="193" t="s">
        <v>202</v>
      </c>
      <c r="F1513" s="191"/>
    </row>
    <row r="1514" customHeight="1" spans="1:6">
      <c r="A1514" s="9" t="s">
        <v>5255</v>
      </c>
      <c r="B1514" s="195" t="s">
        <v>5256</v>
      </c>
      <c r="C1514" s="202" t="s">
        <v>5257</v>
      </c>
      <c r="D1514" s="158"/>
      <c r="E1514" s="154" t="s">
        <v>253</v>
      </c>
      <c r="F1514" s="180"/>
    </row>
    <row r="1515" customHeight="1" spans="1:6">
      <c r="A1515" s="9" t="s">
        <v>5258</v>
      </c>
      <c r="B1515" s="200" t="s">
        <v>5259</v>
      </c>
      <c r="C1515" s="202" t="s">
        <v>5260</v>
      </c>
      <c r="D1515" s="152"/>
      <c r="E1515" s="154" t="s">
        <v>232</v>
      </c>
      <c r="F1515" s="180"/>
    </row>
    <row r="1516" customHeight="1" spans="1:6">
      <c r="A1516" s="9" t="s">
        <v>5261</v>
      </c>
      <c r="B1516" s="153" t="s">
        <v>5262</v>
      </c>
      <c r="C1516" s="202" t="s">
        <v>5263</v>
      </c>
      <c r="D1516" s="154">
        <v>943380945</v>
      </c>
      <c r="E1516" s="154" t="s">
        <v>104</v>
      </c>
      <c r="F1516" s="180"/>
    </row>
    <row r="1517" customHeight="1" spans="1:6">
      <c r="A1517" s="9" t="s">
        <v>5264</v>
      </c>
      <c r="B1517" s="195" t="s">
        <v>5265</v>
      </c>
      <c r="C1517" s="202" t="s">
        <v>5266</v>
      </c>
      <c r="D1517" s="152"/>
      <c r="E1517" s="154" t="s">
        <v>232</v>
      </c>
      <c r="F1517" s="180"/>
    </row>
    <row r="1518" customHeight="1" spans="1:6">
      <c r="A1518" s="9" t="s">
        <v>5267</v>
      </c>
      <c r="B1518" s="200" t="s">
        <v>5268</v>
      </c>
      <c r="C1518" s="202" t="s">
        <v>5269</v>
      </c>
      <c r="D1518" s="152"/>
      <c r="E1518" s="154" t="s">
        <v>232</v>
      </c>
      <c r="F1518" s="180"/>
    </row>
    <row r="1519" customHeight="1" spans="1:6">
      <c r="A1519" s="9" t="s">
        <v>5270</v>
      </c>
      <c r="B1519" s="200" t="s">
        <v>5271</v>
      </c>
      <c r="C1519" s="202" t="s">
        <v>5272</v>
      </c>
      <c r="D1519" s="152" t="s">
        <v>5273</v>
      </c>
      <c r="E1519" s="154" t="s">
        <v>232</v>
      </c>
      <c r="F1519" s="180"/>
    </row>
    <row r="1520" customHeight="1" spans="1:6">
      <c r="A1520" s="9" t="s">
        <v>5274</v>
      </c>
      <c r="B1520" s="195" t="s">
        <v>5275</v>
      </c>
      <c r="C1520" s="202" t="s">
        <v>5276</v>
      </c>
      <c r="D1520" s="152"/>
      <c r="E1520" s="154" t="s">
        <v>104</v>
      </c>
      <c r="F1520" s="180"/>
    </row>
    <row r="1521" customHeight="1" spans="1:6">
      <c r="A1521" s="9" t="s">
        <v>5277</v>
      </c>
      <c r="B1521" s="214" t="s">
        <v>5278</v>
      </c>
      <c r="C1521" s="214" t="s">
        <v>5279</v>
      </c>
      <c r="D1521" s="204">
        <v>911001195</v>
      </c>
      <c r="E1521" s="204" t="s">
        <v>92</v>
      </c>
      <c r="F1521" s="204"/>
    </row>
    <row r="1522" customHeight="1" spans="1:6">
      <c r="A1522" s="9" t="s">
        <v>5280</v>
      </c>
      <c r="B1522" s="153" t="s">
        <v>5281</v>
      </c>
      <c r="C1522" s="202" t="s">
        <v>5282</v>
      </c>
      <c r="D1522" s="154"/>
      <c r="E1522" s="154" t="s">
        <v>104</v>
      </c>
      <c r="F1522" s="180"/>
    </row>
    <row r="1523" customHeight="1" spans="1:6">
      <c r="A1523" s="9" t="s">
        <v>5283</v>
      </c>
      <c r="B1523" s="200" t="s">
        <v>5284</v>
      </c>
      <c r="C1523" s="202" t="s">
        <v>5285</v>
      </c>
      <c r="D1523" s="152" t="s">
        <v>5286</v>
      </c>
      <c r="E1523" s="154" t="s">
        <v>104</v>
      </c>
      <c r="F1523" s="180"/>
    </row>
    <row r="1524" customHeight="1" spans="1:6">
      <c r="A1524" s="9" t="s">
        <v>5287</v>
      </c>
      <c r="B1524" s="153" t="s">
        <v>5288</v>
      </c>
      <c r="C1524" s="202" t="s">
        <v>5289</v>
      </c>
      <c r="D1524" s="154"/>
      <c r="E1524" s="154" t="s">
        <v>5290</v>
      </c>
      <c r="F1524" s="180"/>
    </row>
    <row r="1525" customHeight="1" spans="1:6">
      <c r="A1525" s="9" t="s">
        <v>5291</v>
      </c>
      <c r="B1525" s="219" t="s">
        <v>5292</v>
      </c>
      <c r="C1525" s="219" t="s">
        <v>5293</v>
      </c>
      <c r="D1525" s="194"/>
      <c r="E1525" s="204" t="s">
        <v>92</v>
      </c>
      <c r="F1525" s="204"/>
    </row>
    <row r="1526" customHeight="1" spans="1:6">
      <c r="A1526" s="9" t="s">
        <v>5294</v>
      </c>
      <c r="B1526" s="223" t="s">
        <v>5295</v>
      </c>
      <c r="C1526" s="223" t="s">
        <v>5296</v>
      </c>
      <c r="D1526" s="204" t="s">
        <v>5297</v>
      </c>
      <c r="E1526" s="204" t="s">
        <v>92</v>
      </c>
      <c r="F1526" s="204"/>
    </row>
    <row r="1527" customHeight="1" spans="1:6">
      <c r="A1527" s="9" t="s">
        <v>5298</v>
      </c>
      <c r="B1527" s="160" t="s">
        <v>5299</v>
      </c>
      <c r="C1527" s="160" t="s">
        <v>5300</v>
      </c>
      <c r="D1527" s="204" t="s">
        <v>5301</v>
      </c>
      <c r="E1527" s="204" t="s">
        <v>92</v>
      </c>
      <c r="F1527" s="204"/>
    </row>
    <row r="1528" customHeight="1" spans="1:6">
      <c r="A1528" s="9" t="s">
        <v>5302</v>
      </c>
      <c r="B1528" s="222" t="str">
        <f>IFERROR(__xludf.DUMMYFUNCTION("""COMPUTED_VALUE"""),"Alem Adugna Motuma /W/O")</f>
        <v>Alem Adugna Motuma /W/O</v>
      </c>
      <c r="C1528" s="222" t="str">
        <f>IFERROR(__xludf.DUMMYFUNCTION("""COMPUTED_VALUE"""),"አለም አዱኛ ሞቱማ /ወ/ሮ")</f>
        <v>አለም አዱኛ ሞቱማ /ወ/ሮ</v>
      </c>
      <c r="D1528" s="222" t="str">
        <f>IFERROR(__xludf.DUMMYFUNCTION("""COMPUTED_VALUE"""),"911867366")</f>
        <v>911867366</v>
      </c>
      <c r="E1528" s="222" t="str">
        <f>IFERROR(__xludf.DUMMYFUNCTION("""COMPUTED_VALUE"""),"Addis Ababa")</f>
        <v>Addis Ababa</v>
      </c>
      <c r="F1528" s="222"/>
    </row>
    <row r="1529" customHeight="1" spans="1:6">
      <c r="A1529" s="9" t="s">
        <v>5303</v>
      </c>
      <c r="B1529" s="201" t="s">
        <v>5304</v>
      </c>
      <c r="C1529" s="202" t="s">
        <v>5305</v>
      </c>
      <c r="D1529" s="154"/>
      <c r="E1529" s="154" t="s">
        <v>58</v>
      </c>
      <c r="F1529" s="180"/>
    </row>
    <row r="1530" customHeight="1" spans="1:6">
      <c r="A1530" s="9" t="s">
        <v>5306</v>
      </c>
      <c r="B1530" s="280" t="s">
        <v>5307</v>
      </c>
      <c r="C1530" s="202" t="s">
        <v>5308</v>
      </c>
      <c r="D1530" s="153"/>
      <c r="E1530" s="180" t="s">
        <v>104</v>
      </c>
      <c r="F1530" s="180"/>
    </row>
    <row r="1531" customHeight="1" spans="1:6">
      <c r="A1531" s="9" t="s">
        <v>5309</v>
      </c>
      <c r="B1531" s="166" t="str">
        <f>IFERROR(__xludf.DUMMYFUNCTION("""COMPUTED_VALUE"""),"Alem Asimrom or/and Teshome Mekonen")</f>
        <v>Alem Asimrom or/and Teshome Mekonen</v>
      </c>
      <c r="C1531" s="166" t="str">
        <f>IFERROR(__xludf.DUMMYFUNCTION("""COMPUTED_VALUE"""),"አለም አስመሮም እና /ወይም ተሾመ መኮንን")</f>
        <v>አለም አስመሮም እና /ወይም ተሾመ መኮንን</v>
      </c>
      <c r="D1531" s="166" t="str">
        <f>IFERROR(__xludf.DUMMYFUNCTION("""COMPUTED_VALUE"""),"911404403")</f>
        <v>911404403</v>
      </c>
      <c r="E1531" s="166" t="str">
        <f>IFERROR(__xludf.DUMMYFUNCTION("""COMPUTED_VALUE"""),"Addis Ababa")</f>
        <v>Addis Ababa</v>
      </c>
      <c r="F1531" s="166"/>
    </row>
    <row r="1532" customHeight="1" spans="1:6">
      <c r="A1532" s="9" t="s">
        <v>5310</v>
      </c>
      <c r="B1532" s="200" t="s">
        <v>5311</v>
      </c>
      <c r="C1532" s="202" t="s">
        <v>5312</v>
      </c>
      <c r="D1532" s="152" t="s">
        <v>5313</v>
      </c>
      <c r="E1532" s="154" t="s">
        <v>232</v>
      </c>
      <c r="F1532" s="180"/>
    </row>
    <row r="1533" ht="48" customHeight="1" spans="1:6">
      <c r="A1533" s="9" t="s">
        <v>5314</v>
      </c>
      <c r="B1533" s="224" t="s">
        <v>5315</v>
      </c>
      <c r="C1533" s="225" t="s">
        <v>5316</v>
      </c>
      <c r="D1533" s="226" t="s">
        <v>5317</v>
      </c>
      <c r="E1533" s="29" t="s">
        <v>92</v>
      </c>
      <c r="F1533" s="29"/>
    </row>
    <row r="1534" customHeight="1" spans="1:6">
      <c r="A1534" s="9" t="s">
        <v>5318</v>
      </c>
      <c r="B1534" s="253" t="s">
        <v>5319</v>
      </c>
      <c r="C1534" s="253" t="s">
        <v>5320</v>
      </c>
      <c r="D1534" s="279"/>
      <c r="E1534" s="240" t="s">
        <v>92</v>
      </c>
      <c r="F1534" s="240"/>
    </row>
    <row r="1535" customHeight="1" spans="1:6">
      <c r="A1535" s="9" t="s">
        <v>5321</v>
      </c>
      <c r="B1535" s="223" t="s">
        <v>5322</v>
      </c>
      <c r="C1535" s="223" t="s">
        <v>5323</v>
      </c>
      <c r="D1535" s="223" t="s">
        <v>5324</v>
      </c>
      <c r="E1535" s="204" t="s">
        <v>92</v>
      </c>
      <c r="F1535" s="204"/>
    </row>
    <row r="1536" customHeight="1" spans="1:6">
      <c r="A1536" s="9" t="s">
        <v>5325</v>
      </c>
      <c r="B1536" s="215" t="s">
        <v>5326</v>
      </c>
      <c r="C1536" s="205" t="s">
        <v>5327</v>
      </c>
      <c r="D1536" s="206" t="s">
        <v>5328</v>
      </c>
      <c r="E1536" s="193" t="s">
        <v>120</v>
      </c>
      <c r="F1536" s="221"/>
    </row>
    <row r="1537" customHeight="1" spans="1:6">
      <c r="A1537" s="9" t="s">
        <v>5329</v>
      </c>
      <c r="B1537" s="215" t="s">
        <v>5326</v>
      </c>
      <c r="C1537" s="205" t="s">
        <v>5330</v>
      </c>
      <c r="D1537" s="244" t="s">
        <v>5328</v>
      </c>
      <c r="E1537" s="26" t="s">
        <v>92</v>
      </c>
      <c r="F1537" s="26"/>
    </row>
    <row r="1538" customHeight="1" spans="1:6">
      <c r="A1538" s="9" t="s">
        <v>5331</v>
      </c>
      <c r="B1538" s="215" t="s">
        <v>5332</v>
      </c>
      <c r="C1538" s="205" t="s">
        <v>5333</v>
      </c>
      <c r="D1538" s="244" t="s">
        <v>5334</v>
      </c>
      <c r="E1538" s="26" t="s">
        <v>92</v>
      </c>
      <c r="F1538" s="26"/>
    </row>
    <row r="1539" customHeight="1" spans="1:6">
      <c r="A1539" s="9" t="s">
        <v>5335</v>
      </c>
      <c r="B1539" s="214" t="s">
        <v>5336</v>
      </c>
      <c r="C1539" s="214" t="s">
        <v>5337</v>
      </c>
      <c r="D1539" s="194"/>
      <c r="E1539" s="204" t="s">
        <v>92</v>
      </c>
      <c r="F1539" s="204"/>
    </row>
    <row r="1540" customHeight="1" spans="1:6">
      <c r="A1540" s="9" t="s">
        <v>5338</v>
      </c>
      <c r="B1540" s="214" t="s">
        <v>5339</v>
      </c>
      <c r="C1540" s="214" t="s">
        <v>5340</v>
      </c>
      <c r="D1540" s="194"/>
      <c r="E1540" s="204" t="s">
        <v>92</v>
      </c>
      <c r="F1540" s="204"/>
    </row>
    <row r="1541" customHeight="1" spans="1:6">
      <c r="A1541" s="9" t="s">
        <v>5341</v>
      </c>
      <c r="B1541" s="214" t="s">
        <v>5342</v>
      </c>
      <c r="C1541" s="214" t="s">
        <v>5343</v>
      </c>
      <c r="D1541" s="194"/>
      <c r="E1541" s="204" t="s">
        <v>92</v>
      </c>
      <c r="F1541" s="204"/>
    </row>
    <row r="1542" customHeight="1" spans="1:6">
      <c r="A1542" s="9" t="s">
        <v>5344</v>
      </c>
      <c r="B1542" s="224" t="s">
        <v>5345</v>
      </c>
      <c r="C1542" s="225" t="s">
        <v>5346</v>
      </c>
      <c r="D1542" s="228" t="s">
        <v>5347</v>
      </c>
      <c r="E1542" s="229" t="s">
        <v>120</v>
      </c>
      <c r="F1542" s="230"/>
    </row>
    <row r="1543" customHeight="1" spans="1:6">
      <c r="A1543" s="9" t="s">
        <v>5348</v>
      </c>
      <c r="B1543" s="204" t="s">
        <v>5349</v>
      </c>
      <c r="C1543" s="204" t="s">
        <v>5350</v>
      </c>
      <c r="D1543" s="194"/>
      <c r="E1543" s="204" t="s">
        <v>92</v>
      </c>
      <c r="F1543" s="204"/>
    </row>
    <row r="1544" customHeight="1" spans="1:6">
      <c r="A1544" s="9" t="s">
        <v>5351</v>
      </c>
      <c r="B1544" s="195" t="s">
        <v>5352</v>
      </c>
      <c r="C1544" s="202" t="s">
        <v>5353</v>
      </c>
      <c r="D1544" s="152" t="s">
        <v>5354</v>
      </c>
      <c r="E1544" s="154" t="s">
        <v>232</v>
      </c>
      <c r="F1544" s="180"/>
    </row>
    <row r="1545" customHeight="1" spans="1:6">
      <c r="A1545" s="9" t="s">
        <v>5355</v>
      </c>
      <c r="B1545" s="214" t="s">
        <v>5356</v>
      </c>
      <c r="C1545" s="214" t="s">
        <v>5357</v>
      </c>
      <c r="D1545" s="194"/>
      <c r="E1545" s="204" t="s">
        <v>92</v>
      </c>
      <c r="F1545" s="204"/>
    </row>
    <row r="1546" customHeight="1" spans="1:6">
      <c r="A1546" s="9" t="s">
        <v>5358</v>
      </c>
      <c r="B1546" s="220" t="str">
        <f>IFERROR(__xludf.DUMMYFUNCTION("""COMPUTED_VALUE"""),"Alem Lemma Yae")</f>
        <v>Alem Lemma Yae</v>
      </c>
      <c r="C1546" s="220" t="str">
        <f>IFERROR(__xludf.DUMMYFUNCTION("""COMPUTED_VALUE"""),"አለም ለማ ያኢ")</f>
        <v>አለም ለማ ያኢ</v>
      </c>
      <c r="D1546" s="220" t="str">
        <f>IFERROR(__xludf.DUMMYFUNCTION("""COMPUTED_VALUE"""),"0911217331
0911104510")</f>
        <v>0911217331
0911104510</v>
      </c>
      <c r="E1546" s="220" t="str">
        <f>IFERROR(__xludf.DUMMYFUNCTION("""COMPUTED_VALUE"""),"addis abeba")</f>
        <v>addis abeba</v>
      </c>
      <c r="F1546" s="220"/>
    </row>
    <row r="1547" customHeight="1" spans="1:6">
      <c r="A1547" s="9" t="s">
        <v>5359</v>
      </c>
      <c r="B1547" s="214" t="s">
        <v>5360</v>
      </c>
      <c r="C1547" s="214" t="s">
        <v>5361</v>
      </c>
      <c r="D1547" s="194"/>
      <c r="E1547" s="204" t="s">
        <v>92</v>
      </c>
      <c r="F1547" s="204"/>
    </row>
    <row r="1548" customHeight="1" spans="1:6">
      <c r="A1548" s="9" t="s">
        <v>5362</v>
      </c>
      <c r="B1548" s="223" t="s">
        <v>5363</v>
      </c>
      <c r="C1548" s="223" t="s">
        <v>5364</v>
      </c>
      <c r="D1548" s="223" t="s">
        <v>5365</v>
      </c>
      <c r="E1548" s="204" t="s">
        <v>92</v>
      </c>
      <c r="F1548" s="204"/>
    </row>
    <row r="1549" customHeight="1" spans="1:6">
      <c r="A1549" s="9" t="s">
        <v>5366</v>
      </c>
      <c r="B1549" s="223" t="s">
        <v>5367</v>
      </c>
      <c r="C1549" s="223" t="s">
        <v>5368</v>
      </c>
      <c r="D1549" s="204" t="s">
        <v>5369</v>
      </c>
      <c r="E1549" s="204" t="s">
        <v>92</v>
      </c>
      <c r="F1549" s="204"/>
    </row>
    <row r="1550" customHeight="1" spans="1:6">
      <c r="A1550" s="9" t="s">
        <v>5370</v>
      </c>
      <c r="B1550" s="205" t="s">
        <v>5371</v>
      </c>
      <c r="C1550" s="205" t="s">
        <v>5372</v>
      </c>
      <c r="D1550" s="206" t="s">
        <v>5373</v>
      </c>
      <c r="E1550" s="193" t="s">
        <v>120</v>
      </c>
      <c r="F1550" s="294" t="s">
        <v>5374</v>
      </c>
    </row>
    <row r="1551" customHeight="1" spans="1:6">
      <c r="A1551" s="9" t="s">
        <v>5375</v>
      </c>
      <c r="B1551" s="295" t="s">
        <v>5376</v>
      </c>
      <c r="C1551" s="295" t="s">
        <v>5377</v>
      </c>
      <c r="D1551" s="194"/>
      <c r="E1551" s="204" t="s">
        <v>92</v>
      </c>
      <c r="F1551" s="204"/>
    </row>
    <row r="1552" customHeight="1" spans="1:6">
      <c r="A1552" s="9" t="s">
        <v>5378</v>
      </c>
      <c r="B1552" s="214" t="s">
        <v>5379</v>
      </c>
      <c r="C1552" s="214" t="s">
        <v>5380</v>
      </c>
      <c r="D1552" s="194"/>
      <c r="E1552" s="204" t="s">
        <v>92</v>
      </c>
      <c r="F1552" s="204"/>
    </row>
    <row r="1553" customHeight="1" spans="1:6">
      <c r="A1553" s="9" t="s">
        <v>5381</v>
      </c>
      <c r="B1553" s="201" t="s">
        <v>5382</v>
      </c>
      <c r="C1553" s="202" t="s">
        <v>5383</v>
      </c>
      <c r="D1553" s="154"/>
      <c r="E1553" s="154" t="s">
        <v>243</v>
      </c>
      <c r="F1553" s="180"/>
    </row>
    <row r="1554" customHeight="1" spans="1:6">
      <c r="A1554" s="9" t="s">
        <v>5384</v>
      </c>
      <c r="B1554" s="201" t="s">
        <v>5385</v>
      </c>
      <c r="C1554" s="202" t="s">
        <v>5386</v>
      </c>
      <c r="D1554" s="154">
        <v>970745898</v>
      </c>
      <c r="E1554" s="154" t="s">
        <v>211</v>
      </c>
      <c r="F1554" s="180"/>
    </row>
    <row r="1555" customHeight="1" spans="1:6">
      <c r="A1555" s="9" t="s">
        <v>5387</v>
      </c>
      <c r="B1555" s="200" t="s">
        <v>5388</v>
      </c>
      <c r="C1555" s="192" t="s">
        <v>5389</v>
      </c>
      <c r="D1555" s="194" t="s">
        <v>5390</v>
      </c>
      <c r="E1555" s="194" t="s">
        <v>243</v>
      </c>
      <c r="F1555" s="194"/>
    </row>
    <row r="1556" customHeight="1" spans="1:6">
      <c r="A1556" s="9" t="s">
        <v>5391</v>
      </c>
      <c r="B1556" s="153" t="s">
        <v>5392</v>
      </c>
      <c r="C1556" s="202" t="s">
        <v>5393</v>
      </c>
      <c r="D1556" s="154"/>
      <c r="E1556" s="154" t="s">
        <v>104</v>
      </c>
      <c r="F1556" s="180"/>
    </row>
    <row r="1557" customHeight="1" spans="1:6">
      <c r="A1557" s="9" t="s">
        <v>5394</v>
      </c>
      <c r="B1557" s="200" t="s">
        <v>5395</v>
      </c>
      <c r="C1557" s="202" t="s">
        <v>5396</v>
      </c>
      <c r="D1557" s="152" t="s">
        <v>5397</v>
      </c>
      <c r="E1557" s="154" t="s">
        <v>181</v>
      </c>
      <c r="F1557" s="180"/>
    </row>
    <row r="1558" customHeight="1" spans="1:6">
      <c r="A1558" s="9" t="s">
        <v>5398</v>
      </c>
      <c r="B1558" s="201" t="s">
        <v>5399</v>
      </c>
      <c r="C1558" s="202" t="s">
        <v>5400</v>
      </c>
      <c r="D1558" s="154" t="s">
        <v>5401</v>
      </c>
      <c r="E1558" s="154" t="s">
        <v>243</v>
      </c>
      <c r="F1558" s="180"/>
    </row>
    <row r="1559" customHeight="1" spans="1:6">
      <c r="A1559" s="9" t="s">
        <v>5402</v>
      </c>
      <c r="B1559" s="200" t="s">
        <v>5403</v>
      </c>
      <c r="C1559" s="192" t="s">
        <v>5404</v>
      </c>
      <c r="D1559" s="194"/>
      <c r="E1559" s="194" t="s">
        <v>202</v>
      </c>
      <c r="F1559" s="197"/>
    </row>
    <row r="1560" customHeight="1" spans="1:6">
      <c r="A1560" s="9" t="s">
        <v>5405</v>
      </c>
      <c r="B1560" s="214" t="s">
        <v>5406</v>
      </c>
      <c r="C1560" s="214" t="s">
        <v>5407</v>
      </c>
      <c r="D1560" s="194"/>
      <c r="E1560" s="204" t="s">
        <v>92</v>
      </c>
      <c r="F1560" s="204"/>
    </row>
    <row r="1561" customHeight="1" spans="1:6">
      <c r="A1561" s="9" t="s">
        <v>5408</v>
      </c>
      <c r="B1561" s="296" t="s">
        <v>5409</v>
      </c>
      <c r="C1561" s="196" t="s">
        <v>5410</v>
      </c>
      <c r="D1561" s="198"/>
      <c r="E1561" s="197" t="s">
        <v>181</v>
      </c>
      <c r="F1561" s="197"/>
    </row>
    <row r="1562" customHeight="1" spans="1:6">
      <c r="A1562" s="9" t="s">
        <v>5411</v>
      </c>
      <c r="B1562" s="200" t="s">
        <v>5412</v>
      </c>
      <c r="C1562" s="246" t="s">
        <v>5413</v>
      </c>
      <c r="D1562" s="194"/>
      <c r="E1562" s="194" t="s">
        <v>243</v>
      </c>
      <c r="F1562" s="194"/>
    </row>
    <row r="1563" customHeight="1" spans="1:6">
      <c r="A1563" s="9" t="s">
        <v>5414</v>
      </c>
      <c r="B1563" s="260" t="s">
        <v>5415</v>
      </c>
      <c r="C1563" s="243" t="s">
        <v>5416</v>
      </c>
      <c r="D1563" s="154">
        <v>927041926</v>
      </c>
      <c r="E1563" s="158" t="s">
        <v>243</v>
      </c>
      <c r="F1563" s="153"/>
    </row>
    <row r="1564" customHeight="1" spans="1:6">
      <c r="A1564" s="9" t="s">
        <v>5417</v>
      </c>
      <c r="B1564" s="201" t="s">
        <v>5418</v>
      </c>
      <c r="C1564" s="202" t="s">
        <v>5419</v>
      </c>
      <c r="D1564" s="154" t="s">
        <v>5420</v>
      </c>
      <c r="E1564" s="154" t="s">
        <v>211</v>
      </c>
      <c r="F1564" s="180"/>
    </row>
    <row r="1565" customHeight="1" spans="1:6">
      <c r="A1565" s="9" t="s">
        <v>5421</v>
      </c>
      <c r="B1565" s="153" t="s">
        <v>5422</v>
      </c>
      <c r="C1565" s="202" t="s">
        <v>5423</v>
      </c>
      <c r="D1565" s="154" t="s">
        <v>5424</v>
      </c>
      <c r="E1565" s="154" t="s">
        <v>243</v>
      </c>
      <c r="F1565" s="180"/>
    </row>
    <row r="1566" customHeight="1" spans="1:6">
      <c r="A1566" s="9" t="s">
        <v>5425</v>
      </c>
      <c r="B1566" s="260" t="s">
        <v>5426</v>
      </c>
      <c r="C1566" s="243" t="s">
        <v>5427</v>
      </c>
      <c r="D1566" s="154">
        <v>916924662</v>
      </c>
      <c r="E1566" s="158" t="s">
        <v>243</v>
      </c>
      <c r="F1566" s="153"/>
    </row>
    <row r="1567" customHeight="1" spans="1:6">
      <c r="A1567" s="9" t="s">
        <v>5428</v>
      </c>
      <c r="B1567" s="199" t="s">
        <v>5429</v>
      </c>
      <c r="C1567" s="196" t="s">
        <v>5430</v>
      </c>
      <c r="D1567" s="198" t="s">
        <v>5431</v>
      </c>
      <c r="E1567" s="197" t="s">
        <v>1281</v>
      </c>
      <c r="F1567" s="197"/>
    </row>
    <row r="1568" customHeight="1" spans="1:6">
      <c r="A1568" s="9" t="s">
        <v>5432</v>
      </c>
      <c r="B1568" s="223" t="s">
        <v>5433</v>
      </c>
      <c r="C1568" s="223" t="s">
        <v>5434</v>
      </c>
      <c r="D1568" s="194"/>
      <c r="E1568" s="204" t="s">
        <v>92</v>
      </c>
      <c r="F1568" s="204"/>
    </row>
    <row r="1569" customHeight="1" spans="1:6">
      <c r="A1569" s="9" t="s">
        <v>5435</v>
      </c>
      <c r="B1569" s="200" t="s">
        <v>5436</v>
      </c>
      <c r="C1569" s="202" t="s">
        <v>5437</v>
      </c>
      <c r="D1569" s="152" t="s">
        <v>5438</v>
      </c>
      <c r="E1569" s="154" t="s">
        <v>181</v>
      </c>
      <c r="F1569" s="180"/>
    </row>
    <row r="1570" customHeight="1" spans="1:6">
      <c r="A1570" s="9" t="s">
        <v>5439</v>
      </c>
      <c r="B1570" s="153" t="s">
        <v>5440</v>
      </c>
      <c r="C1570" s="202" t="s">
        <v>5441</v>
      </c>
      <c r="D1570" s="154" t="s">
        <v>5442</v>
      </c>
      <c r="E1570" s="154"/>
      <c r="F1570" s="180"/>
    </row>
    <row r="1571" customHeight="1" spans="1:6">
      <c r="A1571" s="9" t="s">
        <v>5443</v>
      </c>
      <c r="B1571" s="201" t="s">
        <v>5444</v>
      </c>
      <c r="C1571" s="202" t="s">
        <v>5445</v>
      </c>
      <c r="D1571" s="154" t="s">
        <v>5446</v>
      </c>
      <c r="E1571" s="154" t="s">
        <v>211</v>
      </c>
      <c r="F1571" s="180"/>
    </row>
    <row r="1572" customHeight="1" spans="1:6">
      <c r="A1572" s="9" t="s">
        <v>5447</v>
      </c>
      <c r="B1572" s="153" t="s">
        <v>5448</v>
      </c>
      <c r="C1572" s="202" t="s">
        <v>5449</v>
      </c>
      <c r="D1572" s="154"/>
      <c r="E1572" s="154" t="s">
        <v>243</v>
      </c>
      <c r="F1572" s="180"/>
    </row>
    <row r="1573" customHeight="1" spans="1:6">
      <c r="A1573" s="9" t="s">
        <v>5450</v>
      </c>
      <c r="B1573" s="201" t="s">
        <v>5451</v>
      </c>
      <c r="C1573" s="202" t="s">
        <v>5452</v>
      </c>
      <c r="D1573" s="154"/>
      <c r="E1573" s="154" t="s">
        <v>58</v>
      </c>
      <c r="F1573" s="180"/>
    </row>
    <row r="1574" customHeight="1" spans="1:6">
      <c r="A1574" s="9" t="s">
        <v>5453</v>
      </c>
      <c r="B1574" s="208" t="s">
        <v>5454</v>
      </c>
      <c r="C1574" s="208" t="s">
        <v>5455</v>
      </c>
      <c r="D1574" s="194"/>
      <c r="E1574" s="204" t="s">
        <v>92</v>
      </c>
      <c r="F1574" s="204"/>
    </row>
    <row r="1575" customHeight="1" spans="1:6">
      <c r="A1575" s="9" t="s">
        <v>5456</v>
      </c>
      <c r="B1575" s="223" t="s">
        <v>5457</v>
      </c>
      <c r="C1575" s="223" t="s">
        <v>5458</v>
      </c>
      <c r="D1575" s="204" t="s">
        <v>5459</v>
      </c>
      <c r="E1575" s="204" t="s">
        <v>92</v>
      </c>
      <c r="F1575" s="204"/>
    </row>
    <row r="1576" customHeight="1" spans="1:6">
      <c r="A1576" s="9" t="s">
        <v>5460</v>
      </c>
      <c r="B1576" s="160" t="s">
        <v>5461</v>
      </c>
      <c r="C1576" s="160" t="s">
        <v>5462</v>
      </c>
      <c r="D1576" s="204" t="s">
        <v>5463</v>
      </c>
      <c r="E1576" s="204" t="s">
        <v>92</v>
      </c>
      <c r="F1576" s="204"/>
    </row>
    <row r="1577" customHeight="1" spans="1:6">
      <c r="A1577" s="9" t="s">
        <v>5464</v>
      </c>
      <c r="B1577" s="205" t="s">
        <v>5465</v>
      </c>
      <c r="C1577" s="205" t="s">
        <v>5466</v>
      </c>
      <c r="D1577" s="206" t="s">
        <v>5467</v>
      </c>
      <c r="E1577" s="193" t="s">
        <v>120</v>
      </c>
      <c r="F1577" s="221" t="s">
        <v>5468</v>
      </c>
    </row>
    <row r="1578" customHeight="1" spans="1:6">
      <c r="A1578" s="9" t="s">
        <v>5469</v>
      </c>
      <c r="B1578" s="233" t="s">
        <v>5470</v>
      </c>
      <c r="C1578" s="233" t="s">
        <v>5471</v>
      </c>
      <c r="D1578" s="204" t="s">
        <v>5472</v>
      </c>
      <c r="E1578" s="204" t="s">
        <v>605</v>
      </c>
      <c r="F1578" s="204" t="s">
        <v>5473</v>
      </c>
    </row>
    <row r="1579" customHeight="1" spans="1:6">
      <c r="A1579" s="9" t="s">
        <v>5474</v>
      </c>
      <c r="B1579" s="153" t="s">
        <v>5475</v>
      </c>
      <c r="C1579" s="202" t="s">
        <v>5476</v>
      </c>
      <c r="D1579" s="154" t="s">
        <v>5477</v>
      </c>
      <c r="E1579" s="154" t="s">
        <v>243</v>
      </c>
      <c r="F1579" s="180"/>
    </row>
    <row r="1580" customHeight="1" spans="1:6">
      <c r="A1580" s="9" t="s">
        <v>5478</v>
      </c>
      <c r="B1580" s="201" t="s">
        <v>5479</v>
      </c>
      <c r="C1580" s="202" t="s">
        <v>5480</v>
      </c>
      <c r="D1580" s="154" t="s">
        <v>5481</v>
      </c>
      <c r="E1580" s="154" t="s">
        <v>243</v>
      </c>
      <c r="F1580" s="180"/>
    </row>
    <row r="1581" customHeight="1" spans="1:6">
      <c r="A1581" s="9" t="s">
        <v>5482</v>
      </c>
      <c r="B1581" s="201" t="s">
        <v>5483</v>
      </c>
      <c r="C1581" s="202" t="s">
        <v>5484</v>
      </c>
      <c r="D1581" s="154" t="s">
        <v>5485</v>
      </c>
      <c r="E1581" s="154" t="s">
        <v>243</v>
      </c>
      <c r="F1581" s="180"/>
    </row>
    <row r="1582" customHeight="1" spans="1:6">
      <c r="A1582" s="9" t="s">
        <v>5486</v>
      </c>
      <c r="B1582" s="153" t="s">
        <v>5487</v>
      </c>
      <c r="C1582" s="202" t="s">
        <v>5488</v>
      </c>
      <c r="D1582" s="154" t="s">
        <v>5489</v>
      </c>
      <c r="E1582" s="154" t="s">
        <v>243</v>
      </c>
      <c r="F1582" s="180"/>
    </row>
    <row r="1583" customHeight="1" spans="1:6">
      <c r="A1583" s="9" t="s">
        <v>5490</v>
      </c>
      <c r="B1583" s="201" t="s">
        <v>5491</v>
      </c>
      <c r="C1583" s="202" t="s">
        <v>5492</v>
      </c>
      <c r="D1583" s="154">
        <v>924093571</v>
      </c>
      <c r="E1583" s="154" t="s">
        <v>211</v>
      </c>
      <c r="F1583" s="180"/>
    </row>
    <row r="1584" customHeight="1" spans="1:6">
      <c r="A1584" s="9" t="s">
        <v>5493</v>
      </c>
      <c r="B1584" s="223" t="s">
        <v>5494</v>
      </c>
      <c r="C1584" s="223" t="s">
        <v>5495</v>
      </c>
      <c r="D1584" s="204" t="s">
        <v>5496</v>
      </c>
      <c r="E1584" s="204" t="s">
        <v>92</v>
      </c>
      <c r="F1584" s="204"/>
    </row>
    <row r="1585" customHeight="1" spans="1:6">
      <c r="A1585" s="9" t="s">
        <v>5497</v>
      </c>
      <c r="B1585" s="158" t="s">
        <v>5498</v>
      </c>
      <c r="C1585" s="203" t="s">
        <v>5499</v>
      </c>
      <c r="D1585" s="158"/>
      <c r="E1585" s="158" t="s">
        <v>216</v>
      </c>
      <c r="F1585" s="158"/>
    </row>
    <row r="1586" customHeight="1" spans="1:6">
      <c r="A1586" s="9" t="s">
        <v>5500</v>
      </c>
      <c r="B1586" s="222" t="str">
        <f>IFERROR(__xludf.DUMMYFUNCTION("""COMPUTED_VALUE"""),"Alemayehu Duresa Ararso")</f>
        <v>Alemayehu Duresa Ararso</v>
      </c>
      <c r="C1586" s="222" t="str">
        <f>IFERROR(__xludf.DUMMYFUNCTION("""COMPUTED_VALUE"""),"አለማየሁ ዱሬሳ አራርሶ")</f>
        <v>አለማየሁ ዱሬሳ አራርሶ</v>
      </c>
      <c r="D1586" s="222" t="str">
        <f>IFERROR(__xludf.DUMMYFUNCTION("""COMPUTED_VALUE"""),"0916-823315")</f>
        <v>0916-823315</v>
      </c>
      <c r="E1586" s="222" t="str">
        <f>IFERROR(__xludf.DUMMYFUNCTION("""COMPUTED_VALUE"""),"Awassa")</f>
        <v>Awassa</v>
      </c>
      <c r="F1586" s="222"/>
    </row>
    <row r="1587" customHeight="1" spans="1:6">
      <c r="A1587" s="9" t="s">
        <v>5501</v>
      </c>
      <c r="B1587" s="222" t="str">
        <f>IFERROR(__xludf.DUMMYFUNCTION("""COMPUTED_VALUE"""),"Alemayehu Duresa Ararso")</f>
        <v>Alemayehu Duresa Ararso</v>
      </c>
      <c r="C1587" s="222" t="str">
        <f>IFERROR(__xludf.DUMMYFUNCTION("""COMPUTED_VALUE"""),"አለማየሁ ዱሬሳ አራርሶ")</f>
        <v>አለማየሁ ዱሬሳ አራርሶ</v>
      </c>
      <c r="D1587" s="222" t="str">
        <f>IFERROR(__xludf.DUMMYFUNCTION("""COMPUTED_VALUE"""),"0916-823315")</f>
        <v>0916-823315</v>
      </c>
      <c r="E1587" s="222" t="str">
        <f>IFERROR(__xludf.DUMMYFUNCTION("""COMPUTED_VALUE"""),"Awassa")</f>
        <v>Awassa</v>
      </c>
      <c r="F1587" s="222"/>
    </row>
    <row r="1588" customHeight="1" spans="1:6">
      <c r="A1588" s="9" t="s">
        <v>5502</v>
      </c>
      <c r="B1588" s="195" t="s">
        <v>5503</v>
      </c>
      <c r="C1588" s="202" t="s">
        <v>5504</v>
      </c>
      <c r="D1588" s="152" t="s">
        <v>5505</v>
      </c>
      <c r="E1588" s="154" t="s">
        <v>232</v>
      </c>
      <c r="F1588" s="180"/>
    </row>
    <row r="1589" customHeight="1" spans="1:6">
      <c r="A1589" s="9" t="s">
        <v>5506</v>
      </c>
      <c r="B1589" s="200" t="s">
        <v>5507</v>
      </c>
      <c r="C1589" s="202" t="s">
        <v>5508</v>
      </c>
      <c r="D1589" s="152"/>
      <c r="E1589" s="154" t="s">
        <v>232</v>
      </c>
      <c r="F1589" s="180"/>
    </row>
    <row r="1590" customHeight="1" spans="1:6">
      <c r="A1590" s="9" t="s">
        <v>5509</v>
      </c>
      <c r="B1590" s="200" t="s">
        <v>5510</v>
      </c>
      <c r="C1590" s="192" t="s">
        <v>5511</v>
      </c>
      <c r="D1590" s="194"/>
      <c r="E1590" s="194" t="s">
        <v>202</v>
      </c>
      <c r="F1590" s="197"/>
    </row>
    <row r="1591" customHeight="1" spans="1:6">
      <c r="A1591" s="9" t="s">
        <v>5512</v>
      </c>
      <c r="B1591" s="223" t="s">
        <v>5513</v>
      </c>
      <c r="C1591" s="223" t="s">
        <v>5514</v>
      </c>
      <c r="D1591" s="204" t="s">
        <v>5515</v>
      </c>
      <c r="E1591" s="204" t="s">
        <v>92</v>
      </c>
      <c r="F1591" s="204"/>
    </row>
    <row r="1592" customHeight="1" spans="1:6">
      <c r="A1592" s="9" t="s">
        <v>5516</v>
      </c>
      <c r="B1592" s="158" t="s">
        <v>5517</v>
      </c>
      <c r="C1592" s="202" t="s">
        <v>5518</v>
      </c>
      <c r="D1592" s="158">
        <v>965517280</v>
      </c>
      <c r="E1592" s="154" t="s">
        <v>211</v>
      </c>
      <c r="F1592" s="250"/>
    </row>
    <row r="1593" customHeight="1" spans="1:6">
      <c r="A1593" s="9" t="s">
        <v>5519</v>
      </c>
      <c r="B1593" s="194" t="s">
        <v>5520</v>
      </c>
      <c r="C1593" s="202" t="s">
        <v>5521</v>
      </c>
      <c r="D1593" s="158">
        <v>926465805</v>
      </c>
      <c r="E1593" s="158" t="s">
        <v>1218</v>
      </c>
      <c r="F1593" s="153"/>
    </row>
    <row r="1594" customHeight="1" spans="1:6">
      <c r="A1594" s="9" t="s">
        <v>5522</v>
      </c>
      <c r="B1594" s="200" t="s">
        <v>5523</v>
      </c>
      <c r="C1594" s="202" t="s">
        <v>5524</v>
      </c>
      <c r="D1594" s="152" t="s">
        <v>5525</v>
      </c>
      <c r="E1594" s="154"/>
      <c r="F1594" s="180"/>
    </row>
    <row r="1595" customHeight="1" spans="1:6">
      <c r="A1595" s="9" t="s">
        <v>5526</v>
      </c>
      <c r="B1595" s="195" t="s">
        <v>5527</v>
      </c>
      <c r="C1595" s="213" t="s">
        <v>5528</v>
      </c>
      <c r="D1595" s="197"/>
      <c r="E1595" s="197" t="s">
        <v>1852</v>
      </c>
      <c r="F1595" s="197"/>
    </row>
    <row r="1596" customHeight="1" spans="1:6">
      <c r="A1596" s="9" t="s">
        <v>5529</v>
      </c>
      <c r="B1596" s="160" t="s">
        <v>5530</v>
      </c>
      <c r="C1596" s="160" t="s">
        <v>5531</v>
      </c>
      <c r="D1596" s="204" t="s">
        <v>5532</v>
      </c>
      <c r="E1596" s="204" t="s">
        <v>92</v>
      </c>
      <c r="F1596" s="204"/>
    </row>
    <row r="1597" customHeight="1" spans="1:6">
      <c r="A1597" s="9" t="s">
        <v>5533</v>
      </c>
      <c r="B1597" s="160" t="s">
        <v>5534</v>
      </c>
      <c r="C1597" s="160" t="s">
        <v>5535</v>
      </c>
      <c r="D1597" s="204" t="s">
        <v>5536</v>
      </c>
      <c r="E1597" s="204" t="s">
        <v>92</v>
      </c>
      <c r="F1597" s="204"/>
    </row>
    <row r="1598" customHeight="1" spans="1:6">
      <c r="A1598" s="9" t="s">
        <v>5537</v>
      </c>
      <c r="B1598" s="205" t="s">
        <v>5538</v>
      </c>
      <c r="C1598" s="205" t="s">
        <v>5539</v>
      </c>
      <c r="D1598" s="206" t="s">
        <v>5540</v>
      </c>
      <c r="E1598" s="193" t="s">
        <v>120</v>
      </c>
      <c r="F1598" s="207" t="s">
        <v>5541</v>
      </c>
    </row>
    <row r="1599" customHeight="1" spans="1:6">
      <c r="A1599" s="9" t="s">
        <v>5542</v>
      </c>
      <c r="B1599" s="214" t="s">
        <v>5543</v>
      </c>
      <c r="C1599" s="214" t="s">
        <v>5544</v>
      </c>
      <c r="D1599" s="194"/>
      <c r="E1599" s="204" t="s">
        <v>92</v>
      </c>
      <c r="F1599" s="204"/>
    </row>
    <row r="1600" customHeight="1" spans="1:6">
      <c r="A1600" s="9" t="s">
        <v>5545</v>
      </c>
      <c r="B1600" s="200" t="s">
        <v>5546</v>
      </c>
      <c r="C1600" s="202" t="s">
        <v>5547</v>
      </c>
      <c r="D1600" s="158"/>
      <c r="E1600" s="154" t="s">
        <v>310</v>
      </c>
      <c r="F1600" s="180"/>
    </row>
    <row r="1601" customHeight="1" spans="1:6">
      <c r="A1601" s="9" t="s">
        <v>5548</v>
      </c>
      <c r="B1601" s="195" t="s">
        <v>5549</v>
      </c>
      <c r="C1601" s="196" t="s">
        <v>5550</v>
      </c>
      <c r="D1601" s="197"/>
      <c r="E1601" s="198" t="s">
        <v>1958</v>
      </c>
      <c r="F1601" s="199"/>
    </row>
    <row r="1602" customHeight="1" spans="1:6">
      <c r="A1602" s="9" t="s">
        <v>5551</v>
      </c>
      <c r="B1602" s="195" t="s">
        <v>5552</v>
      </c>
      <c r="C1602" s="213" t="s">
        <v>5553</v>
      </c>
      <c r="D1602" s="197"/>
      <c r="E1602" s="197" t="s">
        <v>1852</v>
      </c>
      <c r="F1602" s="197"/>
    </row>
    <row r="1603" customHeight="1" spans="1:6">
      <c r="A1603" s="9" t="s">
        <v>5554</v>
      </c>
      <c r="B1603" s="200" t="s">
        <v>5555</v>
      </c>
      <c r="C1603" s="202" t="s">
        <v>5556</v>
      </c>
      <c r="D1603" s="152" t="s">
        <v>5557</v>
      </c>
      <c r="E1603" s="154" t="s">
        <v>181</v>
      </c>
      <c r="F1603" s="180"/>
    </row>
    <row r="1604" customHeight="1" spans="1:6">
      <c r="A1604" s="9" t="s">
        <v>5558</v>
      </c>
      <c r="B1604" s="214" t="s">
        <v>5559</v>
      </c>
      <c r="C1604" s="214" t="s">
        <v>5560</v>
      </c>
      <c r="D1604" s="194"/>
      <c r="E1604" s="204" t="s">
        <v>92</v>
      </c>
      <c r="F1604" s="204"/>
    </row>
    <row r="1605" customHeight="1" spans="1:6">
      <c r="A1605" s="9" t="s">
        <v>5561</v>
      </c>
      <c r="B1605" s="214" t="s">
        <v>5562</v>
      </c>
      <c r="C1605" s="214" t="s">
        <v>5563</v>
      </c>
      <c r="D1605" s="194"/>
      <c r="E1605" s="204" t="s">
        <v>92</v>
      </c>
      <c r="F1605" s="204"/>
    </row>
    <row r="1606" customHeight="1" spans="1:6">
      <c r="A1606" s="9" t="s">
        <v>5564</v>
      </c>
      <c r="B1606" s="195" t="s">
        <v>5565</v>
      </c>
      <c r="C1606" s="212" t="s">
        <v>5566</v>
      </c>
      <c r="D1606" s="197"/>
      <c r="E1606" s="197" t="s">
        <v>3811</v>
      </c>
      <c r="F1606" s="197"/>
    </row>
    <row r="1607" customHeight="1" spans="1:6">
      <c r="A1607" s="9" t="s">
        <v>5567</v>
      </c>
      <c r="B1607" s="200" t="s">
        <v>5568</v>
      </c>
      <c r="C1607" s="192" t="s">
        <v>5569</v>
      </c>
      <c r="D1607" s="194"/>
      <c r="E1607" s="194" t="s">
        <v>243</v>
      </c>
      <c r="F1607" s="194"/>
    </row>
    <row r="1608" customHeight="1" spans="1:6">
      <c r="A1608" s="9" t="s">
        <v>5570</v>
      </c>
      <c r="B1608" s="195" t="s">
        <v>5571</v>
      </c>
      <c r="C1608" s="202" t="s">
        <v>5572</v>
      </c>
      <c r="D1608" s="152"/>
      <c r="E1608" s="154" t="s">
        <v>181</v>
      </c>
      <c r="F1608" s="180"/>
    </row>
    <row r="1609" customHeight="1" spans="1:6">
      <c r="A1609" s="9" t="s">
        <v>5573</v>
      </c>
      <c r="B1609" s="214" t="s">
        <v>5574</v>
      </c>
      <c r="C1609" s="214" t="s">
        <v>5575</v>
      </c>
      <c r="D1609" s="194"/>
      <c r="E1609" s="204" t="s">
        <v>92</v>
      </c>
      <c r="F1609" s="204"/>
    </row>
    <row r="1610" customHeight="1" spans="1:6">
      <c r="A1610" s="9" t="s">
        <v>5576</v>
      </c>
      <c r="B1610" s="222" t="str">
        <f>IFERROR(__xludf.DUMMYFUNCTION("""COMPUTED_VALUE"""),"Alemayehu Moges G/Yohannes")</f>
        <v>Alemayehu Moges G/Yohannes</v>
      </c>
      <c r="C1610" s="222" t="str">
        <f>IFERROR(__xludf.DUMMYFUNCTION("""COMPUTED_VALUE"""),"አለማየሁ ሞገስ ገ/ዮሃንስ")</f>
        <v>አለማየሁ ሞገስ ገ/ዮሃንስ</v>
      </c>
      <c r="D1610" s="222" t="str">
        <f>IFERROR(__xludf.DUMMYFUNCTION("""COMPUTED_VALUE"""),"0911-212383")</f>
        <v>0911-212383</v>
      </c>
      <c r="E1610" s="222" t="str">
        <f>IFERROR(__xludf.DUMMYFUNCTION("""COMPUTED_VALUE"""),"Addis Ababa")</f>
        <v>Addis Ababa</v>
      </c>
      <c r="F1610" s="222"/>
    </row>
    <row r="1611" customHeight="1" spans="1:6">
      <c r="A1611" s="9" t="s">
        <v>5577</v>
      </c>
      <c r="B1611" s="214" t="s">
        <v>5578</v>
      </c>
      <c r="C1611" s="214" t="s">
        <v>5579</v>
      </c>
      <c r="D1611" s="194"/>
      <c r="E1611" s="204" t="s">
        <v>92</v>
      </c>
      <c r="F1611" s="204"/>
    </row>
    <row r="1612" customHeight="1" spans="1:6">
      <c r="A1612" s="9" t="s">
        <v>5580</v>
      </c>
      <c r="B1612" s="214" t="s">
        <v>5581</v>
      </c>
      <c r="C1612" s="214" t="s">
        <v>5582</v>
      </c>
      <c r="D1612" s="194"/>
      <c r="E1612" s="204" t="s">
        <v>92</v>
      </c>
      <c r="F1612" s="204"/>
    </row>
    <row r="1613" customHeight="1" spans="1:6">
      <c r="A1613" s="9" t="s">
        <v>5583</v>
      </c>
      <c r="B1613" s="214" t="s">
        <v>5584</v>
      </c>
      <c r="C1613" s="214" t="s">
        <v>5585</v>
      </c>
      <c r="D1613" s="194"/>
      <c r="E1613" s="204" t="s">
        <v>92</v>
      </c>
      <c r="F1613" s="204"/>
    </row>
    <row r="1614" customHeight="1" spans="1:6">
      <c r="A1614" s="9" t="s">
        <v>5586</v>
      </c>
      <c r="B1614" s="214" t="s">
        <v>5587</v>
      </c>
      <c r="C1614" s="214" t="s">
        <v>5588</v>
      </c>
      <c r="D1614" s="204" t="s">
        <v>5589</v>
      </c>
      <c r="E1614" s="204" t="s">
        <v>92</v>
      </c>
      <c r="F1614" s="204"/>
    </row>
    <row r="1615" customHeight="1" spans="1:6">
      <c r="A1615" s="9" t="s">
        <v>5590</v>
      </c>
      <c r="B1615" s="201" t="s">
        <v>5591</v>
      </c>
      <c r="C1615" s="202" t="s">
        <v>5592</v>
      </c>
      <c r="D1615" s="153"/>
      <c r="E1615" s="180" t="s">
        <v>104</v>
      </c>
      <c r="F1615" s="180"/>
    </row>
    <row r="1616" customHeight="1" spans="1:6">
      <c r="A1616" s="9" t="s">
        <v>5593</v>
      </c>
      <c r="B1616" s="200" t="s">
        <v>5594</v>
      </c>
      <c r="C1616" s="202" t="s">
        <v>5595</v>
      </c>
      <c r="D1616" s="152"/>
      <c r="E1616" s="154"/>
      <c r="F1616" s="180"/>
    </row>
    <row r="1617" customHeight="1" spans="1:6">
      <c r="A1617" s="9" t="s">
        <v>5596</v>
      </c>
      <c r="B1617" s="204" t="s">
        <v>5597</v>
      </c>
      <c r="C1617" s="204" t="s">
        <v>5598</v>
      </c>
      <c r="D1617" s="194"/>
      <c r="E1617" s="204" t="s">
        <v>92</v>
      </c>
      <c r="F1617" s="204"/>
    </row>
    <row r="1618" customHeight="1" spans="1:6">
      <c r="A1618" s="9" t="s">
        <v>5599</v>
      </c>
      <c r="B1618" s="260" t="s">
        <v>5600</v>
      </c>
      <c r="C1618" s="243" t="s">
        <v>5601</v>
      </c>
      <c r="D1618" s="154"/>
      <c r="E1618" s="158" t="s">
        <v>243</v>
      </c>
      <c r="F1618" s="153"/>
    </row>
    <row r="1619" customHeight="1" spans="1:6">
      <c r="A1619" s="9" t="s">
        <v>5602</v>
      </c>
      <c r="B1619" s="195" t="s">
        <v>5603</v>
      </c>
      <c r="C1619" s="202" t="s">
        <v>5604</v>
      </c>
      <c r="D1619" s="152" t="s">
        <v>5605</v>
      </c>
      <c r="E1619" s="154" t="s">
        <v>181</v>
      </c>
      <c r="F1619" s="180"/>
    </row>
    <row r="1620" customHeight="1" spans="1:6">
      <c r="A1620" s="9" t="s">
        <v>5606</v>
      </c>
      <c r="B1620" s="215" t="s">
        <v>5607</v>
      </c>
      <c r="C1620" s="205" t="s">
        <v>5608</v>
      </c>
      <c r="D1620" s="244" t="s">
        <v>5609</v>
      </c>
      <c r="E1620" s="26" t="s">
        <v>92</v>
      </c>
      <c r="F1620" s="26"/>
    </row>
    <row r="1621" customHeight="1" spans="1:6">
      <c r="A1621" s="9" t="s">
        <v>5610</v>
      </c>
      <c r="B1621" s="166" t="str">
        <f>IFERROR(__xludf.DUMMYFUNCTION("""COMPUTED_VALUE"""),"Alemayehu Tadesse Mamecha")</f>
        <v>Alemayehu Tadesse Mamecha</v>
      </c>
      <c r="C1621" s="166" t="str">
        <f>IFERROR(__xludf.DUMMYFUNCTION("""COMPUTED_VALUE"""),"አለማየሁ ታደሰ ማመጫ")</f>
        <v>አለማየሁ ታደሰ ማመጫ</v>
      </c>
      <c r="D1621" s="166" t="str">
        <f>IFERROR(__xludf.DUMMYFUNCTION("""COMPUTED_VALUE"""),"911245834")</f>
        <v>911245834</v>
      </c>
      <c r="E1621" s="166" t="str">
        <f>IFERROR(__xludf.DUMMYFUNCTION("""COMPUTED_VALUE"""),"addis ababa")</f>
        <v>addis ababa</v>
      </c>
      <c r="F1621" s="166" t="str">
        <f>IFERROR(__xludf.DUMMYFUNCTION("""COMPUTED_VALUE"""),"ytshaile@yahoo.com")</f>
        <v>ytshaile@yahoo.com</v>
      </c>
    </row>
    <row r="1622" customHeight="1" spans="1:6">
      <c r="A1622" s="9" t="s">
        <v>5611</v>
      </c>
      <c r="B1622" s="201" t="s">
        <v>5612</v>
      </c>
      <c r="C1622" s="202" t="s">
        <v>5613</v>
      </c>
      <c r="D1622" s="154" t="s">
        <v>5614</v>
      </c>
      <c r="E1622" s="154" t="s">
        <v>186</v>
      </c>
      <c r="F1622" s="180"/>
    </row>
    <row r="1623" customHeight="1" spans="1:6">
      <c r="A1623" s="9" t="s">
        <v>5615</v>
      </c>
      <c r="B1623" s="214" t="s">
        <v>5616</v>
      </c>
      <c r="C1623" s="214" t="s">
        <v>5617</v>
      </c>
      <c r="D1623" s="194"/>
      <c r="E1623" s="204" t="s">
        <v>92</v>
      </c>
      <c r="F1623" s="204"/>
    </row>
    <row r="1624" customHeight="1" spans="1:6">
      <c r="A1624" s="9" t="s">
        <v>5618</v>
      </c>
      <c r="B1624" s="215" t="s">
        <v>5619</v>
      </c>
      <c r="C1624" s="205" t="s">
        <v>5620</v>
      </c>
      <c r="D1624" s="227" t="s">
        <v>5621</v>
      </c>
      <c r="E1624" s="193" t="s">
        <v>120</v>
      </c>
      <c r="F1624" s="216"/>
    </row>
    <row r="1625" customHeight="1" spans="1:6">
      <c r="A1625" s="9" t="s">
        <v>5622</v>
      </c>
      <c r="B1625" s="160" t="s">
        <v>5623</v>
      </c>
      <c r="C1625" s="160" t="s">
        <v>5624</v>
      </c>
      <c r="D1625" s="204"/>
      <c r="E1625" s="204" t="s">
        <v>92</v>
      </c>
      <c r="F1625" s="204"/>
    </row>
    <row r="1626" customHeight="1" spans="1:6">
      <c r="A1626" s="9" t="s">
        <v>5625</v>
      </c>
      <c r="B1626" s="214" t="s">
        <v>5626</v>
      </c>
      <c r="C1626" s="214" t="s">
        <v>5627</v>
      </c>
      <c r="D1626" s="194"/>
      <c r="E1626" s="204" t="s">
        <v>92</v>
      </c>
      <c r="F1626" s="204"/>
    </row>
    <row r="1627" customHeight="1" spans="1:6">
      <c r="A1627" s="9" t="s">
        <v>5628</v>
      </c>
      <c r="B1627" s="205" t="s">
        <v>5629</v>
      </c>
      <c r="C1627" s="205" t="s">
        <v>5630</v>
      </c>
      <c r="D1627" s="206" t="s">
        <v>5631</v>
      </c>
      <c r="E1627" s="193" t="s">
        <v>120</v>
      </c>
      <c r="F1627" s="221" t="s">
        <v>5632</v>
      </c>
    </row>
    <row r="1628" customHeight="1" spans="1:6">
      <c r="A1628" s="9" t="s">
        <v>5633</v>
      </c>
      <c r="B1628" s="258" t="s">
        <v>5634</v>
      </c>
      <c r="C1628" s="258" t="s">
        <v>5635</v>
      </c>
      <c r="D1628" s="240" t="s">
        <v>5636</v>
      </c>
      <c r="E1628" s="240" t="s">
        <v>92</v>
      </c>
      <c r="F1628" s="240"/>
    </row>
    <row r="1629" customHeight="1" spans="1:6">
      <c r="A1629" s="9" t="s">
        <v>5637</v>
      </c>
      <c r="B1629" s="197" t="s">
        <v>5638</v>
      </c>
      <c r="C1629" s="202" t="s">
        <v>5639</v>
      </c>
      <c r="D1629" s="158">
        <v>905242117</v>
      </c>
      <c r="E1629" s="158" t="s">
        <v>1218</v>
      </c>
      <c r="F1629" s="153"/>
    </row>
    <row r="1630" customHeight="1" spans="1:6">
      <c r="A1630" s="9" t="s">
        <v>5640</v>
      </c>
      <c r="B1630" s="200" t="s">
        <v>5641</v>
      </c>
      <c r="C1630" s="192" t="s">
        <v>5642</v>
      </c>
      <c r="D1630" s="194"/>
      <c r="E1630" s="193" t="s">
        <v>202</v>
      </c>
      <c r="F1630" s="191"/>
    </row>
    <row r="1631" customHeight="1" spans="1:6">
      <c r="A1631" s="9" t="s">
        <v>5643</v>
      </c>
      <c r="B1631" s="201" t="s">
        <v>5644</v>
      </c>
      <c r="C1631" s="202" t="s">
        <v>5645</v>
      </c>
      <c r="D1631" s="154"/>
      <c r="E1631" s="154" t="s">
        <v>202</v>
      </c>
      <c r="F1631" s="180"/>
    </row>
    <row r="1632" customHeight="1" spans="1:6">
      <c r="A1632" s="9" t="s">
        <v>5646</v>
      </c>
      <c r="B1632" s="201" t="s">
        <v>5647</v>
      </c>
      <c r="C1632" s="202" t="s">
        <v>5648</v>
      </c>
      <c r="D1632" s="154"/>
      <c r="E1632" s="154" t="s">
        <v>58</v>
      </c>
      <c r="F1632" s="180"/>
    </row>
    <row r="1633" customHeight="1" spans="1:6">
      <c r="A1633" s="9" t="s">
        <v>5649</v>
      </c>
      <c r="B1633" s="201" t="s">
        <v>5650</v>
      </c>
      <c r="C1633" s="202" t="s">
        <v>5651</v>
      </c>
      <c r="D1633" s="158">
        <v>918580201</v>
      </c>
      <c r="E1633" s="158" t="s">
        <v>104</v>
      </c>
      <c r="F1633" s="153"/>
    </row>
    <row r="1634" customHeight="1" spans="1:6">
      <c r="A1634" s="9" t="s">
        <v>5652</v>
      </c>
      <c r="B1634" s="160" t="s">
        <v>5653</v>
      </c>
      <c r="C1634" s="160" t="s">
        <v>5654</v>
      </c>
      <c r="D1634" s="204" t="s">
        <v>5655</v>
      </c>
      <c r="E1634" s="204" t="s">
        <v>92</v>
      </c>
      <c r="F1634" s="204"/>
    </row>
    <row r="1635" customHeight="1" spans="1:6">
      <c r="A1635" s="9" t="s">
        <v>5656</v>
      </c>
      <c r="B1635" s="195" t="s">
        <v>5657</v>
      </c>
      <c r="C1635" s="202" t="s">
        <v>5658</v>
      </c>
      <c r="D1635" s="154"/>
      <c r="E1635" s="154" t="s">
        <v>104</v>
      </c>
      <c r="F1635" s="180"/>
    </row>
    <row r="1636" customHeight="1" spans="1:6">
      <c r="A1636" s="9" t="s">
        <v>5659</v>
      </c>
      <c r="B1636" s="214" t="s">
        <v>5660</v>
      </c>
      <c r="C1636" s="214" t="s">
        <v>5661</v>
      </c>
      <c r="D1636" s="194"/>
      <c r="E1636" s="204" t="s">
        <v>92</v>
      </c>
      <c r="F1636" s="204"/>
    </row>
    <row r="1637" customHeight="1" spans="1:6">
      <c r="A1637" s="9" t="s">
        <v>5662</v>
      </c>
      <c r="B1637" s="201" t="s">
        <v>5663</v>
      </c>
      <c r="C1637" s="202" t="s">
        <v>5664</v>
      </c>
      <c r="D1637" s="154" t="s">
        <v>5665</v>
      </c>
      <c r="E1637" s="154" t="s">
        <v>243</v>
      </c>
      <c r="F1637" s="180"/>
    </row>
    <row r="1638" customHeight="1" spans="1:6">
      <c r="A1638" s="9" t="s">
        <v>5666</v>
      </c>
      <c r="B1638" s="200" t="s">
        <v>5667</v>
      </c>
      <c r="C1638" s="236" t="s">
        <v>5668</v>
      </c>
      <c r="D1638" s="200" t="s">
        <v>5669</v>
      </c>
      <c r="E1638" s="193" t="s">
        <v>436</v>
      </c>
      <c r="F1638" s="191"/>
    </row>
    <row r="1639" customHeight="1" spans="1:6">
      <c r="A1639" s="9" t="s">
        <v>5670</v>
      </c>
      <c r="B1639" s="195" t="s">
        <v>5671</v>
      </c>
      <c r="C1639" s="213" t="s">
        <v>5672</v>
      </c>
      <c r="D1639" s="197"/>
      <c r="E1639" s="197" t="s">
        <v>1852</v>
      </c>
      <c r="F1639" s="197"/>
    </row>
    <row r="1640" customHeight="1" spans="1:6">
      <c r="A1640" s="9" t="s">
        <v>5673</v>
      </c>
      <c r="B1640" s="201" t="s">
        <v>5674</v>
      </c>
      <c r="C1640" s="202" t="s">
        <v>5675</v>
      </c>
      <c r="D1640" s="154" t="s">
        <v>5676</v>
      </c>
      <c r="E1640" s="154" t="s">
        <v>58</v>
      </c>
      <c r="F1640" s="180"/>
    </row>
    <row r="1641" customHeight="1" spans="1:6">
      <c r="A1641" s="9" t="s">
        <v>5677</v>
      </c>
      <c r="B1641" s="201" t="s">
        <v>5678</v>
      </c>
      <c r="C1641" s="202" t="s">
        <v>5679</v>
      </c>
      <c r="D1641" s="154">
        <v>944315099</v>
      </c>
      <c r="E1641" s="154" t="s">
        <v>211</v>
      </c>
      <c r="F1641" s="180"/>
    </row>
    <row r="1642" customHeight="1" spans="1:6">
      <c r="A1642" s="9" t="s">
        <v>5680</v>
      </c>
      <c r="B1642" s="195" t="s">
        <v>5681</v>
      </c>
      <c r="C1642" s="202" t="s">
        <v>5682</v>
      </c>
      <c r="D1642" s="158" t="s">
        <v>5683</v>
      </c>
      <c r="E1642" s="154" t="s">
        <v>202</v>
      </c>
      <c r="F1642" s="180"/>
    </row>
    <row r="1643" customHeight="1" spans="1:6">
      <c r="A1643" s="9" t="s">
        <v>5684</v>
      </c>
      <c r="B1643" s="200" t="s">
        <v>5685</v>
      </c>
      <c r="C1643" s="236" t="s">
        <v>5686</v>
      </c>
      <c r="D1643" s="194" t="s">
        <v>5687</v>
      </c>
      <c r="E1643" s="154" t="s">
        <v>104</v>
      </c>
      <c r="F1643" s="191"/>
    </row>
    <row r="1644" customHeight="1" spans="1:6">
      <c r="A1644" s="9" t="s">
        <v>5688</v>
      </c>
      <c r="B1644" s="200" t="s">
        <v>5689</v>
      </c>
      <c r="C1644" s="192" t="s">
        <v>5690</v>
      </c>
      <c r="D1644" s="194"/>
      <c r="E1644" s="194" t="s">
        <v>186</v>
      </c>
      <c r="F1644" s="194"/>
    </row>
    <row r="1645" customHeight="1" spans="1:6">
      <c r="A1645" s="9" t="s">
        <v>5691</v>
      </c>
      <c r="B1645" s="200" t="s">
        <v>5692</v>
      </c>
      <c r="C1645" s="192" t="s">
        <v>5693</v>
      </c>
      <c r="D1645" s="194" t="s">
        <v>5694</v>
      </c>
      <c r="E1645" s="193" t="s">
        <v>216</v>
      </c>
      <c r="F1645" s="191"/>
    </row>
    <row r="1646" customHeight="1" spans="1:6">
      <c r="A1646" s="9" t="s">
        <v>5695</v>
      </c>
      <c r="B1646" s="197" t="s">
        <v>5696</v>
      </c>
      <c r="C1646" s="203" t="s">
        <v>5697</v>
      </c>
      <c r="D1646" s="197"/>
      <c r="E1646" s="197" t="s">
        <v>253</v>
      </c>
      <c r="F1646" s="197"/>
    </row>
    <row r="1647" customHeight="1" spans="1:6">
      <c r="A1647" s="9" t="s">
        <v>5698</v>
      </c>
      <c r="B1647" s="200" t="s">
        <v>5699</v>
      </c>
      <c r="C1647" s="202" t="s">
        <v>5700</v>
      </c>
      <c r="D1647" s="152" t="s">
        <v>5701</v>
      </c>
      <c r="E1647" s="154" t="s">
        <v>232</v>
      </c>
      <c r="F1647" s="180"/>
    </row>
    <row r="1648" customHeight="1" spans="1:6">
      <c r="A1648" s="9" t="s">
        <v>5702</v>
      </c>
      <c r="B1648" s="160" t="s">
        <v>5703</v>
      </c>
      <c r="C1648" s="160" t="s">
        <v>5704</v>
      </c>
      <c r="D1648" s="204" t="s">
        <v>5705</v>
      </c>
      <c r="E1648" s="204" t="s">
        <v>92</v>
      </c>
      <c r="F1648" s="204"/>
    </row>
    <row r="1649" customHeight="1" spans="1:6">
      <c r="A1649" s="9" t="s">
        <v>5706</v>
      </c>
      <c r="B1649" s="161" t="s">
        <v>5707</v>
      </c>
      <c r="C1649" s="161" t="s">
        <v>5708</v>
      </c>
      <c r="D1649" s="194"/>
      <c r="E1649" s="204" t="s">
        <v>92</v>
      </c>
      <c r="F1649" s="204"/>
    </row>
    <row r="1650" customHeight="1" spans="1:6">
      <c r="A1650" s="9" t="s">
        <v>5709</v>
      </c>
      <c r="B1650" s="200" t="s">
        <v>5710</v>
      </c>
      <c r="C1650" s="202" t="s">
        <v>5711</v>
      </c>
      <c r="D1650" s="154">
        <v>913753151</v>
      </c>
      <c r="E1650" s="154" t="s">
        <v>1281</v>
      </c>
      <c r="F1650" s="180"/>
    </row>
    <row r="1651" customHeight="1" spans="1:6">
      <c r="A1651" s="9" t="s">
        <v>5712</v>
      </c>
      <c r="B1651" s="205" t="s">
        <v>5713</v>
      </c>
      <c r="C1651" s="205" t="s">
        <v>5714</v>
      </c>
      <c r="D1651" s="206" t="s">
        <v>5715</v>
      </c>
      <c r="E1651" s="193" t="s">
        <v>120</v>
      </c>
      <c r="F1651" s="207" t="s">
        <v>5716</v>
      </c>
    </row>
    <row r="1652" customHeight="1" spans="1:6">
      <c r="A1652" s="9" t="s">
        <v>5717</v>
      </c>
      <c r="B1652" s="233" t="s">
        <v>5718</v>
      </c>
      <c r="C1652" s="233" t="s">
        <v>5719</v>
      </c>
      <c r="D1652" s="204" t="s">
        <v>5720</v>
      </c>
      <c r="E1652" s="204" t="s">
        <v>605</v>
      </c>
      <c r="F1652" s="204" t="s">
        <v>5721</v>
      </c>
    </row>
    <row r="1653" customHeight="1" spans="1:6">
      <c r="A1653" s="9" t="s">
        <v>5722</v>
      </c>
      <c r="B1653" s="160" t="s">
        <v>5723</v>
      </c>
      <c r="C1653" s="160" t="s">
        <v>5724</v>
      </c>
      <c r="D1653" s="204" t="s">
        <v>5725</v>
      </c>
      <c r="E1653" s="204" t="s">
        <v>92</v>
      </c>
      <c r="F1653" s="204"/>
    </row>
    <row r="1654" customHeight="1" spans="1:6">
      <c r="A1654" s="9" t="s">
        <v>5726</v>
      </c>
      <c r="B1654" s="197" t="s">
        <v>5727</v>
      </c>
      <c r="C1654" s="196" t="s">
        <v>5728</v>
      </c>
      <c r="D1654" s="197"/>
      <c r="E1654" s="197" t="s">
        <v>202</v>
      </c>
      <c r="F1654" s="197"/>
    </row>
    <row r="1655" customHeight="1" spans="1:6">
      <c r="A1655" s="9" t="s">
        <v>5729</v>
      </c>
      <c r="B1655" s="160" t="s">
        <v>5730</v>
      </c>
      <c r="C1655" s="160" t="s">
        <v>5731</v>
      </c>
      <c r="D1655" s="204" t="s">
        <v>5732</v>
      </c>
      <c r="E1655" s="204" t="s">
        <v>92</v>
      </c>
      <c r="F1655" s="204"/>
    </row>
    <row r="1656" customHeight="1" spans="1:6">
      <c r="A1656" s="9" t="s">
        <v>5733</v>
      </c>
      <c r="B1656" s="276" t="str">
        <f>IFERROR(__xludf.DUMMYFUNCTION("""COMPUTED_VALUE"""),"Alemitu Abegaz Sego")</f>
        <v>Alemitu Abegaz Sego</v>
      </c>
      <c r="C1656" s="276" t="str">
        <f>IFERROR(__xludf.DUMMYFUNCTION("""COMPUTED_VALUE"""),"አለሚቱ አበጋዝ ሰጎ")</f>
        <v>አለሚቱ አበጋዝ ሰጎ</v>
      </c>
      <c r="D1656" s="276"/>
      <c r="E1656" s="276"/>
      <c r="F1656" s="276"/>
    </row>
    <row r="1657" customHeight="1" spans="1:6">
      <c r="A1657" s="9" t="s">
        <v>5734</v>
      </c>
      <c r="B1657" s="214" t="s">
        <v>5735</v>
      </c>
      <c r="C1657" s="214" t="s">
        <v>5736</v>
      </c>
      <c r="D1657" s="194"/>
      <c r="E1657" s="204" t="s">
        <v>92</v>
      </c>
      <c r="F1657" s="204"/>
    </row>
    <row r="1658" customHeight="1" spans="1:6">
      <c r="A1658" s="9" t="s">
        <v>5737</v>
      </c>
      <c r="B1658" s="201" t="s">
        <v>5738</v>
      </c>
      <c r="C1658" s="202" t="s">
        <v>5739</v>
      </c>
      <c r="D1658" s="154" t="s">
        <v>5740</v>
      </c>
      <c r="E1658" s="154" t="s">
        <v>243</v>
      </c>
      <c r="F1658" s="180"/>
    </row>
    <row r="1659" customHeight="1" spans="1:6">
      <c r="A1659" s="9" t="s">
        <v>5741</v>
      </c>
      <c r="B1659" s="195" t="s">
        <v>5742</v>
      </c>
      <c r="C1659" s="202" t="s">
        <v>5743</v>
      </c>
      <c r="D1659" s="154"/>
      <c r="E1659" s="154" t="s">
        <v>181</v>
      </c>
      <c r="F1659" s="180"/>
    </row>
    <row r="1660" customHeight="1" spans="1:6">
      <c r="A1660" s="9" t="s">
        <v>5744</v>
      </c>
      <c r="B1660" s="201" t="s">
        <v>5745</v>
      </c>
      <c r="C1660" s="202" t="s">
        <v>5746</v>
      </c>
      <c r="D1660" s="154">
        <v>964550318</v>
      </c>
      <c r="E1660" s="154" t="s">
        <v>186</v>
      </c>
      <c r="F1660" s="180"/>
    </row>
    <row r="1661" customHeight="1" spans="1:6">
      <c r="A1661" s="9" t="s">
        <v>5747</v>
      </c>
      <c r="B1661" s="160" t="s">
        <v>5748</v>
      </c>
      <c r="C1661" s="160" t="s">
        <v>5749</v>
      </c>
      <c r="D1661" s="204" t="s">
        <v>5750</v>
      </c>
      <c r="E1661" s="204" t="s">
        <v>92</v>
      </c>
      <c r="F1661" s="204"/>
    </row>
    <row r="1662" customHeight="1" spans="1:6">
      <c r="A1662" s="9" t="s">
        <v>5751</v>
      </c>
      <c r="B1662" s="153" t="s">
        <v>5752</v>
      </c>
      <c r="C1662" s="202" t="s">
        <v>5753</v>
      </c>
      <c r="D1662" s="154">
        <v>903677882</v>
      </c>
      <c r="E1662" s="154" t="s">
        <v>310</v>
      </c>
      <c r="F1662" s="153"/>
    </row>
    <row r="1663" customHeight="1" spans="1:6">
      <c r="A1663" s="9" t="s">
        <v>5754</v>
      </c>
      <c r="B1663" s="201" t="s">
        <v>5755</v>
      </c>
      <c r="C1663" s="202" t="s">
        <v>5756</v>
      </c>
      <c r="D1663" s="154"/>
      <c r="E1663" s="154" t="s">
        <v>243</v>
      </c>
      <c r="F1663" s="180"/>
    </row>
    <row r="1664" customHeight="1" spans="1:6">
      <c r="A1664" s="9" t="s">
        <v>5757</v>
      </c>
      <c r="B1664" s="153" t="s">
        <v>5758</v>
      </c>
      <c r="C1664" s="202" t="s">
        <v>5759</v>
      </c>
      <c r="D1664" s="154" t="s">
        <v>5760</v>
      </c>
      <c r="E1664" s="154" t="s">
        <v>243</v>
      </c>
      <c r="F1664" s="180"/>
    </row>
    <row r="1665" customHeight="1" spans="1:6">
      <c r="A1665" s="9" t="s">
        <v>5761</v>
      </c>
      <c r="B1665" s="201" t="s">
        <v>5762</v>
      </c>
      <c r="C1665" s="202" t="s">
        <v>5763</v>
      </c>
      <c r="D1665" s="154" t="s">
        <v>5764</v>
      </c>
      <c r="E1665" s="154"/>
      <c r="F1665" s="180"/>
    </row>
    <row r="1666" customHeight="1" spans="1:6">
      <c r="A1666" s="9" t="s">
        <v>5765</v>
      </c>
      <c r="B1666" s="200" t="s">
        <v>5766</v>
      </c>
      <c r="C1666" s="202" t="s">
        <v>5767</v>
      </c>
      <c r="D1666" s="152" t="s">
        <v>5768</v>
      </c>
      <c r="E1666" s="154"/>
      <c r="F1666" s="180"/>
    </row>
    <row r="1667" customHeight="1" spans="1:6">
      <c r="A1667" s="9" t="s">
        <v>5769</v>
      </c>
      <c r="B1667" s="214" t="s">
        <v>5770</v>
      </c>
      <c r="C1667" s="214" t="s">
        <v>5771</v>
      </c>
      <c r="D1667" s="194"/>
      <c r="E1667" s="204" t="s">
        <v>92</v>
      </c>
      <c r="F1667" s="204"/>
    </row>
    <row r="1668" customHeight="1" spans="1:6">
      <c r="A1668" s="9" t="s">
        <v>5772</v>
      </c>
      <c r="B1668" s="195" t="s">
        <v>5773</v>
      </c>
      <c r="C1668" s="196" t="s">
        <v>5774</v>
      </c>
      <c r="D1668" s="197"/>
      <c r="E1668" s="198" t="s">
        <v>202</v>
      </c>
      <c r="F1668" s="199"/>
    </row>
    <row r="1669" customHeight="1" spans="1:6">
      <c r="A1669" s="9" t="s">
        <v>5775</v>
      </c>
      <c r="B1669" s="200" t="s">
        <v>5776</v>
      </c>
      <c r="C1669" s="202" t="s">
        <v>5777</v>
      </c>
      <c r="D1669" s="152"/>
      <c r="E1669" s="154" t="s">
        <v>232</v>
      </c>
      <c r="F1669" s="180"/>
    </row>
    <row r="1670" customHeight="1" spans="1:6">
      <c r="A1670" s="9" t="s">
        <v>5778</v>
      </c>
      <c r="B1670" s="194" t="s">
        <v>5779</v>
      </c>
      <c r="C1670" s="203" t="s">
        <v>5780</v>
      </c>
      <c r="D1670" s="197"/>
      <c r="E1670" s="197" t="s">
        <v>253</v>
      </c>
      <c r="F1670" s="197"/>
    </row>
    <row r="1671" customHeight="1" spans="1:6">
      <c r="A1671" s="9" t="s">
        <v>5781</v>
      </c>
      <c r="B1671" s="195" t="s">
        <v>5782</v>
      </c>
      <c r="C1671" s="202" t="s">
        <v>5783</v>
      </c>
      <c r="D1671" s="158"/>
      <c r="E1671" s="154" t="s">
        <v>310</v>
      </c>
      <c r="F1671" s="180"/>
    </row>
    <row r="1672" customHeight="1" spans="1:6">
      <c r="A1672" s="9" t="s">
        <v>5784</v>
      </c>
      <c r="B1672" s="195" t="s">
        <v>5785</v>
      </c>
      <c r="C1672" s="196" t="s">
        <v>5786</v>
      </c>
      <c r="D1672" s="197"/>
      <c r="E1672" s="197" t="s">
        <v>202</v>
      </c>
      <c r="F1672" s="197"/>
    </row>
    <row r="1673" customHeight="1" spans="1:6">
      <c r="A1673" s="9" t="s">
        <v>5787</v>
      </c>
      <c r="B1673" s="195" t="s">
        <v>5788</v>
      </c>
      <c r="C1673" s="209" t="s">
        <v>5789</v>
      </c>
      <c r="D1673" s="197"/>
      <c r="E1673" s="198" t="s">
        <v>202</v>
      </c>
      <c r="F1673" s="199"/>
    </row>
    <row r="1674" customHeight="1" spans="1:6">
      <c r="A1674" s="9" t="s">
        <v>5790</v>
      </c>
      <c r="B1674" s="287" t="s">
        <v>5791</v>
      </c>
      <c r="C1674" s="192" t="s">
        <v>5792</v>
      </c>
      <c r="D1674" s="194"/>
      <c r="E1674" s="193" t="s">
        <v>216</v>
      </c>
      <c r="F1674" s="191"/>
    </row>
    <row r="1675" customHeight="1" spans="1:6">
      <c r="A1675" s="9" t="s">
        <v>5793</v>
      </c>
      <c r="B1675" s="200" t="s">
        <v>5794</v>
      </c>
      <c r="C1675" s="192" t="s">
        <v>5795</v>
      </c>
      <c r="D1675" s="194"/>
      <c r="E1675" s="193" t="s">
        <v>202</v>
      </c>
      <c r="F1675" s="191"/>
    </row>
    <row r="1676" customHeight="1" spans="1:6">
      <c r="A1676" s="9" t="s">
        <v>5796</v>
      </c>
      <c r="B1676" s="194" t="s">
        <v>5797</v>
      </c>
      <c r="C1676" s="202" t="s">
        <v>5798</v>
      </c>
      <c r="D1676" s="248"/>
      <c r="E1676" s="154" t="s">
        <v>104</v>
      </c>
      <c r="F1676" s="180"/>
    </row>
    <row r="1677" customHeight="1" spans="1:6">
      <c r="A1677" s="9" t="s">
        <v>5799</v>
      </c>
      <c r="B1677" s="153" t="s">
        <v>5800</v>
      </c>
      <c r="C1677" s="202" t="s">
        <v>5801</v>
      </c>
      <c r="D1677" s="154"/>
      <c r="E1677" s="154" t="s">
        <v>104</v>
      </c>
      <c r="F1677" s="180"/>
    </row>
    <row r="1678" customHeight="1" spans="1:6">
      <c r="A1678" s="9" t="s">
        <v>5802</v>
      </c>
      <c r="B1678" s="201" t="s">
        <v>5803</v>
      </c>
      <c r="C1678" s="202" t="s">
        <v>5804</v>
      </c>
      <c r="D1678" s="154" t="s">
        <v>5805</v>
      </c>
      <c r="E1678" s="154" t="s">
        <v>58</v>
      </c>
      <c r="F1678" s="180"/>
    </row>
    <row r="1679" customHeight="1" spans="1:6">
      <c r="A1679" s="9" t="s">
        <v>5806</v>
      </c>
      <c r="B1679" s="194" t="s">
        <v>5807</v>
      </c>
      <c r="C1679" s="264" t="s">
        <v>5808</v>
      </c>
      <c r="D1679" s="194"/>
      <c r="E1679" s="158" t="s">
        <v>216</v>
      </c>
      <c r="F1679" s="158"/>
    </row>
    <row r="1680" customHeight="1" spans="1:6">
      <c r="A1680" s="9" t="s">
        <v>5809</v>
      </c>
      <c r="B1680" s="160" t="s">
        <v>5810</v>
      </c>
      <c r="C1680" s="160" t="s">
        <v>5811</v>
      </c>
      <c r="D1680" s="204" t="s">
        <v>5812</v>
      </c>
      <c r="E1680" s="204" t="s">
        <v>92</v>
      </c>
      <c r="F1680" s="204"/>
    </row>
    <row r="1681" customHeight="1" spans="1:6">
      <c r="A1681" s="9" t="s">
        <v>5813</v>
      </c>
      <c r="B1681" s="160" t="s">
        <v>5814</v>
      </c>
      <c r="C1681" s="160" t="s">
        <v>5815</v>
      </c>
      <c r="D1681" s="204" t="s">
        <v>5816</v>
      </c>
      <c r="E1681" s="204" t="s">
        <v>92</v>
      </c>
      <c r="F1681" s="204"/>
    </row>
    <row r="1682" customHeight="1" spans="1:6">
      <c r="A1682" s="9" t="s">
        <v>5817</v>
      </c>
      <c r="B1682" s="214" t="s">
        <v>5818</v>
      </c>
      <c r="C1682" s="214" t="s">
        <v>5819</v>
      </c>
      <c r="D1682" s="194"/>
      <c r="E1682" s="204" t="s">
        <v>92</v>
      </c>
      <c r="F1682" s="204"/>
    </row>
    <row r="1683" customHeight="1" spans="1:6">
      <c r="A1683" s="9" t="s">
        <v>5820</v>
      </c>
      <c r="B1683" s="233" t="s">
        <v>5821</v>
      </c>
      <c r="C1683" s="233" t="s">
        <v>5822</v>
      </c>
      <c r="D1683" s="204" t="s">
        <v>5823</v>
      </c>
      <c r="E1683" s="204" t="s">
        <v>4922</v>
      </c>
      <c r="F1683" s="204" t="s">
        <v>5824</v>
      </c>
    </row>
    <row r="1684" customHeight="1" spans="1:6">
      <c r="A1684" s="9" t="s">
        <v>5825</v>
      </c>
      <c r="B1684" s="280" t="s">
        <v>5826</v>
      </c>
      <c r="C1684" s="202" t="s">
        <v>5827</v>
      </c>
      <c r="D1684" s="153">
        <v>993035833</v>
      </c>
      <c r="E1684" s="180" t="s">
        <v>104</v>
      </c>
      <c r="F1684" s="180"/>
    </row>
    <row r="1685" customHeight="1" spans="1:6">
      <c r="A1685" s="9" t="s">
        <v>5828</v>
      </c>
      <c r="B1685" s="214" t="s">
        <v>5829</v>
      </c>
      <c r="C1685" s="214" t="s">
        <v>5830</v>
      </c>
      <c r="D1685" s="194"/>
      <c r="E1685" s="204" t="s">
        <v>92</v>
      </c>
      <c r="F1685" s="204"/>
    </row>
    <row r="1686" customHeight="1" spans="1:6">
      <c r="A1686" s="9" t="s">
        <v>5831</v>
      </c>
      <c r="B1686" s="219" t="s">
        <v>5832</v>
      </c>
      <c r="C1686" s="219" t="s">
        <v>5833</v>
      </c>
      <c r="D1686" s="194"/>
      <c r="E1686" s="204" t="s">
        <v>92</v>
      </c>
      <c r="F1686" s="204"/>
    </row>
    <row r="1687" customHeight="1" spans="1:6">
      <c r="A1687" s="9" t="s">
        <v>5834</v>
      </c>
      <c r="B1687" s="160" t="s">
        <v>5835</v>
      </c>
      <c r="C1687" s="160" t="s">
        <v>5836</v>
      </c>
      <c r="D1687" s="204" t="s">
        <v>5837</v>
      </c>
      <c r="E1687" s="204" t="s">
        <v>92</v>
      </c>
      <c r="F1687" s="204"/>
    </row>
    <row r="1688" customHeight="1" spans="1:6">
      <c r="A1688" s="9" t="s">
        <v>5838</v>
      </c>
      <c r="B1688" s="222" t="str">
        <f>IFERROR(__xludf.DUMMYFUNCTION("""COMPUTED_VALUE"""),"Alemnew Berhanu Wondim")</f>
        <v>Alemnew Berhanu Wondim</v>
      </c>
      <c r="C1688" s="222" t="str">
        <f>IFERROR(__xludf.DUMMYFUNCTION("""COMPUTED_VALUE"""),"አለምነው ብርሃኑ ወንድም")</f>
        <v>አለምነው ብርሃኑ ወንድም</v>
      </c>
      <c r="D1688" s="222" t="str">
        <f>IFERROR(__xludf.DUMMYFUNCTION("""COMPUTED_VALUE"""),"984102455")</f>
        <v>984102455</v>
      </c>
      <c r="E1688" s="222" t="str">
        <f>IFERROR(__xludf.DUMMYFUNCTION("""COMPUTED_VALUE"""),"Addis Ababa")</f>
        <v>Addis Ababa</v>
      </c>
      <c r="F1688" s="222" t="str">
        <f>IFERROR(__xludf.DUMMYFUNCTION("""COMPUTED_VALUE"""),"abwenim@yahoo.com")</f>
        <v>abwenim@yahoo.com</v>
      </c>
    </row>
    <row r="1689" customHeight="1" spans="1:6">
      <c r="A1689" s="9" t="s">
        <v>5839</v>
      </c>
      <c r="B1689" s="214" t="s">
        <v>5840</v>
      </c>
      <c r="C1689" s="214" t="s">
        <v>5841</v>
      </c>
      <c r="D1689" s="194"/>
      <c r="E1689" s="204" t="s">
        <v>92</v>
      </c>
      <c r="F1689" s="204"/>
    </row>
    <row r="1690" customHeight="1" spans="1:6">
      <c r="A1690" s="9" t="s">
        <v>5842</v>
      </c>
      <c r="B1690" s="214" t="s">
        <v>5843</v>
      </c>
      <c r="C1690" s="214" t="s">
        <v>5844</v>
      </c>
      <c r="D1690" s="194"/>
      <c r="E1690" s="204" t="s">
        <v>92</v>
      </c>
      <c r="F1690" s="204"/>
    </row>
    <row r="1691" customHeight="1" spans="1:6">
      <c r="A1691" s="9" t="s">
        <v>5845</v>
      </c>
      <c r="B1691" s="214" t="s">
        <v>5846</v>
      </c>
      <c r="C1691" s="214" t="s">
        <v>5847</v>
      </c>
      <c r="D1691" s="194"/>
      <c r="E1691" s="204" t="s">
        <v>92</v>
      </c>
      <c r="F1691" s="204"/>
    </row>
    <row r="1692" customHeight="1" spans="1:6">
      <c r="A1692" s="9" t="s">
        <v>5848</v>
      </c>
      <c r="B1692" s="258" t="s">
        <v>5849</v>
      </c>
      <c r="C1692" s="258" t="s">
        <v>5850</v>
      </c>
      <c r="D1692" s="240" t="s">
        <v>5851</v>
      </c>
      <c r="E1692" s="240" t="s">
        <v>92</v>
      </c>
      <c r="F1692" s="240"/>
    </row>
    <row r="1693" customHeight="1" spans="1:6">
      <c r="A1693" s="9" t="s">
        <v>5852</v>
      </c>
      <c r="B1693" s="223" t="s">
        <v>5853</v>
      </c>
      <c r="C1693" s="223" t="s">
        <v>5854</v>
      </c>
      <c r="D1693" s="204" t="s">
        <v>5855</v>
      </c>
      <c r="E1693" s="204" t="s">
        <v>92</v>
      </c>
      <c r="F1693" s="204"/>
    </row>
    <row r="1694" customHeight="1" spans="1:6">
      <c r="A1694" s="9" t="s">
        <v>5856</v>
      </c>
      <c r="B1694" s="215" t="s">
        <v>5857</v>
      </c>
      <c r="C1694" s="205" t="s">
        <v>5858</v>
      </c>
      <c r="D1694" s="227" t="s">
        <v>5859</v>
      </c>
      <c r="E1694" s="193" t="s">
        <v>120</v>
      </c>
      <c r="F1694" s="216"/>
    </row>
    <row r="1695" customHeight="1" spans="1:6">
      <c r="A1695" s="9" t="s">
        <v>5860</v>
      </c>
      <c r="B1695" s="215" t="s">
        <v>5861</v>
      </c>
      <c r="C1695" s="205" t="s">
        <v>5862</v>
      </c>
      <c r="D1695" s="255" t="s">
        <v>5863</v>
      </c>
      <c r="E1695" s="26" t="s">
        <v>92</v>
      </c>
      <c r="F1695" s="26" t="s">
        <v>5864</v>
      </c>
    </row>
    <row r="1696" customHeight="1" spans="1:6">
      <c r="A1696" s="9" t="s">
        <v>5865</v>
      </c>
      <c r="B1696" s="215" t="s">
        <v>5866</v>
      </c>
      <c r="C1696" s="205" t="s">
        <v>5867</v>
      </c>
      <c r="D1696" s="255" t="s">
        <v>5868</v>
      </c>
      <c r="E1696" s="26" t="s">
        <v>92</v>
      </c>
      <c r="F1696" s="219" t="s">
        <v>5869</v>
      </c>
    </row>
    <row r="1697" customHeight="1" spans="1:6">
      <c r="A1697" s="9" t="s">
        <v>5870</v>
      </c>
      <c r="B1697" s="215" t="s">
        <v>5871</v>
      </c>
      <c r="C1697" s="205" t="s">
        <v>5872</v>
      </c>
      <c r="D1697" s="244" t="s">
        <v>5873</v>
      </c>
      <c r="E1697" s="26" t="s">
        <v>92</v>
      </c>
      <c r="F1697" s="26" t="s">
        <v>5874</v>
      </c>
    </row>
    <row r="1698" customHeight="1" spans="1:6">
      <c r="A1698" s="9" t="s">
        <v>5875</v>
      </c>
      <c r="B1698" s="214" t="s">
        <v>5876</v>
      </c>
      <c r="C1698" s="214" t="s">
        <v>5877</v>
      </c>
      <c r="D1698" s="194"/>
      <c r="E1698" s="204" t="s">
        <v>92</v>
      </c>
      <c r="F1698" s="204"/>
    </row>
    <row r="1699" customHeight="1" spans="1:6">
      <c r="A1699" s="9" t="s">
        <v>5878</v>
      </c>
      <c r="B1699" s="166" t="str">
        <f>IFERROR(__xludf.DUMMYFUNCTION("""COMPUTED_VALUE"""),"Alemseged Yeworktite Mera")</f>
        <v>Alemseged Yeworktite Mera</v>
      </c>
      <c r="C1699" s="166" t="str">
        <f>IFERROR(__xludf.DUMMYFUNCTION("""COMPUTED_VALUE"""),"አለምሰገድ የወርቅቲት መራ")</f>
        <v>አለምሰገድ የወርቅቲት መራ</v>
      </c>
      <c r="D1699" s="166" t="str">
        <f>IFERROR(__xludf.DUMMYFUNCTION("""COMPUTED_VALUE"""),"911714420")</f>
        <v>911714420</v>
      </c>
      <c r="E1699" s="166" t="str">
        <f>IFERROR(__xludf.DUMMYFUNCTION("""COMPUTED_VALUE"""),"Miriland")</f>
        <v>Miriland</v>
      </c>
      <c r="F1699" s="166" t="str">
        <f>IFERROR(__xludf.DUMMYFUNCTION("""COMPUTED_VALUE"""),"meraalem@gmail.com")</f>
        <v>meraalem@gmail.com</v>
      </c>
    </row>
    <row r="1700" customHeight="1" spans="1:6">
      <c r="A1700" s="9" t="s">
        <v>5879</v>
      </c>
      <c r="B1700" s="153" t="s">
        <v>5880</v>
      </c>
      <c r="C1700" s="202" t="s">
        <v>5881</v>
      </c>
      <c r="D1700" s="154" t="s">
        <v>5882</v>
      </c>
      <c r="E1700" s="154" t="s">
        <v>253</v>
      </c>
      <c r="F1700" s="180"/>
    </row>
    <row r="1701" customHeight="1" spans="1:6">
      <c r="A1701" s="9" t="s">
        <v>5883</v>
      </c>
      <c r="B1701" s="205" t="s">
        <v>5884</v>
      </c>
      <c r="C1701" s="205" t="s">
        <v>5885</v>
      </c>
      <c r="D1701" s="206" t="s">
        <v>5886</v>
      </c>
      <c r="E1701" s="193" t="s">
        <v>120</v>
      </c>
      <c r="F1701" s="221" t="s">
        <v>5887</v>
      </c>
    </row>
    <row r="1702" customHeight="1" spans="1:6">
      <c r="A1702" s="9" t="s">
        <v>5888</v>
      </c>
      <c r="B1702" s="222" t="str">
        <f>IFERROR(__xludf.DUMMYFUNCTION("""COMPUTED_VALUE"""),"Alemtaye Chane  Zewdu")</f>
        <v>Alemtaye Chane  Zewdu</v>
      </c>
      <c r="C1702" s="222" t="str">
        <f>IFERROR(__xludf.DUMMYFUNCTION("""COMPUTED_VALUE"""),"ዐለምታየ ጫኔ ዘውዱ")</f>
        <v>ዐለምታየ ጫኔ ዘውዱ</v>
      </c>
      <c r="D1702" s="222" t="str">
        <f>IFERROR(__xludf.DUMMYFUNCTION("""COMPUTED_VALUE"""),"912122567")</f>
        <v>912122567</v>
      </c>
      <c r="E1702" s="222" t="str">
        <f>IFERROR(__xludf.DUMMYFUNCTION("""COMPUTED_VALUE"""),"Addis Ababa")</f>
        <v>Addis Ababa</v>
      </c>
      <c r="F1702" s="222"/>
    </row>
    <row r="1703" customHeight="1" spans="1:6">
      <c r="A1703" s="9" t="s">
        <v>5889</v>
      </c>
      <c r="B1703" s="222" t="str">
        <f>IFERROR(__xludf.DUMMYFUNCTION("""COMPUTED_VALUE"""),"Alemtsehay Abate")</f>
        <v>Alemtsehay Abate</v>
      </c>
      <c r="C1703" s="222" t="str">
        <f>IFERROR(__xludf.DUMMYFUNCTION("""COMPUTED_VALUE"""),"አለምፀሃይ አባተ")</f>
        <v>አለምፀሃይ አባተ</v>
      </c>
      <c r="D1703" s="222" t="str">
        <f>IFERROR(__xludf.DUMMYFUNCTION("""COMPUTED_VALUE"""),"911246660")</f>
        <v>911246660</v>
      </c>
      <c r="E1703" s="222" t="str">
        <f>IFERROR(__xludf.DUMMYFUNCTION("""COMPUTED_VALUE"""),"addis ababa")</f>
        <v>addis ababa</v>
      </c>
      <c r="F1703" s="222"/>
    </row>
    <row r="1704" customHeight="1" spans="1:6">
      <c r="A1704" s="9" t="s">
        <v>5890</v>
      </c>
      <c r="B1704" s="215" t="s">
        <v>5891</v>
      </c>
      <c r="C1704" s="205" t="s">
        <v>5892</v>
      </c>
      <c r="D1704" s="227" t="s">
        <v>5893</v>
      </c>
      <c r="E1704" s="193" t="s">
        <v>120</v>
      </c>
      <c r="F1704" s="216" t="s">
        <v>5894</v>
      </c>
    </row>
    <row r="1705" customHeight="1" spans="1:6">
      <c r="A1705" s="9" t="s">
        <v>5895</v>
      </c>
      <c r="B1705" s="200" t="s">
        <v>5896</v>
      </c>
      <c r="C1705" s="202" t="s">
        <v>5897</v>
      </c>
      <c r="D1705" s="152" t="s">
        <v>5898</v>
      </c>
      <c r="E1705" s="154" t="s">
        <v>5899</v>
      </c>
      <c r="F1705" s="180"/>
    </row>
    <row r="1706" customHeight="1" spans="1:6">
      <c r="A1706" s="9" t="s">
        <v>5900</v>
      </c>
      <c r="B1706" s="158" t="s">
        <v>5901</v>
      </c>
      <c r="C1706" s="202" t="s">
        <v>5902</v>
      </c>
      <c r="D1706" s="158">
        <v>962021323</v>
      </c>
      <c r="E1706" s="154" t="s">
        <v>497</v>
      </c>
      <c r="F1706" s="180"/>
    </row>
    <row r="1707" customHeight="1" spans="1:6">
      <c r="A1707" s="9" t="s">
        <v>5903</v>
      </c>
      <c r="B1707" s="214" t="s">
        <v>5904</v>
      </c>
      <c r="C1707" s="214" t="s">
        <v>5905</v>
      </c>
      <c r="D1707" s="194"/>
      <c r="E1707" s="204" t="s">
        <v>92</v>
      </c>
      <c r="F1707" s="204"/>
    </row>
    <row r="1708" customHeight="1" spans="1:6">
      <c r="A1708" s="9" t="s">
        <v>5906</v>
      </c>
      <c r="B1708" s="160" t="s">
        <v>5907</v>
      </c>
      <c r="C1708" s="160" t="s">
        <v>5908</v>
      </c>
      <c r="D1708" s="204" t="s">
        <v>5909</v>
      </c>
      <c r="E1708" s="204" t="s">
        <v>92</v>
      </c>
      <c r="F1708" s="204"/>
    </row>
    <row r="1709" customHeight="1" spans="1:6">
      <c r="A1709" s="9" t="s">
        <v>5910</v>
      </c>
      <c r="B1709" s="256" t="s">
        <v>5911</v>
      </c>
      <c r="C1709" s="256" t="s">
        <v>5912</v>
      </c>
      <c r="D1709" s="194"/>
      <c r="E1709" s="204" t="s">
        <v>92</v>
      </c>
      <c r="F1709" s="204"/>
    </row>
    <row r="1710" customHeight="1" spans="1:6">
      <c r="A1710" s="9" t="s">
        <v>5913</v>
      </c>
      <c r="B1710" s="195" t="s">
        <v>5914</v>
      </c>
      <c r="C1710" s="202" t="s">
        <v>5915</v>
      </c>
      <c r="D1710" s="152" t="s">
        <v>5916</v>
      </c>
      <c r="E1710" s="154" t="s">
        <v>181</v>
      </c>
      <c r="F1710" s="180"/>
    </row>
    <row r="1711" customHeight="1" spans="1:6">
      <c r="A1711" s="9" t="s">
        <v>5917</v>
      </c>
      <c r="B1711" s="215" t="s">
        <v>5918</v>
      </c>
      <c r="C1711" s="205" t="s">
        <v>5919</v>
      </c>
      <c r="D1711" s="227" t="s">
        <v>5920</v>
      </c>
      <c r="E1711" s="193" t="s">
        <v>120</v>
      </c>
      <c r="F1711" s="216"/>
    </row>
    <row r="1712" customHeight="1" spans="1:6">
      <c r="A1712" s="9" t="s">
        <v>5921</v>
      </c>
      <c r="B1712" s="255" t="s">
        <v>5922</v>
      </c>
      <c r="C1712" s="255" t="s">
        <v>5923</v>
      </c>
      <c r="D1712" s="256" t="s">
        <v>5924</v>
      </c>
      <c r="E1712" s="26" t="s">
        <v>1701</v>
      </c>
      <c r="F1712" s="257" t="s">
        <v>5925</v>
      </c>
    </row>
    <row r="1713" customHeight="1" spans="1:6">
      <c r="A1713" s="9" t="s">
        <v>5926</v>
      </c>
      <c r="B1713" s="297" t="s">
        <v>5927</v>
      </c>
      <c r="C1713" s="297" t="s">
        <v>5928</v>
      </c>
      <c r="D1713" s="204" t="s">
        <v>5929</v>
      </c>
      <c r="E1713" s="232" t="s">
        <v>92</v>
      </c>
      <c r="F1713" s="232"/>
    </row>
    <row r="1714" customHeight="1" spans="1:6">
      <c r="A1714" s="9" t="s">
        <v>5930</v>
      </c>
      <c r="B1714" s="233" t="s">
        <v>5931</v>
      </c>
      <c r="C1714" s="233" t="s">
        <v>5932</v>
      </c>
      <c r="D1714" s="204" t="s">
        <v>5933</v>
      </c>
      <c r="E1714" s="204" t="s">
        <v>5934</v>
      </c>
      <c r="F1714" s="204" t="s">
        <v>5935</v>
      </c>
    </row>
    <row r="1715" customHeight="1" spans="1:6">
      <c r="A1715" s="9" t="s">
        <v>5936</v>
      </c>
      <c r="B1715" s="222" t="s">
        <v>5937</v>
      </c>
      <c r="C1715" s="222" t="s">
        <v>5938</v>
      </c>
      <c r="D1715" s="222" t="str">
        <f>IFERROR(__xludf.DUMMYFUNCTION("""COMPUTED_VALUE"""),"911017132")</f>
        <v>911017132</v>
      </c>
      <c r="E1715" s="222" t="str">
        <f>IFERROR(__xludf.DUMMYFUNCTION("""COMPUTED_VALUE"""),"addis abeba")</f>
        <v>addis abeba</v>
      </c>
      <c r="F1715" s="222"/>
    </row>
    <row r="1716" customHeight="1" spans="1:6">
      <c r="A1716" s="9" t="s">
        <v>5939</v>
      </c>
      <c r="B1716" s="222" t="str">
        <f>IFERROR(__xludf.DUMMYFUNCTION("""COMPUTED_VALUE"""),"Alemtsehay Tadesse Eshetie")</f>
        <v>Alemtsehay Tadesse Eshetie</v>
      </c>
      <c r="C1716" s="222" t="str">
        <f>IFERROR(__xludf.DUMMYFUNCTION("""COMPUTED_VALUE"""),"አለምፀሃይ ታደሰ እሽቴ")</f>
        <v>አለምፀሃይ ታደሰ እሽቴ</v>
      </c>
      <c r="D1716" s="222" t="str">
        <f>IFERROR(__xludf.DUMMYFUNCTION("""COMPUTED_VALUE"""),"0911-867347
0114651696")</f>
        <v>0911-867347
0114651696</v>
      </c>
      <c r="E1716" s="222" t="str">
        <f>IFERROR(__xludf.DUMMYFUNCTION("""COMPUTED_VALUE"""),"Addis Ababa")</f>
        <v>Addis Ababa</v>
      </c>
      <c r="F1716" s="222"/>
    </row>
    <row r="1717" customHeight="1" spans="1:6">
      <c r="A1717" s="9" t="s">
        <v>5940</v>
      </c>
      <c r="B1717" s="233" t="s">
        <v>5941</v>
      </c>
      <c r="C1717" s="233" t="s">
        <v>5942</v>
      </c>
      <c r="D1717" s="204" t="s">
        <v>5943</v>
      </c>
      <c r="E1717" s="204" t="s">
        <v>5944</v>
      </c>
      <c r="F1717" s="204" t="s">
        <v>5945</v>
      </c>
    </row>
    <row r="1718" customHeight="1" spans="1:6">
      <c r="A1718" s="9" t="s">
        <v>5946</v>
      </c>
      <c r="B1718" s="214" t="s">
        <v>5947</v>
      </c>
      <c r="C1718" s="214" t="s">
        <v>5948</v>
      </c>
      <c r="D1718" s="194"/>
      <c r="E1718" s="204" t="s">
        <v>92</v>
      </c>
      <c r="F1718" s="204"/>
    </row>
    <row r="1719" customHeight="1" spans="1:6">
      <c r="A1719" s="9" t="s">
        <v>5949</v>
      </c>
      <c r="B1719" s="223" t="s">
        <v>5950</v>
      </c>
      <c r="C1719" s="223" t="s">
        <v>5951</v>
      </c>
      <c r="D1719" s="204" t="s">
        <v>5952</v>
      </c>
      <c r="E1719" s="204" t="s">
        <v>92</v>
      </c>
      <c r="F1719" s="204"/>
    </row>
    <row r="1720" customHeight="1" spans="1:6">
      <c r="A1720" s="9" t="s">
        <v>5953</v>
      </c>
      <c r="B1720" s="223" t="s">
        <v>5954</v>
      </c>
      <c r="C1720" s="223" t="s">
        <v>5955</v>
      </c>
      <c r="D1720" s="204" t="s">
        <v>5956</v>
      </c>
      <c r="E1720" s="204" t="s">
        <v>92</v>
      </c>
      <c r="F1720" s="204"/>
    </row>
    <row r="1721" customHeight="1" spans="1:6">
      <c r="A1721" s="9" t="s">
        <v>5957</v>
      </c>
      <c r="B1721" s="195" t="s">
        <v>5958</v>
      </c>
      <c r="C1721" s="203" t="s">
        <v>5959</v>
      </c>
      <c r="D1721" s="197"/>
      <c r="E1721" s="197" t="s">
        <v>253</v>
      </c>
      <c r="F1721" s="197"/>
    </row>
    <row r="1722" customHeight="1" spans="1:6">
      <c r="A1722" s="9" t="s">
        <v>5960</v>
      </c>
      <c r="B1722" s="195" t="s">
        <v>5961</v>
      </c>
      <c r="C1722" s="202" t="s">
        <v>5962</v>
      </c>
      <c r="D1722" s="158"/>
      <c r="E1722" s="154"/>
      <c r="F1722" s="180"/>
    </row>
    <row r="1723" customHeight="1" spans="1:6">
      <c r="A1723" s="9" t="s">
        <v>5963</v>
      </c>
      <c r="B1723" s="200" t="s">
        <v>5964</v>
      </c>
      <c r="C1723" s="236" t="s">
        <v>5965</v>
      </c>
      <c r="D1723" s="194"/>
      <c r="E1723" s="193" t="s">
        <v>2783</v>
      </c>
      <c r="F1723" s="191"/>
    </row>
    <row r="1724" customHeight="1" spans="1:6">
      <c r="A1724" s="9" t="s">
        <v>5966</v>
      </c>
      <c r="B1724" s="195" t="s">
        <v>5967</v>
      </c>
      <c r="C1724" s="202" t="s">
        <v>5968</v>
      </c>
      <c r="D1724" s="152" t="s">
        <v>5969</v>
      </c>
      <c r="E1724" s="154" t="s">
        <v>232</v>
      </c>
      <c r="F1724" s="180"/>
    </row>
    <row r="1725" customHeight="1" spans="1:6">
      <c r="A1725" s="9" t="s">
        <v>5970</v>
      </c>
      <c r="B1725" s="200" t="s">
        <v>5971</v>
      </c>
      <c r="C1725" s="202" t="s">
        <v>5972</v>
      </c>
      <c r="D1725" s="152"/>
      <c r="E1725" s="154"/>
      <c r="F1725" s="180"/>
    </row>
    <row r="1726" customHeight="1" spans="1:6">
      <c r="A1726" s="9" t="s">
        <v>5973</v>
      </c>
      <c r="B1726" s="200" t="s">
        <v>5974</v>
      </c>
      <c r="C1726" s="246" t="s">
        <v>5975</v>
      </c>
      <c r="D1726" s="194"/>
      <c r="E1726" s="194" t="s">
        <v>243</v>
      </c>
      <c r="F1726" s="194"/>
    </row>
    <row r="1727" customHeight="1" spans="1:6">
      <c r="A1727" s="9" t="s">
        <v>5976</v>
      </c>
      <c r="B1727" s="201" t="s">
        <v>5977</v>
      </c>
      <c r="C1727" s="202" t="s">
        <v>5978</v>
      </c>
      <c r="D1727" s="154" t="s">
        <v>5979</v>
      </c>
      <c r="E1727" s="154" t="s">
        <v>211</v>
      </c>
      <c r="F1727" s="180"/>
    </row>
    <row r="1728" customHeight="1" spans="1:6">
      <c r="A1728" s="9" t="s">
        <v>5980</v>
      </c>
      <c r="B1728" s="201" t="s">
        <v>5981</v>
      </c>
      <c r="C1728" s="202" t="s">
        <v>5982</v>
      </c>
      <c r="D1728" s="154" t="s">
        <v>5983</v>
      </c>
      <c r="E1728" s="154" t="s">
        <v>211</v>
      </c>
      <c r="F1728" s="180"/>
    </row>
    <row r="1729" customHeight="1" spans="1:6">
      <c r="A1729" s="9" t="s">
        <v>5984</v>
      </c>
      <c r="B1729" s="195" t="s">
        <v>5985</v>
      </c>
      <c r="C1729" s="202" t="s">
        <v>5986</v>
      </c>
      <c r="D1729" s="152"/>
      <c r="E1729" s="154" t="s">
        <v>232</v>
      </c>
      <c r="F1729" s="180"/>
    </row>
    <row r="1730" customHeight="1" spans="1:6">
      <c r="A1730" s="9" t="s">
        <v>5987</v>
      </c>
      <c r="B1730" s="201" t="s">
        <v>5988</v>
      </c>
      <c r="C1730" s="202" t="s">
        <v>5989</v>
      </c>
      <c r="D1730" s="154"/>
      <c r="E1730" s="154" t="s">
        <v>211</v>
      </c>
      <c r="F1730" s="180"/>
    </row>
    <row r="1731" customHeight="1" spans="1:6">
      <c r="A1731" s="9" t="s">
        <v>5990</v>
      </c>
      <c r="B1731" s="194" t="s">
        <v>5991</v>
      </c>
      <c r="C1731" s="202" t="s">
        <v>5992</v>
      </c>
      <c r="D1731" s="158">
        <v>912416868</v>
      </c>
      <c r="E1731" s="158" t="s">
        <v>1218</v>
      </c>
      <c r="F1731" s="153"/>
    </row>
    <row r="1732" customHeight="1" spans="1:6">
      <c r="A1732" s="9" t="s">
        <v>5993</v>
      </c>
      <c r="B1732" s="160" t="s">
        <v>5994</v>
      </c>
      <c r="C1732" s="160" t="s">
        <v>5995</v>
      </c>
      <c r="D1732" s="204" t="s">
        <v>5996</v>
      </c>
      <c r="E1732" s="204" t="s">
        <v>92</v>
      </c>
      <c r="F1732" s="204"/>
    </row>
    <row r="1733" customHeight="1" spans="1:6">
      <c r="A1733" s="9" t="s">
        <v>5997</v>
      </c>
      <c r="B1733" s="214" t="s">
        <v>5998</v>
      </c>
      <c r="C1733" s="214" t="s">
        <v>5999</v>
      </c>
      <c r="D1733" s="194"/>
      <c r="E1733" s="204" t="s">
        <v>92</v>
      </c>
      <c r="F1733" s="204"/>
    </row>
    <row r="1734" customHeight="1" spans="1:6">
      <c r="A1734" s="9" t="s">
        <v>6000</v>
      </c>
      <c r="B1734" s="195" t="s">
        <v>6001</v>
      </c>
      <c r="C1734" s="202" t="s">
        <v>6002</v>
      </c>
      <c r="D1734" s="152"/>
      <c r="E1734" s="154"/>
      <c r="F1734" s="180"/>
    </row>
    <row r="1735" customHeight="1" spans="1:6">
      <c r="A1735" s="9" t="s">
        <v>6003</v>
      </c>
      <c r="B1735" s="200" t="s">
        <v>6004</v>
      </c>
      <c r="C1735" s="202" t="s">
        <v>6005</v>
      </c>
      <c r="D1735" s="154">
        <v>943311948</v>
      </c>
      <c r="E1735" s="154" t="s">
        <v>104</v>
      </c>
      <c r="F1735" s="180"/>
    </row>
    <row r="1736" customHeight="1" spans="1:6">
      <c r="A1736" s="9" t="s">
        <v>6006</v>
      </c>
      <c r="B1736" s="195" t="s">
        <v>6007</v>
      </c>
      <c r="C1736" s="202" t="s">
        <v>6008</v>
      </c>
      <c r="D1736" s="152"/>
      <c r="E1736" s="154" t="s">
        <v>232</v>
      </c>
      <c r="F1736" s="180"/>
    </row>
    <row r="1737" customHeight="1" spans="1:6">
      <c r="A1737" s="9" t="s">
        <v>6009</v>
      </c>
      <c r="B1737" s="201" t="s">
        <v>6010</v>
      </c>
      <c r="C1737" s="202" t="s">
        <v>6011</v>
      </c>
      <c r="D1737" s="154"/>
      <c r="E1737" s="154" t="s">
        <v>243</v>
      </c>
      <c r="F1737" s="180"/>
    </row>
    <row r="1738" customHeight="1" spans="1:6">
      <c r="A1738" s="9" t="s">
        <v>6012</v>
      </c>
      <c r="B1738" s="201" t="s">
        <v>6013</v>
      </c>
      <c r="C1738" s="202" t="s">
        <v>6014</v>
      </c>
      <c r="D1738" s="154"/>
      <c r="E1738" s="154"/>
      <c r="F1738" s="180"/>
    </row>
    <row r="1739" customHeight="1" spans="1:6">
      <c r="A1739" s="9" t="s">
        <v>6015</v>
      </c>
      <c r="B1739" s="153" t="s">
        <v>6016</v>
      </c>
      <c r="C1739" s="196" t="s">
        <v>6017</v>
      </c>
      <c r="D1739" s="197"/>
      <c r="E1739" s="198" t="s">
        <v>216</v>
      </c>
      <c r="F1739" s="199"/>
    </row>
    <row r="1740" customHeight="1" spans="1:6">
      <c r="A1740" s="9" t="s">
        <v>6018</v>
      </c>
      <c r="B1740" s="158" t="s">
        <v>6019</v>
      </c>
      <c r="C1740" s="202" t="s">
        <v>6020</v>
      </c>
      <c r="D1740" s="158">
        <v>924107710</v>
      </c>
      <c r="E1740" s="154" t="s">
        <v>497</v>
      </c>
      <c r="F1740" s="180"/>
    </row>
    <row r="1741" customHeight="1" spans="1:6">
      <c r="A1741" s="9" t="s">
        <v>6021</v>
      </c>
      <c r="B1741" s="200" t="s">
        <v>6022</v>
      </c>
      <c r="C1741" s="202" t="s">
        <v>6023</v>
      </c>
      <c r="D1741" s="154">
        <v>913852727</v>
      </c>
      <c r="E1741" s="154" t="s">
        <v>104</v>
      </c>
      <c r="F1741" s="180"/>
    </row>
    <row r="1742" customHeight="1" spans="1:6">
      <c r="A1742" s="9" t="s">
        <v>6024</v>
      </c>
      <c r="B1742" s="153" t="s">
        <v>6025</v>
      </c>
      <c r="C1742" s="202" t="s">
        <v>6026</v>
      </c>
      <c r="D1742" s="154" t="s">
        <v>6027</v>
      </c>
      <c r="E1742" s="154" t="s">
        <v>253</v>
      </c>
      <c r="F1742" s="180"/>
    </row>
    <row r="1743" customHeight="1" spans="1:6">
      <c r="A1743" s="9" t="s">
        <v>6028</v>
      </c>
      <c r="B1743" s="153" t="s">
        <v>6029</v>
      </c>
      <c r="C1743" s="202" t="s">
        <v>6030</v>
      </c>
      <c r="D1743" s="154"/>
      <c r="E1743" s="154" t="s">
        <v>310</v>
      </c>
      <c r="F1743" s="153"/>
    </row>
    <row r="1744" customHeight="1" spans="1:6">
      <c r="A1744" s="9" t="s">
        <v>6031</v>
      </c>
      <c r="B1744" s="200" t="s">
        <v>6032</v>
      </c>
      <c r="C1744" s="202" t="s">
        <v>6033</v>
      </c>
      <c r="D1744" s="152"/>
      <c r="E1744" s="154"/>
      <c r="F1744" s="180"/>
    </row>
    <row r="1745" customHeight="1" spans="1:6">
      <c r="A1745" s="9" t="s">
        <v>6034</v>
      </c>
      <c r="B1745" s="160" t="s">
        <v>6035</v>
      </c>
      <c r="C1745" s="160" t="s">
        <v>6036</v>
      </c>
      <c r="D1745" s="204"/>
      <c r="E1745" s="204" t="s">
        <v>92</v>
      </c>
      <c r="F1745" s="204"/>
    </row>
    <row r="1746" customHeight="1" spans="1:6">
      <c r="A1746" s="9" t="s">
        <v>6037</v>
      </c>
      <c r="B1746" s="200" t="s">
        <v>6038</v>
      </c>
      <c r="C1746" s="202" t="s">
        <v>6039</v>
      </c>
      <c r="D1746" s="152"/>
      <c r="E1746" s="154" t="s">
        <v>232</v>
      </c>
      <c r="F1746" s="180"/>
    </row>
    <row r="1747" customHeight="1" spans="1:6">
      <c r="A1747" s="9" t="s">
        <v>6040</v>
      </c>
      <c r="B1747" s="195" t="s">
        <v>6041</v>
      </c>
      <c r="C1747" s="202" t="s">
        <v>6042</v>
      </c>
      <c r="D1747" s="154"/>
      <c r="E1747" s="154" t="s">
        <v>104</v>
      </c>
      <c r="F1747" s="180"/>
    </row>
    <row r="1748" customHeight="1" spans="1:6">
      <c r="A1748" s="9" t="s">
        <v>6043</v>
      </c>
      <c r="B1748" s="200" t="s">
        <v>6044</v>
      </c>
      <c r="C1748" s="202" t="s">
        <v>6045</v>
      </c>
      <c r="D1748" s="152"/>
      <c r="E1748" s="154"/>
      <c r="F1748" s="211"/>
    </row>
    <row r="1749" customHeight="1" spans="1:6">
      <c r="A1749" s="9" t="s">
        <v>6046</v>
      </c>
      <c r="B1749" s="195" t="s">
        <v>6047</v>
      </c>
      <c r="C1749" s="196" t="s">
        <v>6048</v>
      </c>
      <c r="D1749" s="197"/>
      <c r="E1749" s="197"/>
      <c r="F1749" s="197"/>
    </row>
    <row r="1750" customHeight="1" spans="1:6">
      <c r="A1750" s="9" t="s">
        <v>6049</v>
      </c>
      <c r="B1750" s="153" t="s">
        <v>6050</v>
      </c>
      <c r="C1750" s="218" t="s">
        <v>6051</v>
      </c>
      <c r="D1750" s="155"/>
      <c r="E1750" s="154" t="s">
        <v>104</v>
      </c>
      <c r="F1750" s="180"/>
    </row>
    <row r="1751" customHeight="1" spans="1:6">
      <c r="A1751" s="9" t="s">
        <v>6052</v>
      </c>
      <c r="B1751" s="298" t="s">
        <v>6053</v>
      </c>
      <c r="C1751" s="298" t="s">
        <v>6054</v>
      </c>
      <c r="D1751" s="223" t="s">
        <v>6055</v>
      </c>
      <c r="E1751" s="204" t="s">
        <v>92</v>
      </c>
      <c r="F1751" s="204"/>
    </row>
    <row r="1752" customHeight="1" spans="1:6">
      <c r="A1752" s="9" t="s">
        <v>6056</v>
      </c>
      <c r="B1752" s="195" t="s">
        <v>6057</v>
      </c>
      <c r="C1752" s="202" t="s">
        <v>6058</v>
      </c>
      <c r="D1752" s="152"/>
      <c r="E1752" s="154" t="s">
        <v>232</v>
      </c>
      <c r="F1752" s="180"/>
    </row>
    <row r="1753" customHeight="1" spans="1:6">
      <c r="A1753" s="9" t="s">
        <v>6059</v>
      </c>
      <c r="B1753" s="200" t="s">
        <v>6060</v>
      </c>
      <c r="C1753" s="202" t="s">
        <v>6061</v>
      </c>
      <c r="D1753" s="152"/>
      <c r="E1753" s="154" t="s">
        <v>4527</v>
      </c>
      <c r="F1753" s="180"/>
    </row>
    <row r="1754" customHeight="1" spans="1:6">
      <c r="A1754" s="9" t="s">
        <v>6062</v>
      </c>
      <c r="B1754" s="200" t="s">
        <v>6063</v>
      </c>
      <c r="C1754" s="236" t="s">
        <v>6064</v>
      </c>
      <c r="D1754" s="194" t="s">
        <v>6065</v>
      </c>
      <c r="E1754" s="154" t="s">
        <v>104</v>
      </c>
      <c r="F1754" s="191"/>
    </row>
    <row r="1755" customHeight="1" spans="1:6">
      <c r="A1755" s="9" t="s">
        <v>6066</v>
      </c>
      <c r="B1755" s="205" t="s">
        <v>6067</v>
      </c>
      <c r="C1755" s="205" t="s">
        <v>6068</v>
      </c>
      <c r="D1755" s="206" t="s">
        <v>6069</v>
      </c>
      <c r="E1755" s="193" t="s">
        <v>120</v>
      </c>
      <c r="F1755" s="221" t="s">
        <v>6070</v>
      </c>
    </row>
    <row r="1756" customHeight="1" spans="1:6">
      <c r="A1756" s="9" t="s">
        <v>6071</v>
      </c>
      <c r="B1756" s="200" t="s">
        <v>6072</v>
      </c>
      <c r="C1756" s="202" t="s">
        <v>6073</v>
      </c>
      <c r="D1756" s="152" t="s">
        <v>6074</v>
      </c>
      <c r="E1756" s="154"/>
      <c r="F1756" s="180"/>
    </row>
    <row r="1757" customHeight="1" spans="1:6">
      <c r="A1757" s="9" t="s">
        <v>6075</v>
      </c>
      <c r="B1757" s="194" t="s">
        <v>6076</v>
      </c>
      <c r="C1757" s="192" t="s">
        <v>6077</v>
      </c>
      <c r="D1757" s="194" t="s">
        <v>6078</v>
      </c>
      <c r="E1757" s="194" t="s">
        <v>243</v>
      </c>
      <c r="F1757" s="194"/>
    </row>
    <row r="1758" customHeight="1" spans="1:6">
      <c r="A1758" s="9" t="s">
        <v>6079</v>
      </c>
      <c r="B1758" s="200" t="s">
        <v>6080</v>
      </c>
      <c r="C1758" s="192" t="s">
        <v>6081</v>
      </c>
      <c r="D1758" s="194"/>
      <c r="E1758" s="193" t="s">
        <v>216</v>
      </c>
      <c r="F1758" s="191"/>
    </row>
    <row r="1759" customHeight="1" spans="1:6">
      <c r="A1759" s="9" t="s">
        <v>6082</v>
      </c>
      <c r="B1759" s="195" t="s">
        <v>6083</v>
      </c>
      <c r="C1759" s="213" t="s">
        <v>6084</v>
      </c>
      <c r="D1759" s="197"/>
      <c r="E1759" s="197" t="s">
        <v>202</v>
      </c>
      <c r="F1759" s="197"/>
    </row>
    <row r="1760" customHeight="1" spans="1:6">
      <c r="A1760" s="9" t="s">
        <v>6085</v>
      </c>
      <c r="B1760" s="200" t="s">
        <v>6086</v>
      </c>
      <c r="C1760" s="246" t="s">
        <v>6087</v>
      </c>
      <c r="D1760" s="194">
        <v>927193492</v>
      </c>
      <c r="E1760" s="194" t="s">
        <v>186</v>
      </c>
      <c r="F1760" s="194"/>
    </row>
    <row r="1761" customHeight="1" spans="1:6">
      <c r="A1761" s="9" t="s">
        <v>6088</v>
      </c>
      <c r="B1761" s="201" t="s">
        <v>6089</v>
      </c>
      <c r="C1761" s="202" t="s">
        <v>6090</v>
      </c>
      <c r="D1761" s="154"/>
      <c r="E1761" s="154" t="s">
        <v>479</v>
      </c>
      <c r="F1761" s="180"/>
    </row>
    <row r="1762" customHeight="1" spans="1:6">
      <c r="A1762" s="9" t="s">
        <v>6091</v>
      </c>
      <c r="B1762" s="195" t="s">
        <v>6092</v>
      </c>
      <c r="C1762" s="202" t="s">
        <v>6093</v>
      </c>
      <c r="D1762" s="152" t="s">
        <v>6094</v>
      </c>
      <c r="E1762" s="154" t="s">
        <v>232</v>
      </c>
      <c r="F1762" s="180"/>
    </row>
    <row r="1763" customHeight="1" spans="1:6">
      <c r="A1763" s="9" t="s">
        <v>6095</v>
      </c>
      <c r="B1763" s="200" t="s">
        <v>6096</v>
      </c>
      <c r="C1763" s="202" t="s">
        <v>6097</v>
      </c>
      <c r="D1763" s="152"/>
      <c r="E1763" s="154"/>
      <c r="F1763" s="180"/>
    </row>
    <row r="1764" customHeight="1" spans="1:6">
      <c r="A1764" s="9" t="s">
        <v>6098</v>
      </c>
      <c r="B1764" s="153" t="s">
        <v>6099</v>
      </c>
      <c r="C1764" s="202" t="s">
        <v>6100</v>
      </c>
      <c r="D1764" s="154"/>
      <c r="E1764" s="154" t="s">
        <v>310</v>
      </c>
      <c r="F1764" s="153"/>
    </row>
    <row r="1765" customHeight="1" spans="1:6">
      <c r="A1765" s="9" t="s">
        <v>6101</v>
      </c>
      <c r="B1765" s="195" t="s">
        <v>6102</v>
      </c>
      <c r="C1765" s="212" t="s">
        <v>6103</v>
      </c>
      <c r="D1765" s="197"/>
      <c r="E1765" s="198" t="s">
        <v>202</v>
      </c>
      <c r="F1765" s="199"/>
    </row>
    <row r="1766" customHeight="1" spans="1:6">
      <c r="A1766" s="9" t="s">
        <v>6104</v>
      </c>
      <c r="B1766" s="201" t="s">
        <v>6105</v>
      </c>
      <c r="C1766" s="202" t="s">
        <v>6106</v>
      </c>
      <c r="D1766" s="154" t="s">
        <v>6107</v>
      </c>
      <c r="E1766" s="210" t="s">
        <v>211</v>
      </c>
      <c r="F1766" s="211"/>
    </row>
    <row r="1767" customHeight="1" spans="1:6">
      <c r="A1767" s="9" t="s">
        <v>6108</v>
      </c>
      <c r="B1767" s="160" t="s">
        <v>6109</v>
      </c>
      <c r="C1767" s="160" t="s">
        <v>6110</v>
      </c>
      <c r="D1767" s="204" t="s">
        <v>6111</v>
      </c>
      <c r="E1767" s="204" t="s">
        <v>92</v>
      </c>
      <c r="F1767" s="204"/>
    </row>
    <row r="1768" customHeight="1" spans="1:6">
      <c r="A1768" s="9" t="s">
        <v>6112</v>
      </c>
      <c r="B1768" s="195" t="s">
        <v>6113</v>
      </c>
      <c r="C1768" s="202" t="s">
        <v>6114</v>
      </c>
      <c r="D1768" s="158"/>
      <c r="E1768" s="154" t="s">
        <v>202</v>
      </c>
      <c r="F1768" s="180"/>
    </row>
    <row r="1769" customHeight="1" spans="1:6">
      <c r="A1769" s="9" t="s">
        <v>6115</v>
      </c>
      <c r="B1769" s="200" t="s">
        <v>6116</v>
      </c>
      <c r="C1769" s="202" t="s">
        <v>6117</v>
      </c>
      <c r="D1769" s="152" t="s">
        <v>6118</v>
      </c>
      <c r="E1769" s="154" t="s">
        <v>104</v>
      </c>
      <c r="F1769" s="180"/>
    </row>
    <row r="1770" customHeight="1" spans="1:6">
      <c r="A1770" s="9" t="s">
        <v>6119</v>
      </c>
      <c r="B1770" s="195" t="s">
        <v>6120</v>
      </c>
      <c r="C1770" s="203" t="s">
        <v>6121</v>
      </c>
      <c r="D1770" s="197"/>
      <c r="E1770" s="197" t="s">
        <v>253</v>
      </c>
      <c r="F1770" s="197"/>
    </row>
    <row r="1771" customHeight="1" spans="1:6">
      <c r="A1771" s="9" t="s">
        <v>6122</v>
      </c>
      <c r="B1771" s="200" t="s">
        <v>6123</v>
      </c>
      <c r="C1771" s="264" t="s">
        <v>6124</v>
      </c>
      <c r="D1771" s="194"/>
      <c r="E1771" s="194" t="s">
        <v>243</v>
      </c>
      <c r="F1771" s="194"/>
    </row>
    <row r="1772" customHeight="1" spans="1:6">
      <c r="A1772" s="9" t="s">
        <v>6125</v>
      </c>
      <c r="B1772" s="233" t="s">
        <v>6126</v>
      </c>
      <c r="C1772" s="233" t="s">
        <v>6127</v>
      </c>
      <c r="D1772" s="223" t="s">
        <v>6128</v>
      </c>
      <c r="E1772" s="204" t="s">
        <v>605</v>
      </c>
      <c r="F1772" s="204" t="s">
        <v>6129</v>
      </c>
    </row>
    <row r="1773" customHeight="1" spans="1:6">
      <c r="A1773" s="9" t="s">
        <v>6130</v>
      </c>
      <c r="B1773" s="276" t="str">
        <f>IFERROR(__xludf.DUMMYFUNCTION("""COMPUTED_VALUE"""),"Alemu Wakjira Huluka /Ato/")</f>
        <v>Alemu Wakjira Huluka /Ato/</v>
      </c>
      <c r="C1773" s="276" t="str">
        <f>IFERROR(__xludf.DUMMYFUNCTION("""COMPUTED_VALUE"""),"አለሙ ዋቅጅራ ሁሉቃ /አቶ/")</f>
        <v>አለሙ ዋቅጅራ ሁሉቃ /አቶ/</v>
      </c>
      <c r="D1773" s="276" t="str">
        <f>IFERROR(__xludf.DUMMYFUNCTION("""COMPUTED_VALUE"""),"0911-239259")</f>
        <v>0911-239259</v>
      </c>
      <c r="E1773" s="276" t="str">
        <f>IFERROR(__xludf.DUMMYFUNCTION("""COMPUTED_VALUE"""),"Addis Ababa")</f>
        <v>Addis Ababa</v>
      </c>
      <c r="F1773" s="276"/>
    </row>
    <row r="1774" customHeight="1" spans="1:6">
      <c r="A1774" s="9" t="s">
        <v>6131</v>
      </c>
      <c r="B1774" s="214" t="s">
        <v>6132</v>
      </c>
      <c r="C1774" s="214" t="s">
        <v>6133</v>
      </c>
      <c r="D1774" s="194"/>
      <c r="E1774" s="204" t="s">
        <v>92</v>
      </c>
      <c r="F1774" s="204"/>
    </row>
    <row r="1775" customHeight="1" spans="1:6">
      <c r="A1775" s="9" t="s">
        <v>6134</v>
      </c>
      <c r="B1775" s="223" t="s">
        <v>6135</v>
      </c>
      <c r="C1775" s="223" t="s">
        <v>6136</v>
      </c>
      <c r="D1775" s="204" t="s">
        <v>6137</v>
      </c>
      <c r="E1775" s="204" t="s">
        <v>92</v>
      </c>
      <c r="F1775" s="204"/>
    </row>
    <row r="1776" customHeight="1" spans="1:6">
      <c r="A1776" s="9" t="s">
        <v>6138</v>
      </c>
      <c r="B1776" s="233" t="s">
        <v>6139</v>
      </c>
      <c r="C1776" s="233" t="s">
        <v>6140</v>
      </c>
      <c r="D1776" s="204" t="s">
        <v>6141</v>
      </c>
      <c r="E1776" s="204" t="s">
        <v>605</v>
      </c>
      <c r="F1776" s="204" t="s">
        <v>6142</v>
      </c>
    </row>
    <row r="1777" customHeight="1" spans="1:6">
      <c r="A1777" s="9" t="s">
        <v>6143</v>
      </c>
      <c r="B1777" s="195" t="s">
        <v>6144</v>
      </c>
      <c r="C1777" s="202" t="s">
        <v>6145</v>
      </c>
      <c r="D1777" s="152"/>
      <c r="E1777" s="154" t="s">
        <v>104</v>
      </c>
      <c r="F1777" s="180"/>
    </row>
    <row r="1778" customHeight="1" spans="1:6">
      <c r="A1778" s="9" t="s">
        <v>6146</v>
      </c>
      <c r="B1778" s="195" t="s">
        <v>6147</v>
      </c>
      <c r="C1778" s="196" t="s">
        <v>6148</v>
      </c>
      <c r="D1778" s="197"/>
      <c r="E1778" s="197" t="s">
        <v>104</v>
      </c>
      <c r="F1778" s="197"/>
    </row>
    <row r="1779" customHeight="1" spans="1:6">
      <c r="A1779" s="9" t="s">
        <v>6149</v>
      </c>
      <c r="B1779" s="223" t="s">
        <v>6150</v>
      </c>
      <c r="C1779" s="223" t="s">
        <v>6151</v>
      </c>
      <c r="D1779" s="204" t="s">
        <v>6152</v>
      </c>
      <c r="E1779" s="204" t="s">
        <v>92</v>
      </c>
      <c r="F1779" s="204"/>
    </row>
    <row r="1780" customHeight="1" spans="1:6">
      <c r="A1780" s="9" t="s">
        <v>6153</v>
      </c>
      <c r="B1780" s="195" t="s">
        <v>6154</v>
      </c>
      <c r="C1780" s="213" t="s">
        <v>6155</v>
      </c>
      <c r="D1780" s="197">
        <v>938963522</v>
      </c>
      <c r="E1780" s="197" t="s">
        <v>1852</v>
      </c>
      <c r="F1780" s="197"/>
    </row>
    <row r="1781" customHeight="1" spans="1:6">
      <c r="A1781" s="9" t="s">
        <v>6156</v>
      </c>
      <c r="B1781" s="195" t="s">
        <v>6157</v>
      </c>
      <c r="C1781" s="202" t="s">
        <v>6158</v>
      </c>
      <c r="D1781" s="154"/>
      <c r="E1781" s="154" t="s">
        <v>181</v>
      </c>
      <c r="F1781" s="180"/>
    </row>
    <row r="1782" customHeight="1" spans="1:6">
      <c r="A1782" s="9" t="s">
        <v>6159</v>
      </c>
      <c r="B1782" s="200" t="s">
        <v>6160</v>
      </c>
      <c r="C1782" s="202" t="s">
        <v>6161</v>
      </c>
      <c r="D1782" s="152" t="s">
        <v>6162</v>
      </c>
      <c r="E1782" s="154" t="s">
        <v>232</v>
      </c>
      <c r="F1782" s="180"/>
    </row>
    <row r="1783" customHeight="1" spans="1:6">
      <c r="A1783" s="9" t="s">
        <v>6163</v>
      </c>
      <c r="B1783" s="200" t="s">
        <v>6164</v>
      </c>
      <c r="C1783" s="202" t="s">
        <v>6165</v>
      </c>
      <c r="D1783" s="154" t="s">
        <v>6166</v>
      </c>
      <c r="E1783" s="154" t="s">
        <v>3349</v>
      </c>
      <c r="F1783" s="180"/>
    </row>
    <row r="1784" customHeight="1" spans="1:6">
      <c r="A1784" s="9" t="s">
        <v>6167</v>
      </c>
      <c r="B1784" s="299" t="s">
        <v>6168</v>
      </c>
      <c r="C1784" s="192" t="s">
        <v>6169</v>
      </c>
      <c r="D1784" s="299"/>
      <c r="E1784" s="299" t="s">
        <v>273</v>
      </c>
      <c r="F1784" s="299"/>
    </row>
    <row r="1785" customHeight="1" spans="1:6">
      <c r="A1785" s="9" t="s">
        <v>6170</v>
      </c>
      <c r="B1785" s="195" t="s">
        <v>6171</v>
      </c>
      <c r="C1785" s="196" t="s">
        <v>6172</v>
      </c>
      <c r="D1785" s="197"/>
      <c r="E1785" s="197" t="s">
        <v>273</v>
      </c>
      <c r="F1785" s="197"/>
    </row>
    <row r="1786" customHeight="1" spans="1:6">
      <c r="A1786" s="9" t="s">
        <v>6173</v>
      </c>
      <c r="B1786" s="214" t="s">
        <v>6174</v>
      </c>
      <c r="C1786" s="214" t="s">
        <v>6175</v>
      </c>
      <c r="D1786" s="194"/>
      <c r="E1786" s="204" t="s">
        <v>92</v>
      </c>
      <c r="F1786" s="204"/>
    </row>
    <row r="1787" customHeight="1" spans="1:6">
      <c r="A1787" s="9" t="s">
        <v>6176</v>
      </c>
      <c r="B1787" s="200" t="s">
        <v>6177</v>
      </c>
      <c r="C1787" s="192" t="s">
        <v>6178</v>
      </c>
      <c r="D1787" s="194"/>
      <c r="E1787" s="194"/>
      <c r="F1787" s="194"/>
    </row>
    <row r="1788" customHeight="1" spans="1:6">
      <c r="A1788" s="9" t="s">
        <v>6179</v>
      </c>
      <c r="B1788" s="195" t="s">
        <v>6180</v>
      </c>
      <c r="C1788" s="202" t="s">
        <v>6181</v>
      </c>
      <c r="D1788" s="154"/>
      <c r="E1788" s="154" t="s">
        <v>104</v>
      </c>
      <c r="F1788" s="180"/>
    </row>
    <row r="1789" customHeight="1" spans="1:6">
      <c r="A1789" s="9" t="s">
        <v>6182</v>
      </c>
      <c r="B1789" s="197" t="s">
        <v>6183</v>
      </c>
      <c r="C1789" s="254" t="s">
        <v>6184</v>
      </c>
      <c r="D1789" s="197"/>
      <c r="E1789" s="197" t="s">
        <v>202</v>
      </c>
      <c r="F1789" s="197"/>
    </row>
    <row r="1790" customHeight="1" spans="1:6">
      <c r="A1790" s="9" t="s">
        <v>6185</v>
      </c>
      <c r="B1790" s="153" t="s">
        <v>6186</v>
      </c>
      <c r="C1790" s="202" t="s">
        <v>6187</v>
      </c>
      <c r="D1790" s="154" t="s">
        <v>6188</v>
      </c>
      <c r="E1790" s="154"/>
      <c r="F1790" s="180"/>
    </row>
    <row r="1791" customHeight="1" spans="1:6">
      <c r="A1791" s="9" t="s">
        <v>6189</v>
      </c>
      <c r="B1791" s="201" t="s">
        <v>6190</v>
      </c>
      <c r="C1791" s="202" t="s">
        <v>6191</v>
      </c>
      <c r="D1791" s="154" t="s">
        <v>6192</v>
      </c>
      <c r="E1791" s="154" t="s">
        <v>58</v>
      </c>
      <c r="F1791" s="180"/>
    </row>
    <row r="1792" customHeight="1" spans="1:6">
      <c r="A1792" s="9" t="s">
        <v>6193</v>
      </c>
      <c r="B1792" s="214" t="s">
        <v>6194</v>
      </c>
      <c r="C1792" s="214" t="s">
        <v>6195</v>
      </c>
      <c r="D1792" s="194"/>
      <c r="E1792" s="204" t="s">
        <v>92</v>
      </c>
      <c r="F1792" s="204"/>
    </row>
    <row r="1793" customHeight="1" spans="1:6">
      <c r="A1793" s="9" t="s">
        <v>6196</v>
      </c>
      <c r="B1793" s="160" t="s">
        <v>6197</v>
      </c>
      <c r="C1793" s="160" t="s">
        <v>6198</v>
      </c>
      <c r="D1793" s="204" t="s">
        <v>6199</v>
      </c>
      <c r="E1793" s="204" t="s">
        <v>92</v>
      </c>
      <c r="F1793" s="204"/>
    </row>
    <row r="1794" customHeight="1" spans="1:6">
      <c r="A1794" s="9" t="s">
        <v>6200</v>
      </c>
      <c r="B1794" s="223" t="s">
        <v>6201</v>
      </c>
      <c r="C1794" s="223" t="s">
        <v>6202</v>
      </c>
      <c r="D1794" s="204" t="s">
        <v>6203</v>
      </c>
      <c r="E1794" s="173" t="s">
        <v>92</v>
      </c>
      <c r="F1794" s="234" t="s">
        <v>6204</v>
      </c>
    </row>
    <row r="1795" customHeight="1" spans="1:6">
      <c r="A1795" s="9" t="s">
        <v>6205</v>
      </c>
      <c r="B1795" s="224" t="s">
        <v>6206</v>
      </c>
      <c r="C1795" s="225" t="s">
        <v>6207</v>
      </c>
      <c r="D1795" s="343" t="s">
        <v>6208</v>
      </c>
      <c r="E1795" s="229" t="s">
        <v>120</v>
      </c>
      <c r="F1795" s="252"/>
    </row>
    <row r="1796" customHeight="1" spans="1:6">
      <c r="A1796" s="9" t="s">
        <v>6209</v>
      </c>
      <c r="B1796" s="214" t="s">
        <v>6210</v>
      </c>
      <c r="C1796" s="214" t="s">
        <v>6211</v>
      </c>
      <c r="D1796" s="194"/>
      <c r="E1796" s="204" t="s">
        <v>92</v>
      </c>
      <c r="F1796" s="204"/>
    </row>
    <row r="1797" customHeight="1" spans="1:6">
      <c r="A1797" s="9" t="s">
        <v>6212</v>
      </c>
      <c r="B1797" s="219" t="s">
        <v>6213</v>
      </c>
      <c r="C1797" s="219" t="s">
        <v>6214</v>
      </c>
      <c r="D1797" s="194"/>
      <c r="E1797" s="204" t="s">
        <v>92</v>
      </c>
      <c r="F1797" s="204"/>
    </row>
    <row r="1798" customHeight="1" spans="1:6">
      <c r="A1798" s="9" t="s">
        <v>6215</v>
      </c>
      <c r="B1798" s="214" t="s">
        <v>6216</v>
      </c>
      <c r="C1798" s="214" t="s">
        <v>6217</v>
      </c>
      <c r="D1798" s="194"/>
      <c r="E1798" s="204" t="s">
        <v>92</v>
      </c>
      <c r="F1798" s="204"/>
    </row>
    <row r="1799" customHeight="1" spans="1:6">
      <c r="A1799" s="9" t="s">
        <v>6218</v>
      </c>
      <c r="B1799" s="215" t="s">
        <v>6219</v>
      </c>
      <c r="C1799" s="205" t="s">
        <v>6220</v>
      </c>
      <c r="D1799" s="227" t="s">
        <v>6221</v>
      </c>
      <c r="E1799" s="193" t="s">
        <v>120</v>
      </c>
      <c r="F1799" s="216"/>
    </row>
    <row r="1800" customHeight="1" spans="1:6">
      <c r="A1800" s="9" t="s">
        <v>6222</v>
      </c>
      <c r="B1800" s="158" t="s">
        <v>6223</v>
      </c>
      <c r="C1800" s="202" t="s">
        <v>6224</v>
      </c>
      <c r="D1800" s="158" t="s">
        <v>6225</v>
      </c>
      <c r="E1800" s="154" t="s">
        <v>211</v>
      </c>
      <c r="F1800" s="180"/>
    </row>
    <row r="1801" customHeight="1" spans="1:6">
      <c r="A1801" s="9" t="s">
        <v>6226</v>
      </c>
      <c r="B1801" s="201" t="s">
        <v>6227</v>
      </c>
      <c r="C1801" s="202" t="s">
        <v>6228</v>
      </c>
      <c r="D1801" s="154" t="s">
        <v>6229</v>
      </c>
      <c r="E1801" s="154"/>
      <c r="F1801" s="180"/>
    </row>
    <row r="1802" customHeight="1" spans="1:6">
      <c r="A1802" s="9" t="s">
        <v>6230</v>
      </c>
      <c r="B1802" s="214" t="s">
        <v>6231</v>
      </c>
      <c r="C1802" s="214" t="s">
        <v>6232</v>
      </c>
      <c r="D1802" s="194"/>
      <c r="E1802" s="204" t="s">
        <v>92</v>
      </c>
      <c r="F1802" s="204"/>
    </row>
    <row r="1803" customHeight="1" spans="1:6">
      <c r="A1803" s="9" t="s">
        <v>6233</v>
      </c>
      <c r="B1803" s="153" t="s">
        <v>6234</v>
      </c>
      <c r="C1803" s="202" t="s">
        <v>6235</v>
      </c>
      <c r="D1803" s="154">
        <v>919796480</v>
      </c>
      <c r="E1803" s="154" t="s">
        <v>104</v>
      </c>
      <c r="F1803" s="180"/>
    </row>
    <row r="1804" customHeight="1" spans="1:6">
      <c r="A1804" s="9" t="s">
        <v>6236</v>
      </c>
      <c r="B1804" s="214" t="s">
        <v>6237</v>
      </c>
      <c r="C1804" s="214" t="s">
        <v>6238</v>
      </c>
      <c r="D1804" s="194"/>
      <c r="E1804" s="204" t="s">
        <v>92</v>
      </c>
      <c r="F1804" s="204"/>
    </row>
    <row r="1805" customHeight="1" spans="1:6">
      <c r="A1805" s="9" t="s">
        <v>6239</v>
      </c>
      <c r="B1805" s="200" t="s">
        <v>6240</v>
      </c>
      <c r="C1805" s="192" t="s">
        <v>6241</v>
      </c>
      <c r="D1805" s="274"/>
      <c r="E1805" s="193" t="s">
        <v>1395</v>
      </c>
      <c r="F1805" s="191"/>
    </row>
    <row r="1806" customHeight="1" spans="1:6">
      <c r="A1806" s="9" t="s">
        <v>6242</v>
      </c>
      <c r="B1806" s="214" t="s">
        <v>6243</v>
      </c>
      <c r="C1806" s="214" t="s">
        <v>6244</v>
      </c>
      <c r="D1806" s="194"/>
      <c r="E1806" s="204" t="s">
        <v>92</v>
      </c>
      <c r="F1806" s="204"/>
    </row>
    <row r="1807" customHeight="1" spans="1:6">
      <c r="A1807" s="9" t="s">
        <v>6245</v>
      </c>
      <c r="B1807" s="234" t="s">
        <v>6246</v>
      </c>
      <c r="C1807" s="235" t="s">
        <v>6247</v>
      </c>
      <c r="D1807" s="36" t="s">
        <v>6248</v>
      </c>
      <c r="E1807" s="45" t="s">
        <v>691</v>
      </c>
      <c r="F1807" s="288" t="s">
        <v>6249</v>
      </c>
    </row>
    <row r="1808" customHeight="1" spans="1:6">
      <c r="A1808" s="9" t="s">
        <v>6250</v>
      </c>
      <c r="B1808" s="205" t="s">
        <v>6251</v>
      </c>
      <c r="C1808" s="205" t="s">
        <v>6252</v>
      </c>
      <c r="D1808" s="206" t="s">
        <v>6253</v>
      </c>
      <c r="E1808" s="193" t="s">
        <v>120</v>
      </c>
      <c r="F1808" s="221" t="s">
        <v>6254</v>
      </c>
    </row>
    <row r="1809" customHeight="1" spans="1:6">
      <c r="A1809" s="9" t="s">
        <v>6255</v>
      </c>
      <c r="B1809" s="214" t="s">
        <v>6256</v>
      </c>
      <c r="C1809" s="249" t="s">
        <v>6257</v>
      </c>
      <c r="D1809" s="194"/>
      <c r="E1809" s="204" t="s">
        <v>605</v>
      </c>
      <c r="F1809" s="204"/>
    </row>
    <row r="1810" customHeight="1" spans="1:6">
      <c r="A1810" s="9" t="s">
        <v>6258</v>
      </c>
      <c r="B1810" s="266" t="s">
        <v>6259</v>
      </c>
      <c r="C1810" s="292" t="s">
        <v>6260</v>
      </c>
      <c r="D1810" s="256" t="s">
        <v>6261</v>
      </c>
      <c r="E1810" s="26" t="s">
        <v>1701</v>
      </c>
      <c r="F1810" s="290" t="s">
        <v>6262</v>
      </c>
    </row>
    <row r="1811" customHeight="1" spans="1:6">
      <c r="A1811" s="9" t="s">
        <v>6263</v>
      </c>
      <c r="B1811" s="197" t="s">
        <v>6264</v>
      </c>
      <c r="C1811" s="202" t="s">
        <v>6265</v>
      </c>
      <c r="D1811" s="154">
        <v>983575906</v>
      </c>
      <c r="E1811" s="154" t="s">
        <v>104</v>
      </c>
      <c r="F1811" s="180"/>
    </row>
    <row r="1812" customHeight="1" spans="1:6">
      <c r="A1812" s="9" t="s">
        <v>6266</v>
      </c>
      <c r="B1812" s="195" t="s">
        <v>6267</v>
      </c>
      <c r="C1812" s="203" t="s">
        <v>6268</v>
      </c>
      <c r="D1812" s="197"/>
      <c r="E1812" s="197" t="s">
        <v>253</v>
      </c>
      <c r="F1812" s="197"/>
    </row>
    <row r="1813" customHeight="1" spans="1:6">
      <c r="A1813" s="9" t="s">
        <v>6269</v>
      </c>
      <c r="B1813" s="200" t="s">
        <v>6270</v>
      </c>
      <c r="C1813" s="203" t="s">
        <v>6271</v>
      </c>
      <c r="D1813" s="194"/>
      <c r="E1813" s="194" t="s">
        <v>273</v>
      </c>
      <c r="F1813" s="194"/>
    </row>
    <row r="1814" customHeight="1" spans="1:6">
      <c r="A1814" s="9" t="s">
        <v>6272</v>
      </c>
      <c r="B1814" s="194" t="s">
        <v>6273</v>
      </c>
      <c r="C1814" s="264" t="s">
        <v>6274</v>
      </c>
      <c r="D1814" s="194"/>
      <c r="E1814" s="194" t="s">
        <v>202</v>
      </c>
      <c r="F1814" s="194"/>
    </row>
    <row r="1815" customHeight="1" spans="1:6">
      <c r="A1815" s="9" t="s">
        <v>6275</v>
      </c>
      <c r="B1815" s="201" t="s">
        <v>6276</v>
      </c>
      <c r="C1815" s="202" t="s">
        <v>6277</v>
      </c>
      <c r="D1815" s="154"/>
      <c r="E1815" s="154" t="s">
        <v>1395</v>
      </c>
      <c r="F1815" s="180"/>
    </row>
    <row r="1816" customHeight="1" spans="1:6">
      <c r="A1816" s="9" t="s">
        <v>6278</v>
      </c>
      <c r="B1816" s="201" t="s">
        <v>6279</v>
      </c>
      <c r="C1816" s="202" t="s">
        <v>6280</v>
      </c>
      <c r="D1816" s="154"/>
      <c r="E1816" s="154" t="s">
        <v>479</v>
      </c>
      <c r="F1816" s="180"/>
    </row>
    <row r="1817" customHeight="1" spans="1:6">
      <c r="A1817" s="9" t="s">
        <v>6281</v>
      </c>
      <c r="B1817" s="214" t="s">
        <v>6282</v>
      </c>
      <c r="C1817" s="214" t="s">
        <v>6283</v>
      </c>
      <c r="D1817" s="194"/>
      <c r="E1817" s="204" t="s">
        <v>92</v>
      </c>
      <c r="F1817" s="204"/>
    </row>
    <row r="1818" customHeight="1" spans="1:6">
      <c r="A1818" s="9" t="s">
        <v>6284</v>
      </c>
      <c r="B1818" s="195" t="s">
        <v>6285</v>
      </c>
      <c r="C1818" s="202" t="s">
        <v>6286</v>
      </c>
      <c r="D1818" s="341" t="s">
        <v>4542</v>
      </c>
      <c r="E1818" s="154" t="s">
        <v>9</v>
      </c>
      <c r="F1818" s="180"/>
    </row>
    <row r="1819" customHeight="1" spans="1:6">
      <c r="A1819" s="9" t="s">
        <v>6287</v>
      </c>
      <c r="B1819" s="153" t="s">
        <v>6288</v>
      </c>
      <c r="C1819" s="202" t="s">
        <v>6289</v>
      </c>
      <c r="D1819" s="154"/>
      <c r="E1819" s="210" t="s">
        <v>104</v>
      </c>
      <c r="F1819" s="211"/>
    </row>
    <row r="1820" customHeight="1" spans="1:6">
      <c r="A1820" s="9" t="s">
        <v>6290</v>
      </c>
      <c r="B1820" s="195" t="s">
        <v>6291</v>
      </c>
      <c r="C1820" s="202" t="s">
        <v>6292</v>
      </c>
      <c r="D1820" s="152"/>
      <c r="E1820" s="154" t="s">
        <v>232</v>
      </c>
      <c r="F1820" s="180"/>
    </row>
    <row r="1821" customHeight="1" spans="1:6">
      <c r="A1821" s="9" t="s">
        <v>6293</v>
      </c>
      <c r="B1821" s="194" t="s">
        <v>6294</v>
      </c>
      <c r="C1821" s="192" t="s">
        <v>6295</v>
      </c>
      <c r="D1821" s="194"/>
      <c r="E1821" s="194" t="s">
        <v>104</v>
      </c>
      <c r="F1821" s="194"/>
    </row>
    <row r="1822" customHeight="1" spans="1:6">
      <c r="A1822" s="9" t="s">
        <v>6296</v>
      </c>
      <c r="B1822" s="200" t="s">
        <v>6297</v>
      </c>
      <c r="C1822" s="202" t="s">
        <v>6298</v>
      </c>
      <c r="D1822" s="152"/>
      <c r="E1822" s="154" t="s">
        <v>232</v>
      </c>
      <c r="F1822" s="180"/>
    </row>
    <row r="1823" customHeight="1" spans="1:6">
      <c r="A1823" s="9" t="s">
        <v>6299</v>
      </c>
      <c r="B1823" s="201" t="s">
        <v>6300</v>
      </c>
      <c r="C1823" s="202" t="s">
        <v>6301</v>
      </c>
      <c r="D1823" s="154"/>
      <c r="E1823" s="154" t="s">
        <v>58</v>
      </c>
      <c r="F1823" s="180"/>
    </row>
    <row r="1824" customHeight="1" spans="1:6">
      <c r="A1824" s="9" t="s">
        <v>6302</v>
      </c>
      <c r="B1824" s="219" t="s">
        <v>6303</v>
      </c>
      <c r="C1824" s="219" t="s">
        <v>6304</v>
      </c>
      <c r="D1824" s="194"/>
      <c r="E1824" s="204" t="s">
        <v>92</v>
      </c>
      <c r="F1824" s="204"/>
    </row>
    <row r="1825" customHeight="1" spans="1:6">
      <c r="A1825" s="9" t="s">
        <v>6305</v>
      </c>
      <c r="B1825" s="197" t="s">
        <v>6306</v>
      </c>
      <c r="C1825" s="203" t="s">
        <v>6307</v>
      </c>
      <c r="D1825" s="197"/>
      <c r="E1825" s="197" t="s">
        <v>273</v>
      </c>
      <c r="F1825" s="197"/>
    </row>
    <row r="1826" customHeight="1" spans="1:6">
      <c r="A1826" s="9" t="s">
        <v>6308</v>
      </c>
      <c r="B1826" s="153" t="s">
        <v>6309</v>
      </c>
      <c r="C1826" s="202" t="s">
        <v>6310</v>
      </c>
      <c r="D1826" s="154"/>
      <c r="E1826" s="154" t="s">
        <v>104</v>
      </c>
      <c r="F1826" s="180"/>
    </row>
    <row r="1827" customHeight="1" spans="1:6">
      <c r="A1827" s="9" t="s">
        <v>6311</v>
      </c>
      <c r="B1827" s="195" t="s">
        <v>6312</v>
      </c>
      <c r="C1827" s="196" t="s">
        <v>6313</v>
      </c>
      <c r="D1827" s="197" t="s">
        <v>6314</v>
      </c>
      <c r="E1827" s="197" t="s">
        <v>32</v>
      </c>
      <c r="F1827" s="197"/>
    </row>
    <row r="1828" customHeight="1" spans="1:6">
      <c r="A1828" s="9" t="s">
        <v>6315</v>
      </c>
      <c r="B1828" s="201" t="s">
        <v>6316</v>
      </c>
      <c r="C1828" s="202" t="s">
        <v>6317</v>
      </c>
      <c r="D1828" s="154"/>
      <c r="E1828" s="154" t="s">
        <v>479</v>
      </c>
      <c r="F1828" s="180"/>
    </row>
    <row r="1829" customHeight="1" spans="1:6">
      <c r="A1829" s="9" t="s">
        <v>6318</v>
      </c>
      <c r="B1829" s="215" t="s">
        <v>6319</v>
      </c>
      <c r="C1829" s="205" t="s">
        <v>6320</v>
      </c>
      <c r="D1829" s="342" t="s">
        <v>6321</v>
      </c>
      <c r="E1829" s="193" t="s">
        <v>120</v>
      </c>
      <c r="F1829" s="216"/>
    </row>
    <row r="1830" customHeight="1" spans="1:6">
      <c r="A1830" s="9" t="s">
        <v>6322</v>
      </c>
      <c r="B1830" s="197" t="s">
        <v>6323</v>
      </c>
      <c r="C1830" s="213" t="s">
        <v>6324</v>
      </c>
      <c r="D1830" s="197"/>
      <c r="E1830" s="197" t="s">
        <v>186</v>
      </c>
      <c r="F1830" s="197"/>
    </row>
    <row r="1831" customHeight="1" spans="1:6">
      <c r="A1831" s="9" t="s">
        <v>6325</v>
      </c>
      <c r="B1831" s="195" t="s">
        <v>6326</v>
      </c>
      <c r="C1831" s="202" t="s">
        <v>6327</v>
      </c>
      <c r="D1831" s="152"/>
      <c r="E1831" s="154" t="s">
        <v>232</v>
      </c>
      <c r="F1831" s="180"/>
    </row>
    <row r="1832" customHeight="1" spans="1:6">
      <c r="A1832" s="9" t="s">
        <v>6328</v>
      </c>
      <c r="B1832" s="197" t="s">
        <v>6329</v>
      </c>
      <c r="C1832" s="212" t="s">
        <v>6330</v>
      </c>
      <c r="D1832" s="197"/>
      <c r="E1832" s="198" t="s">
        <v>243</v>
      </c>
      <c r="F1832" s="199"/>
    </row>
    <row r="1833" customHeight="1" spans="1:6">
      <c r="A1833" s="9" t="s">
        <v>6331</v>
      </c>
      <c r="B1833" s="153" t="s">
        <v>6332</v>
      </c>
      <c r="C1833" s="202" t="s">
        <v>6333</v>
      </c>
      <c r="D1833" s="154"/>
      <c r="E1833" s="210" t="s">
        <v>104</v>
      </c>
      <c r="F1833" s="211"/>
    </row>
    <row r="1834" customHeight="1" spans="1:6">
      <c r="A1834" s="9" t="s">
        <v>6334</v>
      </c>
      <c r="B1834" s="222" t="str">
        <f>IFERROR(__xludf.DUMMYFUNCTION("""COMPUTED_VALUE"""),"Almaz Adamu Workneh /W/t/")</f>
        <v>Almaz Adamu Workneh /W/t/</v>
      </c>
      <c r="C1834" s="222" t="str">
        <f>IFERROR(__xludf.DUMMYFUNCTION("""COMPUTED_VALUE"""),"አልማዝ አዳሙ ወርቅነህ /ወ/ት")</f>
        <v>አልማዝ አዳሙ ወርቅነህ /ወ/ት</v>
      </c>
      <c r="D1834" s="222" t="str">
        <f>IFERROR(__xludf.DUMMYFUNCTION("""COMPUTED_VALUE"""),"0911-443118")</f>
        <v>0911-443118</v>
      </c>
      <c r="E1834" s="222" t="str">
        <f>IFERROR(__xludf.DUMMYFUNCTION("""COMPUTED_VALUE"""),"addis abeba")</f>
        <v>addis abeba</v>
      </c>
      <c r="F1834" s="222" t="str">
        <f>IFERROR(__xludf.DUMMYFUNCTION("""COMPUTED_VALUE"""),"serk2003@gmail.com")</f>
        <v>serk2003@gmail.com</v>
      </c>
    </row>
    <row r="1835" customHeight="1" spans="1:6">
      <c r="A1835" s="9" t="s">
        <v>6335</v>
      </c>
      <c r="B1835" s="214" t="s">
        <v>6336</v>
      </c>
      <c r="C1835" s="214" t="s">
        <v>6337</v>
      </c>
      <c r="D1835" s="194"/>
      <c r="E1835" s="204" t="s">
        <v>92</v>
      </c>
      <c r="F1835" s="204"/>
    </row>
    <row r="1836" customHeight="1" spans="1:6">
      <c r="A1836" s="9" t="s">
        <v>6338</v>
      </c>
      <c r="B1836" s="200" t="s">
        <v>6339</v>
      </c>
      <c r="C1836" s="236" t="s">
        <v>6340</v>
      </c>
      <c r="D1836" s="194" t="s">
        <v>6341</v>
      </c>
      <c r="E1836" s="193" t="s">
        <v>216</v>
      </c>
      <c r="F1836" s="191"/>
    </row>
    <row r="1837" customHeight="1" spans="1:6">
      <c r="A1837" s="9" t="s">
        <v>6342</v>
      </c>
      <c r="B1837" s="222" t="str">
        <f>IFERROR(__xludf.DUMMYFUNCTION("""COMPUTED_VALUE"""),"Almaz Asfaw Haile")</f>
        <v>Almaz Asfaw Haile</v>
      </c>
      <c r="C1837" s="222" t="str">
        <f>IFERROR(__xludf.DUMMYFUNCTION("""COMPUTED_VALUE"""),"አልማዝ አስፋው ሀይሌ")</f>
        <v>አልማዝ አስፋው ሀይሌ</v>
      </c>
      <c r="D1837" s="222" t="str">
        <f>IFERROR(__xludf.DUMMYFUNCTION("""COMPUTED_VALUE"""),"962886811")</f>
        <v>962886811</v>
      </c>
      <c r="E1837" s="222" t="str">
        <f>IFERROR(__xludf.DUMMYFUNCTION("""COMPUTED_VALUE"""),"A/A")</f>
        <v>A/A</v>
      </c>
      <c r="F1837" s="222" t="str">
        <f>IFERROR(__xludf.DUMMYFUNCTION("""COMPUTED_VALUE"""),"ghabtu200n@gmail.com")</f>
        <v>ghabtu200n@gmail.com</v>
      </c>
    </row>
    <row r="1838" customHeight="1" spans="1:6">
      <c r="A1838" s="9" t="s">
        <v>6343</v>
      </c>
      <c r="B1838" s="222" t="str">
        <f>IFERROR(__xludf.DUMMYFUNCTION("""COMPUTED_VALUE"""),"Almaz Atnafu W/kidan")</f>
        <v>Almaz Atnafu W/kidan</v>
      </c>
      <c r="C1838" s="222" t="str">
        <f>IFERROR(__xludf.DUMMYFUNCTION("""COMPUTED_VALUE"""),"አልማዝ አጥናፉ ወ/ኪዳን")</f>
        <v>አልማዝ አጥናፉ ወ/ኪዳን</v>
      </c>
      <c r="D1838" s="222" t="str">
        <f>IFERROR(__xludf.DUMMYFUNCTION("""COMPUTED_VALUE"""),"939913729")</f>
        <v>939913729</v>
      </c>
      <c r="E1838" s="222" t="str">
        <f>IFERROR(__xludf.DUMMYFUNCTION("""COMPUTED_VALUE"""),"addis abeba")</f>
        <v>addis abeba</v>
      </c>
      <c r="F1838" s="222"/>
    </row>
    <row r="1839" customHeight="1" spans="1:6">
      <c r="A1839" s="9" t="s">
        <v>6344</v>
      </c>
      <c r="B1839" s="214" t="s">
        <v>6345</v>
      </c>
      <c r="C1839" s="214" t="s">
        <v>6346</v>
      </c>
      <c r="D1839" s="204" t="s">
        <v>6347</v>
      </c>
      <c r="E1839" s="204" t="s">
        <v>92</v>
      </c>
      <c r="F1839" s="204"/>
    </row>
    <row r="1840" customHeight="1" spans="1:6">
      <c r="A1840" s="9" t="s">
        <v>6348</v>
      </c>
      <c r="B1840" s="223" t="s">
        <v>6349</v>
      </c>
      <c r="C1840" s="223" t="s">
        <v>6350</v>
      </c>
      <c r="D1840" s="204" t="s">
        <v>6351</v>
      </c>
      <c r="E1840" s="204" t="s">
        <v>92</v>
      </c>
      <c r="F1840" s="204"/>
    </row>
    <row r="1841" customHeight="1" spans="1:6">
      <c r="A1841" s="9" t="s">
        <v>6352</v>
      </c>
      <c r="B1841" s="160" t="s">
        <v>6353</v>
      </c>
      <c r="C1841" s="160" t="s">
        <v>6354</v>
      </c>
      <c r="D1841" s="204" t="s">
        <v>6355</v>
      </c>
      <c r="E1841" s="204" t="s">
        <v>92</v>
      </c>
      <c r="F1841" s="204"/>
    </row>
    <row r="1842" customHeight="1" spans="1:6">
      <c r="A1842" s="9" t="s">
        <v>6356</v>
      </c>
      <c r="B1842" s="160" t="s">
        <v>6357</v>
      </c>
      <c r="C1842" s="160" t="s">
        <v>6358</v>
      </c>
      <c r="D1842" s="204" t="s">
        <v>6359</v>
      </c>
      <c r="E1842" s="204" t="s">
        <v>92</v>
      </c>
      <c r="F1842" s="204"/>
    </row>
    <row r="1843" customHeight="1" spans="1:6">
      <c r="A1843" s="9" t="s">
        <v>6360</v>
      </c>
      <c r="B1843" s="200" t="s">
        <v>6361</v>
      </c>
      <c r="C1843" s="202" t="s">
        <v>6362</v>
      </c>
      <c r="D1843" s="248"/>
      <c r="E1843" s="158" t="s">
        <v>243</v>
      </c>
      <c r="F1843" s="153"/>
    </row>
    <row r="1844" customHeight="1" spans="1:6">
      <c r="A1844" s="9" t="s">
        <v>6363</v>
      </c>
      <c r="B1844" s="200" t="s">
        <v>6364</v>
      </c>
      <c r="C1844" s="202" t="s">
        <v>6365</v>
      </c>
      <c r="D1844" s="152" t="s">
        <v>6366</v>
      </c>
      <c r="E1844" s="154"/>
      <c r="F1844" s="180"/>
    </row>
    <row r="1845" customHeight="1" spans="1:6">
      <c r="A1845" s="9" t="s">
        <v>6367</v>
      </c>
      <c r="B1845" s="197" t="s">
        <v>6368</v>
      </c>
      <c r="C1845" s="202" t="s">
        <v>6369</v>
      </c>
      <c r="D1845" s="158"/>
      <c r="E1845" s="158" t="s">
        <v>1218</v>
      </c>
      <c r="F1845" s="153"/>
    </row>
    <row r="1846" customHeight="1" spans="1:6">
      <c r="A1846" s="9" t="s">
        <v>6370</v>
      </c>
      <c r="B1846" s="205" t="s">
        <v>6371</v>
      </c>
      <c r="C1846" s="205" t="s">
        <v>6372</v>
      </c>
      <c r="D1846" s="206" t="s">
        <v>6373</v>
      </c>
      <c r="E1846" s="193" t="s">
        <v>120</v>
      </c>
      <c r="F1846" s="221" t="s">
        <v>6374</v>
      </c>
    </row>
    <row r="1847" customHeight="1" spans="1:6">
      <c r="A1847" s="9" t="s">
        <v>6375</v>
      </c>
      <c r="B1847" s="200" t="s">
        <v>6376</v>
      </c>
      <c r="C1847" s="202" t="s">
        <v>6377</v>
      </c>
      <c r="D1847" s="152"/>
      <c r="E1847" s="154"/>
      <c r="F1847" s="180"/>
    </row>
    <row r="1848" customHeight="1" spans="1:6">
      <c r="A1848" s="9" t="s">
        <v>6378</v>
      </c>
      <c r="B1848" s="214" t="s">
        <v>6379</v>
      </c>
      <c r="C1848" s="214" t="s">
        <v>6380</v>
      </c>
      <c r="D1848" s="194"/>
      <c r="E1848" s="204" t="s">
        <v>92</v>
      </c>
      <c r="F1848" s="204"/>
    </row>
    <row r="1849" customHeight="1" spans="1:6">
      <c r="A1849" s="9" t="s">
        <v>6381</v>
      </c>
      <c r="B1849" s="222" t="str">
        <f>IFERROR(__xludf.DUMMYFUNCTION("""COMPUTED_VALUE"""),"Almaz Kebede Awoke /WO")</f>
        <v>Almaz Kebede Awoke /WO</v>
      </c>
      <c r="C1849" s="222" t="str">
        <f>IFERROR(__xludf.DUMMYFUNCTION("""COMPUTED_VALUE"""),"አልማዝ ከበደ አወቀ /ወሮ")</f>
        <v>አልማዝ ከበደ አወቀ /ወሮ</v>
      </c>
      <c r="D1849" s="222" t="str">
        <f>IFERROR(__xludf.DUMMYFUNCTION("""COMPUTED_VALUE"""),"0912-050522")</f>
        <v>0912-050522</v>
      </c>
      <c r="E1849" s="222" t="str">
        <f>IFERROR(__xludf.DUMMYFUNCTION("""COMPUTED_VALUE"""),"Addis Ababa")</f>
        <v>Addis Ababa</v>
      </c>
      <c r="F1849" s="222" t="str">
        <f>IFERROR(__xludf.DUMMYFUNCTION("""COMPUTED_VALUE"""),"coolerbz@gmail.com")</f>
        <v>coolerbz@gmail.com</v>
      </c>
    </row>
    <row r="1850" customHeight="1" spans="1:6">
      <c r="A1850" s="9" t="s">
        <v>6382</v>
      </c>
      <c r="B1850" s="160" t="s">
        <v>6383</v>
      </c>
      <c r="C1850" s="160" t="s">
        <v>6384</v>
      </c>
      <c r="D1850" s="194"/>
      <c r="E1850" s="204" t="s">
        <v>92</v>
      </c>
      <c r="F1850" s="204"/>
    </row>
    <row r="1851" customHeight="1" spans="1:6">
      <c r="A1851" s="9" t="s">
        <v>6385</v>
      </c>
      <c r="B1851" s="214" t="s">
        <v>6386</v>
      </c>
      <c r="C1851" s="214" t="s">
        <v>6387</v>
      </c>
      <c r="D1851" s="194"/>
      <c r="E1851" s="204" t="s">
        <v>92</v>
      </c>
      <c r="F1851" s="204"/>
    </row>
    <row r="1852" customHeight="1" spans="1:6">
      <c r="A1852" s="9" t="s">
        <v>6388</v>
      </c>
      <c r="B1852" s="205" t="s">
        <v>6389</v>
      </c>
      <c r="C1852" s="205" t="s">
        <v>6390</v>
      </c>
      <c r="D1852" s="206" t="s">
        <v>6391</v>
      </c>
      <c r="E1852" s="193" t="s">
        <v>120</v>
      </c>
      <c r="F1852" s="221" t="s">
        <v>6392</v>
      </c>
    </row>
    <row r="1853" customHeight="1" spans="1:6">
      <c r="A1853" s="9" t="s">
        <v>6393</v>
      </c>
      <c r="B1853" s="214" t="s">
        <v>6394</v>
      </c>
      <c r="C1853" s="214" t="s">
        <v>6395</v>
      </c>
      <c r="D1853" s="194"/>
      <c r="E1853" s="204" t="s">
        <v>92</v>
      </c>
      <c r="F1853" s="204"/>
    </row>
    <row r="1854" customHeight="1" spans="1:6">
      <c r="A1854" s="9" t="s">
        <v>6396</v>
      </c>
      <c r="B1854" s="162" t="s">
        <v>6397</v>
      </c>
      <c r="C1854" s="205" t="s">
        <v>6398</v>
      </c>
      <c r="D1854" s="342" t="s">
        <v>6399</v>
      </c>
      <c r="E1854" s="193" t="s">
        <v>120</v>
      </c>
      <c r="F1854" s="216" t="s">
        <v>6400</v>
      </c>
    </row>
    <row r="1855" customHeight="1" spans="1:6">
      <c r="A1855" s="9" t="s">
        <v>6401</v>
      </c>
      <c r="B1855" s="153" t="s">
        <v>6402</v>
      </c>
      <c r="C1855" s="202" t="s">
        <v>6403</v>
      </c>
      <c r="D1855" s="154"/>
      <c r="E1855" s="154" t="s">
        <v>181</v>
      </c>
      <c r="F1855" s="180"/>
    </row>
    <row r="1856" customHeight="1" spans="1:6">
      <c r="A1856" s="9" t="s">
        <v>6404</v>
      </c>
      <c r="B1856" s="180" t="s">
        <v>6405</v>
      </c>
      <c r="C1856" s="243" t="s">
        <v>6406</v>
      </c>
      <c r="D1856" s="154"/>
      <c r="E1856" s="158" t="s">
        <v>968</v>
      </c>
      <c r="F1856" s="153"/>
    </row>
    <row r="1857" customHeight="1" spans="1:6">
      <c r="A1857" s="9" t="s">
        <v>6407</v>
      </c>
      <c r="B1857" s="215" t="s">
        <v>6408</v>
      </c>
      <c r="C1857" s="205" t="s">
        <v>6409</v>
      </c>
      <c r="D1857" s="244" t="s">
        <v>6410</v>
      </c>
      <c r="E1857" s="26" t="s">
        <v>92</v>
      </c>
      <c r="F1857" s="26"/>
    </row>
    <row r="1858" customHeight="1" spans="1:6">
      <c r="A1858" s="9" t="s">
        <v>6411</v>
      </c>
      <c r="B1858" s="233" t="s">
        <v>6412</v>
      </c>
      <c r="C1858" s="233" t="s">
        <v>6413</v>
      </c>
      <c r="D1858" s="204" t="s">
        <v>6414</v>
      </c>
      <c r="E1858" s="204" t="s">
        <v>605</v>
      </c>
      <c r="F1858" s="204" t="s">
        <v>6415</v>
      </c>
    </row>
    <row r="1859" customHeight="1" spans="1:6">
      <c r="A1859" s="9" t="s">
        <v>6416</v>
      </c>
      <c r="B1859" s="214" t="s">
        <v>6417</v>
      </c>
      <c r="C1859" s="214" t="s">
        <v>6418</v>
      </c>
      <c r="D1859" s="204">
        <v>904147863</v>
      </c>
      <c r="E1859" s="204" t="s">
        <v>92</v>
      </c>
      <c r="F1859" s="204"/>
    </row>
    <row r="1860" customHeight="1" spans="1:6">
      <c r="A1860" s="9" t="s">
        <v>6419</v>
      </c>
      <c r="B1860" s="223" t="s">
        <v>6420</v>
      </c>
      <c r="C1860" s="223" t="s">
        <v>6421</v>
      </c>
      <c r="D1860" s="204" t="s">
        <v>6422</v>
      </c>
      <c r="E1860" s="204" t="s">
        <v>92</v>
      </c>
      <c r="F1860" s="204"/>
    </row>
    <row r="1861" customHeight="1" spans="1:6">
      <c r="A1861" s="9" t="s">
        <v>6423</v>
      </c>
      <c r="B1861" s="276" t="str">
        <f>IFERROR(__xludf.DUMMYFUNCTION("""COMPUTED_VALUE"""),"Almaz Teshome Woldemariam")</f>
        <v>Almaz Teshome Woldemariam</v>
      </c>
      <c r="C1861" s="276" t="str">
        <f>IFERROR(__xludf.DUMMYFUNCTION("""COMPUTED_VALUE"""),"አልማዝ ተሾመ ወልደማሪም")</f>
        <v>አልማዝ ተሾመ ወልደማሪም</v>
      </c>
      <c r="D1861" s="276" t="str">
        <f>IFERROR(__xludf.DUMMYFUNCTION("""COMPUTED_VALUE"""),"0910-106342")</f>
        <v>0910-106342</v>
      </c>
      <c r="E1861" s="276" t="str">
        <f>IFERROR(__xludf.DUMMYFUNCTION("""COMPUTED_VALUE"""),"Addis Ababa")</f>
        <v>Addis Ababa</v>
      </c>
      <c r="F1861" s="276"/>
    </row>
    <row r="1862" customHeight="1" spans="1:6">
      <c r="A1862" s="9" t="s">
        <v>6424</v>
      </c>
      <c r="B1862" s="200" t="s">
        <v>6425</v>
      </c>
      <c r="C1862" s="202" t="s">
        <v>6426</v>
      </c>
      <c r="D1862" s="154" t="s">
        <v>6427</v>
      </c>
      <c r="E1862" s="154" t="s">
        <v>181</v>
      </c>
      <c r="F1862" s="180"/>
    </row>
    <row r="1863" customHeight="1" spans="1:6">
      <c r="A1863" s="9" t="s">
        <v>6428</v>
      </c>
      <c r="B1863" s="223" t="s">
        <v>6429</v>
      </c>
      <c r="C1863" s="223" t="s">
        <v>6430</v>
      </c>
      <c r="D1863" s="204" t="s">
        <v>6431</v>
      </c>
      <c r="E1863" s="204" t="s">
        <v>92</v>
      </c>
      <c r="F1863" s="204"/>
    </row>
    <row r="1864" customHeight="1" spans="1:6">
      <c r="A1864" s="9" t="s">
        <v>6432</v>
      </c>
      <c r="B1864" s="223" t="s">
        <v>6433</v>
      </c>
      <c r="C1864" s="223" t="s">
        <v>6434</v>
      </c>
      <c r="D1864" s="204" t="s">
        <v>6435</v>
      </c>
      <c r="E1864" s="173"/>
      <c r="F1864" s="234" t="s">
        <v>6436</v>
      </c>
    </row>
    <row r="1865" customHeight="1" spans="1:6">
      <c r="A1865" s="9" t="s">
        <v>6437</v>
      </c>
      <c r="B1865" s="160" t="s">
        <v>6438</v>
      </c>
      <c r="C1865" s="160" t="s">
        <v>6439</v>
      </c>
      <c r="D1865" s="204" t="s">
        <v>6440</v>
      </c>
      <c r="E1865" s="204" t="s">
        <v>92</v>
      </c>
      <c r="F1865" s="204"/>
    </row>
    <row r="1866" customHeight="1" spans="1:6">
      <c r="A1866" s="9" t="s">
        <v>6441</v>
      </c>
      <c r="B1866" s="160" t="s">
        <v>6442</v>
      </c>
      <c r="C1866" s="160" t="s">
        <v>6443</v>
      </c>
      <c r="D1866" s="204" t="s">
        <v>6444</v>
      </c>
      <c r="E1866" s="204" t="s">
        <v>92</v>
      </c>
      <c r="F1866" s="204"/>
    </row>
    <row r="1867" customHeight="1" spans="1:6">
      <c r="A1867" s="9" t="s">
        <v>6445</v>
      </c>
      <c r="B1867" s="214" t="s">
        <v>6446</v>
      </c>
      <c r="C1867" s="214" t="s">
        <v>6447</v>
      </c>
      <c r="D1867" s="194"/>
      <c r="E1867" s="204" t="s">
        <v>92</v>
      </c>
      <c r="F1867" s="204"/>
    </row>
    <row r="1868" customHeight="1" spans="1:6">
      <c r="A1868" s="9" t="s">
        <v>6448</v>
      </c>
      <c r="B1868" s="205" t="s">
        <v>6449</v>
      </c>
      <c r="C1868" s="205" t="s">
        <v>6450</v>
      </c>
      <c r="D1868" s="206" t="s">
        <v>6451</v>
      </c>
      <c r="E1868" s="193" t="s">
        <v>120</v>
      </c>
      <c r="F1868" s="300"/>
    </row>
    <row r="1869" customHeight="1" spans="1:6">
      <c r="A1869" s="9" t="s">
        <v>6452</v>
      </c>
      <c r="B1869" s="200" t="s">
        <v>6453</v>
      </c>
      <c r="C1869" s="202" t="s">
        <v>6454</v>
      </c>
      <c r="D1869" s="152"/>
      <c r="E1869" s="154" t="s">
        <v>181</v>
      </c>
      <c r="F1869" s="180"/>
    </row>
    <row r="1870" customHeight="1" spans="1:6">
      <c r="A1870" s="9" t="s">
        <v>6455</v>
      </c>
      <c r="B1870" s="233" t="s">
        <v>6456</v>
      </c>
      <c r="C1870" s="233" t="s">
        <v>6457</v>
      </c>
      <c r="D1870" s="204" t="s">
        <v>6458</v>
      </c>
      <c r="E1870" s="204" t="s">
        <v>605</v>
      </c>
      <c r="F1870" s="204" t="s">
        <v>6459</v>
      </c>
    </row>
    <row r="1871" customHeight="1" spans="1:6">
      <c r="A1871" s="9" t="s">
        <v>6460</v>
      </c>
      <c r="B1871" s="194" t="s">
        <v>6461</v>
      </c>
      <c r="C1871" s="192" t="s">
        <v>6462</v>
      </c>
      <c r="D1871" s="194" t="s">
        <v>6463</v>
      </c>
      <c r="E1871" s="194" t="s">
        <v>243</v>
      </c>
      <c r="F1871" s="194"/>
    </row>
    <row r="1872" customHeight="1" spans="1:6">
      <c r="A1872" s="9" t="s">
        <v>6464</v>
      </c>
      <c r="B1872" s="222" t="str">
        <f>IFERROR(__xludf.DUMMYFUNCTION("""COMPUTED_VALUE"""),"Alula G/egziabhier Gesfahun (ato) and/or amanuel G/ Egziabiher")</f>
        <v>Alula G/egziabhier Gesfahun (ato) and/or amanuel G/ Egziabiher</v>
      </c>
      <c r="C1872" s="222" t="str">
        <f>IFERROR(__xludf.DUMMYFUNCTION("""COMPUTED_VALUE"""),"አቶ/ አሉላ ገ/እግዚአብሄር ተስፋሁን እና/ወይም አማኑኤል  ገ/እግዚአብሄር")</f>
        <v>አቶ/ አሉላ ገ/እግዚአብሄር ተስፋሁን እና/ወይም አማኑኤል  ገ/እግዚአብሄር</v>
      </c>
      <c r="D1872" s="222" t="str">
        <f>IFERROR(__xludf.DUMMYFUNCTION("""COMPUTED_VALUE"""),"911453737")</f>
        <v>911453737</v>
      </c>
      <c r="E1872" s="222" t="str">
        <f>IFERROR(__xludf.DUMMYFUNCTION("""COMPUTED_VALUE"""),"america")</f>
        <v>america</v>
      </c>
      <c r="F1872" s="222" t="str">
        <f>IFERROR(__xludf.DUMMYFUNCTION("""COMPUTED_VALUE"""),"amanueg@yahoo.com")</f>
        <v>amanueg@yahoo.com</v>
      </c>
    </row>
    <row r="1873" customHeight="1" spans="1:6">
      <c r="A1873" s="9" t="s">
        <v>6465</v>
      </c>
      <c r="B1873" s="223" t="s">
        <v>6466</v>
      </c>
      <c r="C1873" s="223" t="s">
        <v>6467</v>
      </c>
      <c r="D1873" s="204" t="s">
        <v>6468</v>
      </c>
      <c r="E1873" s="204" t="s">
        <v>92</v>
      </c>
      <c r="F1873" s="204"/>
    </row>
    <row r="1874" customHeight="1" spans="1:6">
      <c r="A1874" s="9" t="s">
        <v>6469</v>
      </c>
      <c r="B1874" s="201" t="s">
        <v>6470</v>
      </c>
      <c r="C1874" s="202" t="s">
        <v>6471</v>
      </c>
      <c r="D1874" s="154" t="s">
        <v>6472</v>
      </c>
      <c r="E1874" s="154" t="s">
        <v>243</v>
      </c>
      <c r="F1874" s="180"/>
    </row>
    <row r="1875" customHeight="1" spans="1:6">
      <c r="A1875" s="9" t="s">
        <v>6473</v>
      </c>
      <c r="B1875" s="201" t="s">
        <v>6474</v>
      </c>
      <c r="C1875" s="202" t="s">
        <v>6475</v>
      </c>
      <c r="D1875" s="154" t="s">
        <v>6476</v>
      </c>
      <c r="E1875" s="154" t="s">
        <v>243</v>
      </c>
      <c r="F1875" s="180"/>
    </row>
    <row r="1876" customHeight="1" spans="1:6">
      <c r="A1876" s="9" t="s">
        <v>6477</v>
      </c>
      <c r="B1876" s="219" t="s">
        <v>6478</v>
      </c>
      <c r="C1876" s="219" t="s">
        <v>6479</v>
      </c>
      <c r="D1876" s="194"/>
      <c r="E1876" s="204" t="s">
        <v>92</v>
      </c>
      <c r="F1876" s="204"/>
    </row>
    <row r="1877" customHeight="1" spans="1:6">
      <c r="A1877" s="9" t="s">
        <v>6480</v>
      </c>
      <c r="B1877" s="215" t="s">
        <v>6481</v>
      </c>
      <c r="C1877" s="205" t="s">
        <v>5102</v>
      </c>
      <c r="D1877" s="244" t="s">
        <v>5103</v>
      </c>
      <c r="E1877" s="26" t="s">
        <v>92</v>
      </c>
      <c r="F1877" s="26"/>
    </row>
    <row r="1878" customHeight="1" spans="1:6">
      <c r="A1878" s="9" t="s">
        <v>6482</v>
      </c>
      <c r="B1878" s="195" t="s">
        <v>6483</v>
      </c>
      <c r="C1878" s="202" t="s">
        <v>6484</v>
      </c>
      <c r="D1878" s="158"/>
      <c r="E1878" s="154" t="s">
        <v>243</v>
      </c>
      <c r="F1878" s="180"/>
    </row>
    <row r="1879" customHeight="1" spans="1:6">
      <c r="A1879" s="9" t="s">
        <v>6485</v>
      </c>
      <c r="B1879" s="195" t="s">
        <v>6486</v>
      </c>
      <c r="C1879" s="196" t="s">
        <v>6487</v>
      </c>
      <c r="D1879" s="197" t="s">
        <v>6488</v>
      </c>
      <c r="E1879" s="197" t="s">
        <v>169</v>
      </c>
      <c r="F1879" s="197"/>
    </row>
    <row r="1880" customHeight="1" spans="1:6">
      <c r="A1880" s="9" t="s">
        <v>6489</v>
      </c>
      <c r="B1880" s="200" t="s">
        <v>6490</v>
      </c>
      <c r="C1880" s="202" t="s">
        <v>6491</v>
      </c>
      <c r="D1880" s="152"/>
      <c r="E1880" s="154"/>
      <c r="F1880" s="180"/>
    </row>
    <row r="1881" customHeight="1" spans="1:6">
      <c r="A1881" s="9" t="s">
        <v>6492</v>
      </c>
      <c r="B1881" s="195" t="s">
        <v>6493</v>
      </c>
      <c r="C1881" s="212" t="s">
        <v>6494</v>
      </c>
      <c r="D1881" s="197"/>
      <c r="E1881" s="198" t="s">
        <v>436</v>
      </c>
      <c r="F1881" s="199"/>
    </row>
    <row r="1882" customHeight="1" spans="1:6">
      <c r="A1882" s="9" t="s">
        <v>6495</v>
      </c>
      <c r="B1882" s="201" t="s">
        <v>6496</v>
      </c>
      <c r="C1882" s="202" t="s">
        <v>6497</v>
      </c>
      <c r="D1882" s="154" t="s">
        <v>6498</v>
      </c>
      <c r="E1882" s="154" t="s">
        <v>243</v>
      </c>
      <c r="F1882" s="180"/>
    </row>
    <row r="1883" customHeight="1" spans="1:6">
      <c r="A1883" s="9" t="s">
        <v>6499</v>
      </c>
      <c r="B1883" s="194" t="s">
        <v>6500</v>
      </c>
      <c r="C1883" s="202" t="s">
        <v>6497</v>
      </c>
      <c r="D1883" s="158">
        <v>934767210</v>
      </c>
      <c r="E1883" s="158" t="s">
        <v>1218</v>
      </c>
      <c r="F1883" s="153"/>
    </row>
    <row r="1884" customHeight="1" spans="1:6">
      <c r="A1884" s="9" t="s">
        <v>6501</v>
      </c>
      <c r="B1884" s="201" t="s">
        <v>6502</v>
      </c>
      <c r="C1884" s="202" t="s">
        <v>6503</v>
      </c>
      <c r="D1884" s="154" t="s">
        <v>6504</v>
      </c>
      <c r="E1884" s="154" t="s">
        <v>243</v>
      </c>
      <c r="F1884" s="180"/>
    </row>
    <row r="1885" customHeight="1" spans="1:6">
      <c r="A1885" s="9" t="s">
        <v>6505</v>
      </c>
      <c r="B1885" s="200" t="s">
        <v>6506</v>
      </c>
      <c r="C1885" s="202" t="s">
        <v>6507</v>
      </c>
      <c r="D1885" s="154" t="s">
        <v>6508</v>
      </c>
      <c r="E1885" s="154" t="s">
        <v>181</v>
      </c>
      <c r="F1885" s="180"/>
    </row>
    <row r="1886" customHeight="1" spans="1:6">
      <c r="A1886" s="9" t="s">
        <v>6509</v>
      </c>
      <c r="B1886" s="260" t="s">
        <v>6510</v>
      </c>
      <c r="C1886" s="243" t="s">
        <v>6511</v>
      </c>
      <c r="D1886" s="154">
        <v>916739700</v>
      </c>
      <c r="E1886" s="158" t="s">
        <v>243</v>
      </c>
      <c r="F1886" s="153"/>
    </row>
    <row r="1887" customHeight="1" spans="1:6">
      <c r="A1887" s="9" t="s">
        <v>6512</v>
      </c>
      <c r="B1887" s="195" t="s">
        <v>6513</v>
      </c>
      <c r="C1887" s="202" t="s">
        <v>6514</v>
      </c>
      <c r="D1887" s="158" t="s">
        <v>6515</v>
      </c>
      <c r="E1887" s="154" t="s">
        <v>186</v>
      </c>
      <c r="F1887" s="180"/>
    </row>
    <row r="1888" customHeight="1" spans="1:6">
      <c r="A1888" s="9" t="s">
        <v>6516</v>
      </c>
      <c r="B1888" s="153" t="s">
        <v>6517</v>
      </c>
      <c r="C1888" s="202" t="s">
        <v>6518</v>
      </c>
      <c r="D1888" s="154">
        <v>980147257</v>
      </c>
      <c r="E1888" s="154" t="s">
        <v>310</v>
      </c>
      <c r="F1888" s="153"/>
    </row>
    <row r="1889" customHeight="1" spans="1:6">
      <c r="A1889" s="9" t="s">
        <v>6519</v>
      </c>
      <c r="B1889" s="201" t="s">
        <v>6520</v>
      </c>
      <c r="C1889" s="202" t="s">
        <v>6521</v>
      </c>
      <c r="D1889" s="154"/>
      <c r="E1889" s="154" t="s">
        <v>243</v>
      </c>
      <c r="F1889" s="180"/>
    </row>
    <row r="1890" customHeight="1" spans="1:6">
      <c r="A1890" s="9" t="s">
        <v>6522</v>
      </c>
      <c r="B1890" s="214" t="s">
        <v>6523</v>
      </c>
      <c r="C1890" s="214" t="s">
        <v>6524</v>
      </c>
      <c r="D1890" s="194"/>
      <c r="E1890" s="204" t="s">
        <v>92</v>
      </c>
      <c r="F1890" s="204"/>
    </row>
    <row r="1891" customHeight="1" spans="1:6">
      <c r="A1891" s="9" t="s">
        <v>6525</v>
      </c>
      <c r="B1891" s="195" t="s">
        <v>6526</v>
      </c>
      <c r="C1891" s="202" t="s">
        <v>6527</v>
      </c>
      <c r="D1891" s="152" t="s">
        <v>6528</v>
      </c>
      <c r="E1891" s="154" t="s">
        <v>9</v>
      </c>
      <c r="F1891" s="180"/>
    </row>
    <row r="1892" customHeight="1" spans="1:6">
      <c r="A1892" s="9" t="s">
        <v>6529</v>
      </c>
      <c r="B1892" s="201" t="s">
        <v>6530</v>
      </c>
      <c r="C1892" s="202" t="s">
        <v>6531</v>
      </c>
      <c r="D1892" s="154" t="s">
        <v>6532</v>
      </c>
      <c r="E1892" s="154" t="s">
        <v>479</v>
      </c>
      <c r="F1892" s="180"/>
    </row>
    <row r="1893" customHeight="1" spans="1:6">
      <c r="A1893" s="9" t="s">
        <v>6533</v>
      </c>
      <c r="B1893" s="201" t="s">
        <v>6534</v>
      </c>
      <c r="C1893" s="202" t="s">
        <v>6535</v>
      </c>
      <c r="D1893" s="154" t="s">
        <v>6536</v>
      </c>
      <c r="E1893" s="154" t="s">
        <v>243</v>
      </c>
      <c r="F1893" s="180"/>
    </row>
    <row r="1894" customHeight="1" spans="1:6">
      <c r="A1894" s="9" t="s">
        <v>6537</v>
      </c>
      <c r="B1894" s="195" t="s">
        <v>6538</v>
      </c>
      <c r="C1894" s="301" t="s">
        <v>6539</v>
      </c>
      <c r="D1894" s="197"/>
      <c r="E1894" s="197" t="s">
        <v>243</v>
      </c>
      <c r="F1894" s="197"/>
    </row>
    <row r="1895" customHeight="1" spans="1:6">
      <c r="A1895" s="9" t="s">
        <v>6540</v>
      </c>
      <c r="B1895" s="201" t="s">
        <v>6541</v>
      </c>
      <c r="C1895" s="202" t="s">
        <v>6542</v>
      </c>
      <c r="D1895" s="154"/>
      <c r="E1895" s="154" t="s">
        <v>479</v>
      </c>
      <c r="F1895" s="180"/>
    </row>
    <row r="1896" customHeight="1" spans="1:6">
      <c r="A1896" s="9" t="s">
        <v>6543</v>
      </c>
      <c r="B1896" s="200" t="s">
        <v>6544</v>
      </c>
      <c r="C1896" s="192" t="s">
        <v>6545</v>
      </c>
      <c r="D1896" s="194" t="s">
        <v>6546</v>
      </c>
      <c r="E1896" s="194" t="s">
        <v>243</v>
      </c>
      <c r="F1896" s="194"/>
    </row>
    <row r="1897" customHeight="1" spans="1:6">
      <c r="A1897" s="9" t="s">
        <v>6547</v>
      </c>
      <c r="B1897" s="222" t="str">
        <f>IFERROR(__xludf.DUMMYFUNCTION("""COMPUTED_VALUE"""),"Amanu Leyaw")</f>
        <v>Amanu Leyaw</v>
      </c>
      <c r="C1897" s="222" t="str">
        <f>IFERROR(__xludf.DUMMYFUNCTION("""COMPUTED_VALUE"""),"አማኑ ልየው")</f>
        <v>አማኑ ልየው</v>
      </c>
      <c r="D1897" s="222" t="str">
        <f>IFERROR(__xludf.DUMMYFUNCTION("""COMPUTED_VALUE"""),"911620076")</f>
        <v>911620076</v>
      </c>
      <c r="E1897" s="222" t="str">
        <f>IFERROR(__xludf.DUMMYFUNCTION("""COMPUTED_VALUE"""),"Addis Ababa")</f>
        <v>Addis Ababa</v>
      </c>
      <c r="F1897" s="222"/>
    </row>
    <row r="1898" customHeight="1" spans="1:6">
      <c r="A1898" s="9" t="s">
        <v>6548</v>
      </c>
      <c r="B1898" s="195" t="s">
        <v>6549</v>
      </c>
      <c r="C1898" s="213" t="s">
        <v>6550</v>
      </c>
      <c r="D1898" s="197"/>
      <c r="E1898" s="197" t="s">
        <v>186</v>
      </c>
      <c r="F1898" s="197"/>
    </row>
    <row r="1899" customHeight="1" spans="1:6">
      <c r="A1899" s="9" t="s">
        <v>6551</v>
      </c>
      <c r="B1899" s="200" t="s">
        <v>6552</v>
      </c>
      <c r="C1899" s="246" t="s">
        <v>6553</v>
      </c>
      <c r="D1899" s="194" t="s">
        <v>6554</v>
      </c>
      <c r="E1899" s="194" t="s">
        <v>186</v>
      </c>
      <c r="F1899" s="194"/>
    </row>
    <row r="1900" customHeight="1" spans="1:6">
      <c r="A1900" s="9" t="s">
        <v>6555</v>
      </c>
      <c r="B1900" s="195" t="s">
        <v>6556</v>
      </c>
      <c r="C1900" s="202" t="s">
        <v>6557</v>
      </c>
      <c r="D1900" s="152" t="s">
        <v>6558</v>
      </c>
      <c r="E1900" s="154" t="s">
        <v>181</v>
      </c>
      <c r="F1900" s="180"/>
    </row>
    <row r="1901" customHeight="1" spans="1:6">
      <c r="A1901" s="9" t="s">
        <v>6559</v>
      </c>
      <c r="B1901" s="195" t="s">
        <v>6560</v>
      </c>
      <c r="C1901" s="213" t="s">
        <v>6561</v>
      </c>
      <c r="D1901" s="197" t="s">
        <v>6562</v>
      </c>
      <c r="E1901" s="197" t="s">
        <v>186</v>
      </c>
      <c r="F1901" s="197"/>
    </row>
    <row r="1902" customHeight="1" spans="1:6">
      <c r="A1902" s="9" t="s">
        <v>6563</v>
      </c>
      <c r="B1902" s="214" t="s">
        <v>6564</v>
      </c>
      <c r="C1902" s="214" t="s">
        <v>6565</v>
      </c>
      <c r="D1902" s="194"/>
      <c r="E1902" s="204" t="s">
        <v>92</v>
      </c>
      <c r="F1902" s="204"/>
    </row>
    <row r="1903" customHeight="1" spans="1:6">
      <c r="A1903" s="9" t="s">
        <v>6566</v>
      </c>
      <c r="B1903" s="214" t="s">
        <v>6567</v>
      </c>
      <c r="C1903" s="214" t="s">
        <v>6568</v>
      </c>
      <c r="D1903" s="194"/>
      <c r="E1903" s="204" t="s">
        <v>92</v>
      </c>
      <c r="F1903" s="204"/>
    </row>
    <row r="1904" customHeight="1" spans="1:6">
      <c r="A1904" s="9" t="s">
        <v>6569</v>
      </c>
      <c r="B1904" s="195" t="s">
        <v>6570</v>
      </c>
      <c r="C1904" s="202" t="s">
        <v>6571</v>
      </c>
      <c r="D1904" s="152" t="s">
        <v>6572</v>
      </c>
      <c r="E1904" s="154" t="s">
        <v>181</v>
      </c>
      <c r="F1904" s="180"/>
    </row>
    <row r="1905" customHeight="1" spans="1:6">
      <c r="A1905" s="9" t="s">
        <v>6573</v>
      </c>
      <c r="B1905" s="200" t="s">
        <v>6574</v>
      </c>
      <c r="C1905" s="202" t="s">
        <v>6575</v>
      </c>
      <c r="D1905" s="152"/>
      <c r="E1905" s="154" t="s">
        <v>181</v>
      </c>
      <c r="F1905" s="180"/>
    </row>
    <row r="1906" customHeight="1" spans="1:6">
      <c r="A1906" s="9" t="s">
        <v>6576</v>
      </c>
      <c r="B1906" s="219" t="s">
        <v>6577</v>
      </c>
      <c r="C1906" s="219" t="s">
        <v>6578</v>
      </c>
      <c r="D1906" s="194"/>
      <c r="E1906" s="204" t="s">
        <v>92</v>
      </c>
      <c r="F1906" s="204"/>
    </row>
    <row r="1907" customHeight="1" spans="1:6">
      <c r="A1907" s="9" t="s">
        <v>6579</v>
      </c>
      <c r="B1907" s="204" t="s">
        <v>6580</v>
      </c>
      <c r="C1907" s="204" t="s">
        <v>6581</v>
      </c>
      <c r="D1907" s="194"/>
      <c r="E1907" s="204" t="s">
        <v>92</v>
      </c>
      <c r="F1907" s="204"/>
    </row>
    <row r="1908" customHeight="1" spans="1:6">
      <c r="A1908" s="9" t="s">
        <v>6582</v>
      </c>
      <c r="B1908" s="200" t="s">
        <v>6583</v>
      </c>
      <c r="C1908" s="202" t="s">
        <v>6584</v>
      </c>
      <c r="D1908" s="152" t="s">
        <v>6585</v>
      </c>
      <c r="E1908" s="154" t="s">
        <v>181</v>
      </c>
      <c r="F1908" s="180"/>
    </row>
    <row r="1909" customHeight="1" spans="1:6">
      <c r="A1909" s="9" t="s">
        <v>6586</v>
      </c>
      <c r="B1909" s="200" t="s">
        <v>6587</v>
      </c>
      <c r="C1909" s="202" t="s">
        <v>6588</v>
      </c>
      <c r="D1909" s="154">
        <v>932915682</v>
      </c>
      <c r="E1909" s="154" t="s">
        <v>104</v>
      </c>
      <c r="F1909" s="180"/>
    </row>
    <row r="1910" customHeight="1" spans="1:6">
      <c r="A1910" s="9" t="s">
        <v>6589</v>
      </c>
      <c r="B1910" s="204" t="s">
        <v>6590</v>
      </c>
      <c r="C1910" s="204" t="s">
        <v>6591</v>
      </c>
      <c r="D1910" s="194"/>
      <c r="E1910" s="204" t="s">
        <v>92</v>
      </c>
      <c r="F1910" s="204"/>
    </row>
    <row r="1911" customHeight="1" spans="1:6">
      <c r="A1911" s="9" t="s">
        <v>6592</v>
      </c>
      <c r="B1911" s="200" t="s">
        <v>6593</v>
      </c>
      <c r="C1911" s="202" t="s">
        <v>6594</v>
      </c>
      <c r="D1911" s="154"/>
      <c r="E1911" s="154" t="s">
        <v>104</v>
      </c>
      <c r="F1911" s="180"/>
    </row>
    <row r="1912" customHeight="1" spans="1:6">
      <c r="A1912" s="9" t="s">
        <v>6595</v>
      </c>
      <c r="B1912" s="219" t="s">
        <v>6596</v>
      </c>
      <c r="C1912" s="219" t="s">
        <v>6597</v>
      </c>
      <c r="D1912" s="194"/>
      <c r="E1912" s="204" t="s">
        <v>92</v>
      </c>
      <c r="F1912" s="204"/>
    </row>
    <row r="1913" customHeight="1" spans="1:6">
      <c r="A1913" s="9" t="s">
        <v>6598</v>
      </c>
      <c r="B1913" s="153" t="s">
        <v>6599</v>
      </c>
      <c r="C1913" s="202" t="s">
        <v>6600</v>
      </c>
      <c r="D1913" s="154"/>
      <c r="E1913" s="154" t="s">
        <v>211</v>
      </c>
      <c r="F1913" s="153"/>
    </row>
    <row r="1914" customHeight="1" spans="1:6">
      <c r="A1914" s="9" t="s">
        <v>6601</v>
      </c>
      <c r="B1914" s="201" t="s">
        <v>6602</v>
      </c>
      <c r="C1914" s="202" t="s">
        <v>6603</v>
      </c>
      <c r="D1914" s="154" t="s">
        <v>6604</v>
      </c>
      <c r="E1914" s="154"/>
      <c r="F1914" s="180"/>
    </row>
    <row r="1915" customHeight="1" spans="1:6">
      <c r="A1915" s="9" t="s">
        <v>6605</v>
      </c>
      <c r="B1915" s="201" t="s">
        <v>6606</v>
      </c>
      <c r="C1915" s="202" t="s">
        <v>6607</v>
      </c>
      <c r="D1915" s="154" t="s">
        <v>6608</v>
      </c>
      <c r="E1915" s="154" t="s">
        <v>186</v>
      </c>
      <c r="F1915" s="180"/>
    </row>
    <row r="1916" customHeight="1" spans="1:6">
      <c r="A1916" s="9" t="s">
        <v>6609</v>
      </c>
      <c r="B1916" s="158" t="s">
        <v>6610</v>
      </c>
      <c r="C1916" s="202" t="s">
        <v>6611</v>
      </c>
      <c r="D1916" s="158">
        <v>910040032</v>
      </c>
      <c r="E1916" s="154" t="s">
        <v>243</v>
      </c>
      <c r="F1916" s="180"/>
    </row>
    <row r="1917" customHeight="1" spans="1:6">
      <c r="A1917" s="9" t="s">
        <v>6612</v>
      </c>
      <c r="B1917" s="223" t="s">
        <v>6613</v>
      </c>
      <c r="C1917" s="223" t="s">
        <v>6614</v>
      </c>
      <c r="D1917" s="204" t="s">
        <v>6615</v>
      </c>
      <c r="E1917" s="204" t="s">
        <v>92</v>
      </c>
      <c r="F1917" s="204"/>
    </row>
    <row r="1918" customHeight="1" spans="1:6">
      <c r="A1918" s="9" t="s">
        <v>6616</v>
      </c>
      <c r="B1918" s="200" t="s">
        <v>6617</v>
      </c>
      <c r="C1918" s="192" t="s">
        <v>6618</v>
      </c>
      <c r="D1918" s="194"/>
      <c r="E1918" s="194" t="s">
        <v>186</v>
      </c>
      <c r="F1918" s="194"/>
    </row>
    <row r="1919" customHeight="1" spans="1:6">
      <c r="A1919" s="9" t="s">
        <v>6619</v>
      </c>
      <c r="B1919" s="260" t="s">
        <v>6620</v>
      </c>
      <c r="C1919" s="243" t="s">
        <v>6621</v>
      </c>
      <c r="D1919" s="154"/>
      <c r="E1919" s="158" t="s">
        <v>243</v>
      </c>
      <c r="F1919" s="153"/>
    </row>
    <row r="1920" customHeight="1" spans="1:6">
      <c r="A1920" s="9" t="s">
        <v>6622</v>
      </c>
      <c r="B1920" s="201" t="s">
        <v>6623</v>
      </c>
      <c r="C1920" s="202" t="s">
        <v>6624</v>
      </c>
      <c r="D1920" s="154"/>
      <c r="E1920" s="154" t="s">
        <v>243</v>
      </c>
      <c r="F1920" s="180"/>
    </row>
    <row r="1921" customHeight="1" spans="1:6">
      <c r="A1921" s="9" t="s">
        <v>6625</v>
      </c>
      <c r="B1921" s="160" t="s">
        <v>6626</v>
      </c>
      <c r="C1921" s="160" t="s">
        <v>6627</v>
      </c>
      <c r="D1921" s="204" t="s">
        <v>6628</v>
      </c>
      <c r="E1921" s="204" t="s">
        <v>92</v>
      </c>
      <c r="F1921" s="204"/>
    </row>
    <row r="1922" customHeight="1" spans="1:6">
      <c r="A1922" s="9" t="s">
        <v>6629</v>
      </c>
      <c r="B1922" s="214" t="s">
        <v>6630</v>
      </c>
      <c r="C1922" s="214" t="s">
        <v>6631</v>
      </c>
      <c r="D1922" s="194"/>
      <c r="E1922" s="204" t="s">
        <v>92</v>
      </c>
      <c r="F1922" s="204"/>
    </row>
    <row r="1923" customHeight="1" spans="1:6">
      <c r="A1923" s="9" t="s">
        <v>6632</v>
      </c>
      <c r="B1923" s="197" t="s">
        <v>6633</v>
      </c>
      <c r="C1923" s="196" t="s">
        <v>6634</v>
      </c>
      <c r="D1923" s="197"/>
      <c r="E1923" s="197" t="s">
        <v>310</v>
      </c>
      <c r="F1923" s="197"/>
    </row>
    <row r="1924" customHeight="1" spans="1:6">
      <c r="A1924" s="9" t="s">
        <v>6635</v>
      </c>
      <c r="B1924" s="195" t="s">
        <v>6636</v>
      </c>
      <c r="C1924" s="196" t="s">
        <v>6637</v>
      </c>
      <c r="D1924" s="197" t="s">
        <v>309</v>
      </c>
      <c r="E1924" s="197" t="s">
        <v>310</v>
      </c>
      <c r="F1924" s="197"/>
    </row>
    <row r="1925" customHeight="1" spans="1:6">
      <c r="A1925" s="9" t="s">
        <v>6638</v>
      </c>
      <c r="B1925" s="214" t="s">
        <v>6639</v>
      </c>
      <c r="C1925" s="214" t="s">
        <v>6640</v>
      </c>
      <c r="D1925" s="204">
        <v>911659465</v>
      </c>
      <c r="E1925" s="204" t="s">
        <v>92</v>
      </c>
      <c r="F1925" s="204"/>
    </row>
    <row r="1926" customHeight="1" spans="1:6">
      <c r="A1926" s="9" t="s">
        <v>6641</v>
      </c>
      <c r="B1926" s="160" t="s">
        <v>6642</v>
      </c>
      <c r="C1926" s="160" t="s">
        <v>6643</v>
      </c>
      <c r="D1926" s="204" t="s">
        <v>6644</v>
      </c>
      <c r="E1926" s="204" t="s">
        <v>92</v>
      </c>
      <c r="F1926" s="204"/>
    </row>
    <row r="1927" customHeight="1" spans="1:6">
      <c r="A1927" s="9" t="s">
        <v>6645</v>
      </c>
      <c r="B1927" s="201" t="s">
        <v>6646</v>
      </c>
      <c r="C1927" s="202" t="s">
        <v>6647</v>
      </c>
      <c r="D1927" s="154" t="s">
        <v>6648</v>
      </c>
      <c r="E1927" s="154" t="s">
        <v>243</v>
      </c>
      <c r="F1927" s="180"/>
    </row>
    <row r="1928" customHeight="1" spans="1:6">
      <c r="A1928" s="9" t="s">
        <v>6649</v>
      </c>
      <c r="B1928" s="205" t="s">
        <v>6650</v>
      </c>
      <c r="C1928" s="205" t="s">
        <v>6651</v>
      </c>
      <c r="D1928" s="206" t="s">
        <v>6652</v>
      </c>
      <c r="E1928" s="193" t="s">
        <v>120</v>
      </c>
      <c r="F1928" s="239" t="s">
        <v>6653</v>
      </c>
    </row>
    <row r="1929" customHeight="1" spans="1:6">
      <c r="A1929" s="9" t="s">
        <v>6654</v>
      </c>
      <c r="B1929" s="222" t="str">
        <f>IFERROR(__xludf.DUMMYFUNCTION("""COMPUTED_VALUE"""),"Amanuel Bechu Gibraga /Ato/")</f>
        <v>Amanuel Bechu Gibraga /Ato/</v>
      </c>
      <c r="C1929" s="222" t="str">
        <f>IFERROR(__xludf.DUMMYFUNCTION("""COMPUTED_VALUE"""),"አማኑኤል በቹ ጊብራጋ /አቶ/")</f>
        <v>አማኑኤል በቹ ጊብራጋ /አቶ/</v>
      </c>
      <c r="D1929" s="222" t="str">
        <f>IFERROR(__xludf.DUMMYFUNCTION("""COMPUTED_VALUE"""),"0911-888572")</f>
        <v>0911-888572</v>
      </c>
      <c r="E1929" s="222" t="str">
        <f>IFERROR(__xludf.DUMMYFUNCTION("""COMPUTED_VALUE"""),"Adama")</f>
        <v>Adama</v>
      </c>
      <c r="F1929" s="222" t="str">
        <f>IFERROR(__xludf.DUMMYFUNCTION("""COMPUTED_VALUE"""),"amanuelbechu @gmail.com")</f>
        <v>amanuelbechu @gmail.com</v>
      </c>
    </row>
    <row r="1930" customHeight="1" spans="1:6">
      <c r="A1930" s="9" t="s">
        <v>6655</v>
      </c>
      <c r="B1930" s="160" t="s">
        <v>6656</v>
      </c>
      <c r="C1930" s="160" t="s">
        <v>6657</v>
      </c>
      <c r="D1930" s="204" t="s">
        <v>6658</v>
      </c>
      <c r="E1930" s="204" t="s">
        <v>92</v>
      </c>
      <c r="F1930" s="204"/>
    </row>
    <row r="1931" customHeight="1" spans="1:6">
      <c r="A1931" s="9" t="s">
        <v>6659</v>
      </c>
      <c r="B1931" s="200" t="s">
        <v>6660</v>
      </c>
      <c r="C1931" s="246" t="s">
        <v>6661</v>
      </c>
      <c r="D1931" s="194"/>
      <c r="E1931" s="194" t="s">
        <v>186</v>
      </c>
      <c r="F1931" s="194"/>
    </row>
    <row r="1932" customHeight="1" spans="1:6">
      <c r="A1932" s="9" t="s">
        <v>6662</v>
      </c>
      <c r="B1932" s="201" t="s">
        <v>6663</v>
      </c>
      <c r="C1932" s="202" t="s">
        <v>6664</v>
      </c>
      <c r="D1932" s="154" t="s">
        <v>6665</v>
      </c>
      <c r="E1932" s="154" t="s">
        <v>211</v>
      </c>
      <c r="F1932" s="180"/>
    </row>
    <row r="1933" customHeight="1" spans="1:6">
      <c r="A1933" s="9" t="s">
        <v>6666</v>
      </c>
      <c r="B1933" s="223" t="s">
        <v>6667</v>
      </c>
      <c r="C1933" s="223" t="s">
        <v>6668</v>
      </c>
      <c r="D1933" s="204" t="s">
        <v>6669</v>
      </c>
      <c r="E1933" s="204" t="s">
        <v>92</v>
      </c>
      <c r="F1933" s="204"/>
    </row>
    <row r="1934" customHeight="1" spans="1:6">
      <c r="A1934" s="9" t="s">
        <v>6670</v>
      </c>
      <c r="B1934" s="214" t="s">
        <v>6671</v>
      </c>
      <c r="C1934" s="214" t="s">
        <v>6672</v>
      </c>
      <c r="D1934" s="194"/>
      <c r="E1934" s="204" t="s">
        <v>92</v>
      </c>
      <c r="F1934" s="204"/>
    </row>
    <row r="1935" customHeight="1" spans="1:6">
      <c r="A1935" s="9" t="s">
        <v>6673</v>
      </c>
      <c r="B1935" s="219" t="s">
        <v>6674</v>
      </c>
      <c r="C1935" s="219" t="s">
        <v>6675</v>
      </c>
      <c r="D1935" s="194"/>
      <c r="E1935" s="204" t="s">
        <v>92</v>
      </c>
      <c r="F1935" s="204"/>
    </row>
    <row r="1936" customHeight="1" spans="1:6">
      <c r="A1936" s="9" t="s">
        <v>6676</v>
      </c>
      <c r="B1936" s="233" t="s">
        <v>6677</v>
      </c>
      <c r="C1936" s="233" t="s">
        <v>6678</v>
      </c>
      <c r="D1936" s="204" t="s">
        <v>6679</v>
      </c>
      <c r="E1936" s="204" t="s">
        <v>92</v>
      </c>
      <c r="F1936" s="204"/>
    </row>
    <row r="1937" customHeight="1" spans="1:6">
      <c r="A1937" s="9" t="s">
        <v>6680</v>
      </c>
      <c r="B1937" s="160" t="s">
        <v>6681</v>
      </c>
      <c r="C1937" s="160" t="s">
        <v>6682</v>
      </c>
      <c r="D1937" s="204" t="s">
        <v>6683</v>
      </c>
      <c r="E1937" s="204" t="s">
        <v>92</v>
      </c>
      <c r="F1937" s="204"/>
    </row>
    <row r="1938" customHeight="1" spans="1:6">
      <c r="A1938" s="9" t="s">
        <v>6684</v>
      </c>
      <c r="B1938" s="160" t="s">
        <v>6685</v>
      </c>
      <c r="C1938" s="160" t="s">
        <v>6686</v>
      </c>
      <c r="D1938" s="204" t="s">
        <v>6687</v>
      </c>
      <c r="E1938" s="204" t="s">
        <v>92</v>
      </c>
      <c r="F1938" s="204"/>
    </row>
    <row r="1939" customHeight="1" spans="1:6">
      <c r="A1939" s="9" t="s">
        <v>6688</v>
      </c>
      <c r="B1939" s="205" t="s">
        <v>6685</v>
      </c>
      <c r="C1939" s="205" t="s">
        <v>6689</v>
      </c>
      <c r="D1939" s="206" t="s">
        <v>6690</v>
      </c>
      <c r="E1939" s="193" t="s">
        <v>120</v>
      </c>
      <c r="F1939" s="221"/>
    </row>
    <row r="1940" customHeight="1" spans="1:6">
      <c r="A1940" s="9" t="s">
        <v>6691</v>
      </c>
      <c r="B1940" s="214" t="s">
        <v>6692</v>
      </c>
      <c r="C1940" s="214" t="s">
        <v>6693</v>
      </c>
      <c r="D1940" s="194"/>
      <c r="E1940" s="204" t="s">
        <v>92</v>
      </c>
      <c r="F1940" s="204"/>
    </row>
    <row r="1941" customHeight="1" spans="1:6">
      <c r="A1941" s="9" t="s">
        <v>6694</v>
      </c>
      <c r="B1941" s="260" t="s">
        <v>6695</v>
      </c>
      <c r="C1941" s="243" t="s">
        <v>6696</v>
      </c>
      <c r="D1941" s="154"/>
      <c r="E1941" s="158" t="s">
        <v>243</v>
      </c>
      <c r="F1941" s="153"/>
    </row>
    <row r="1942" customHeight="1" spans="1:6">
      <c r="A1942" s="9" t="s">
        <v>6697</v>
      </c>
      <c r="B1942" s="223" t="s">
        <v>6698</v>
      </c>
      <c r="C1942" s="223" t="s">
        <v>6699</v>
      </c>
      <c r="D1942" s="204" t="s">
        <v>2810</v>
      </c>
      <c r="E1942" s="204" t="s">
        <v>92</v>
      </c>
      <c r="F1942" s="204"/>
    </row>
    <row r="1943" customHeight="1" spans="1:6">
      <c r="A1943" s="9" t="s">
        <v>6700</v>
      </c>
      <c r="B1943" s="222" t="str">
        <f>IFERROR(__xludf.DUMMYFUNCTION("""COMPUTED_VALUE"""),"Amanuel G/ Egziabiher Tesfahun / Ato")</f>
        <v>Amanuel G/ Egziabiher Tesfahun / Ato</v>
      </c>
      <c r="C1943" s="222" t="str">
        <f>IFERROR(__xludf.DUMMYFUNCTION("""COMPUTED_VALUE"""),"አማኑኤል ገ/ እግዚአብሔር ተስፋሁን /አቶ")</f>
        <v>አማኑኤል ገ/ እግዚአብሔር ተስፋሁን /አቶ</v>
      </c>
      <c r="D1943" s="222" t="str">
        <f>IFERROR(__xludf.DUMMYFUNCTION("""COMPUTED_VALUE"""),"911453737")</f>
        <v>911453737</v>
      </c>
      <c r="E1943" s="222" t="str">
        <f>IFERROR(__xludf.DUMMYFUNCTION("""COMPUTED_VALUE"""),"Addis Ababa")</f>
        <v>Addis Ababa</v>
      </c>
      <c r="F1943" s="222" t="str">
        <f>IFERROR(__xludf.DUMMYFUNCTION("""COMPUTED_VALUE"""),"amanueg@yahoo.com")</f>
        <v>amanueg@yahoo.com</v>
      </c>
    </row>
    <row r="1944" customHeight="1" spans="1:6">
      <c r="A1944" s="9" t="s">
        <v>6701</v>
      </c>
      <c r="B1944" s="160" t="s">
        <v>6702</v>
      </c>
      <c r="C1944" s="160" t="s">
        <v>6703</v>
      </c>
      <c r="D1944" s="204"/>
      <c r="E1944" s="204" t="s">
        <v>92</v>
      </c>
      <c r="F1944" s="204"/>
    </row>
    <row r="1945" customHeight="1" spans="1:6">
      <c r="A1945" s="9" t="s">
        <v>6704</v>
      </c>
      <c r="B1945" s="160" t="s">
        <v>6705</v>
      </c>
      <c r="C1945" s="160" t="s">
        <v>6706</v>
      </c>
      <c r="D1945" s="204" t="s">
        <v>6707</v>
      </c>
      <c r="E1945" s="204" t="s">
        <v>92</v>
      </c>
      <c r="F1945" s="204"/>
    </row>
    <row r="1946" customHeight="1" spans="1:6">
      <c r="A1946" s="9" t="s">
        <v>6708</v>
      </c>
      <c r="B1946" s="223" t="s">
        <v>6709</v>
      </c>
      <c r="C1946" s="223" t="s">
        <v>6710</v>
      </c>
      <c r="D1946" s="204" t="s">
        <v>6711</v>
      </c>
      <c r="E1946" s="204" t="s">
        <v>92</v>
      </c>
      <c r="F1946" s="204"/>
    </row>
    <row r="1947" customHeight="1" spans="1:6">
      <c r="A1947" s="9" t="s">
        <v>6712</v>
      </c>
      <c r="B1947" s="200" t="s">
        <v>6713</v>
      </c>
      <c r="C1947" s="192" t="s">
        <v>6714</v>
      </c>
      <c r="D1947" s="194"/>
      <c r="E1947" s="194" t="s">
        <v>186</v>
      </c>
      <c r="F1947" s="194"/>
    </row>
    <row r="1948" customHeight="1" spans="1:6">
      <c r="A1948" s="9" t="s">
        <v>6715</v>
      </c>
      <c r="B1948" s="160" t="s">
        <v>6716</v>
      </c>
      <c r="C1948" s="160" t="s">
        <v>6717</v>
      </c>
      <c r="D1948" s="204" t="s">
        <v>6718</v>
      </c>
      <c r="E1948" s="204" t="s">
        <v>92</v>
      </c>
      <c r="F1948" s="204"/>
    </row>
    <row r="1949" customHeight="1" spans="1:6">
      <c r="A1949" s="9" t="s">
        <v>6719</v>
      </c>
      <c r="B1949" s="214" t="s">
        <v>6720</v>
      </c>
      <c r="C1949" s="214" t="s">
        <v>6721</v>
      </c>
      <c r="D1949" s="204"/>
      <c r="E1949" s="204" t="s">
        <v>92</v>
      </c>
      <c r="F1949" s="204"/>
    </row>
    <row r="1950" customHeight="1" spans="1:6">
      <c r="A1950" s="9" t="s">
        <v>6722</v>
      </c>
      <c r="B1950" s="219" t="s">
        <v>6723</v>
      </c>
      <c r="C1950" s="219" t="s">
        <v>6724</v>
      </c>
      <c r="D1950" s="194"/>
      <c r="E1950" s="204" t="s">
        <v>92</v>
      </c>
      <c r="F1950" s="204"/>
    </row>
    <row r="1951" customHeight="1" spans="1:6">
      <c r="A1951" s="9" t="s">
        <v>6725</v>
      </c>
      <c r="B1951" s="222" t="str">
        <f>IFERROR(__xludf.DUMMYFUNCTION("""COMPUTED_VALUE"""),"Amanuel Gizaw Bereda")</f>
        <v>Amanuel Gizaw Bereda</v>
      </c>
      <c r="C1951" s="222" t="str">
        <f>IFERROR(__xludf.DUMMYFUNCTION("""COMPUTED_VALUE"""),"አማኑኤል ግዛው በረዳ")</f>
        <v>አማኑኤል ግዛው በረዳ</v>
      </c>
      <c r="D1951" s="222" t="str">
        <f>IFERROR(__xludf.DUMMYFUNCTION("""COMPUTED_VALUE"""),"966010000")</f>
        <v>966010000</v>
      </c>
      <c r="E1951" s="222" t="str">
        <f>IFERROR(__xludf.DUMMYFUNCTION("""COMPUTED_VALUE"""),"Addis Ababa")</f>
        <v>Addis Ababa</v>
      </c>
      <c r="F1951" s="222" t="str">
        <f>IFERROR(__xludf.DUMMYFUNCTION("""COMPUTED_VALUE"""),"iomomonvelgizaw@gmail.com")</f>
        <v>iomomonvelgizaw@gmail.com</v>
      </c>
    </row>
    <row r="1952" customHeight="1" spans="1:6">
      <c r="A1952" s="9" t="s">
        <v>6726</v>
      </c>
      <c r="B1952" s="160" t="s">
        <v>6727</v>
      </c>
      <c r="C1952" s="160" t="s">
        <v>6728</v>
      </c>
      <c r="D1952" s="204" t="s">
        <v>6729</v>
      </c>
      <c r="E1952" s="204" t="s">
        <v>92</v>
      </c>
      <c r="F1952" s="204"/>
    </row>
    <row r="1953" customHeight="1" spans="1:6">
      <c r="A1953" s="9" t="s">
        <v>6730</v>
      </c>
      <c r="B1953" s="214" t="s">
        <v>6731</v>
      </c>
      <c r="C1953" s="214" t="s">
        <v>6732</v>
      </c>
      <c r="D1953" s="204">
        <v>911673749</v>
      </c>
      <c r="E1953" s="204" t="s">
        <v>92</v>
      </c>
      <c r="F1953" s="204"/>
    </row>
    <row r="1954" customHeight="1" spans="1:6">
      <c r="A1954" s="9" t="s">
        <v>6733</v>
      </c>
      <c r="B1954" s="205" t="s">
        <v>6731</v>
      </c>
      <c r="C1954" s="205" t="s">
        <v>6732</v>
      </c>
      <c r="D1954" s="206" t="s">
        <v>6734</v>
      </c>
      <c r="E1954" s="193" t="s">
        <v>120</v>
      </c>
      <c r="F1954" s="221" t="s">
        <v>6735</v>
      </c>
    </row>
    <row r="1955" customHeight="1" spans="1:6">
      <c r="A1955" s="9" t="s">
        <v>6736</v>
      </c>
      <c r="B1955" s="223" t="s">
        <v>6737</v>
      </c>
      <c r="C1955" s="223" t="s">
        <v>6738</v>
      </c>
      <c r="D1955" s="204" t="s">
        <v>6739</v>
      </c>
      <c r="E1955" s="204" t="s">
        <v>92</v>
      </c>
      <c r="F1955" s="204"/>
    </row>
    <row r="1956" customHeight="1" spans="1:6">
      <c r="A1956" s="9" t="s">
        <v>6740</v>
      </c>
      <c r="B1956" s="160" t="s">
        <v>6741</v>
      </c>
      <c r="C1956" s="160" t="s">
        <v>6742</v>
      </c>
      <c r="D1956" s="204" t="s">
        <v>6743</v>
      </c>
      <c r="E1956" s="204" t="s">
        <v>92</v>
      </c>
      <c r="F1956" s="204"/>
    </row>
    <row r="1957" customHeight="1" spans="1:6">
      <c r="A1957" s="9" t="s">
        <v>6744</v>
      </c>
      <c r="B1957" s="255" t="s">
        <v>6745</v>
      </c>
      <c r="C1957" s="255" t="s">
        <v>6738</v>
      </c>
      <c r="D1957" s="256" t="s">
        <v>6746</v>
      </c>
      <c r="E1957" s="26" t="s">
        <v>1701</v>
      </c>
      <c r="F1957" s="290"/>
    </row>
    <row r="1958" customHeight="1" spans="1:6">
      <c r="A1958" s="9" t="s">
        <v>6747</v>
      </c>
      <c r="B1958" s="208" t="s">
        <v>6748</v>
      </c>
      <c r="C1958" s="208" t="s">
        <v>6749</v>
      </c>
      <c r="D1958" s="204" t="s">
        <v>6750</v>
      </c>
      <c r="E1958" s="204" t="s">
        <v>92</v>
      </c>
      <c r="F1958" s="204"/>
    </row>
    <row r="1959" customHeight="1" spans="1:6">
      <c r="A1959" s="9" t="s">
        <v>6751</v>
      </c>
      <c r="B1959" s="214" t="s">
        <v>6752</v>
      </c>
      <c r="C1959" s="214" t="s">
        <v>6753</v>
      </c>
      <c r="D1959" s="194"/>
      <c r="E1959" s="204" t="s">
        <v>92</v>
      </c>
      <c r="F1959" s="204"/>
    </row>
    <row r="1960" customHeight="1" spans="1:6">
      <c r="A1960" s="9" t="s">
        <v>6754</v>
      </c>
      <c r="B1960" s="255" t="s">
        <v>6755</v>
      </c>
      <c r="C1960" s="255" t="s">
        <v>6756</v>
      </c>
      <c r="D1960" s="256" t="s">
        <v>6757</v>
      </c>
      <c r="E1960" s="26" t="s">
        <v>1701</v>
      </c>
      <c r="F1960" s="290" t="s">
        <v>6758</v>
      </c>
    </row>
    <row r="1961" customHeight="1" spans="1:6">
      <c r="A1961" s="9" t="s">
        <v>6759</v>
      </c>
      <c r="B1961" s="214" t="s">
        <v>6760</v>
      </c>
      <c r="C1961" s="214" t="s">
        <v>6761</v>
      </c>
      <c r="D1961" s="194"/>
      <c r="E1961" s="204" t="s">
        <v>92</v>
      </c>
      <c r="F1961" s="204"/>
    </row>
    <row r="1962" customHeight="1" spans="1:6">
      <c r="A1962" s="9" t="s">
        <v>6762</v>
      </c>
      <c r="B1962" s="214" t="s">
        <v>6763</v>
      </c>
      <c r="C1962" s="214" t="s">
        <v>6764</v>
      </c>
      <c r="D1962" s="194"/>
      <c r="E1962" s="204" t="s">
        <v>92</v>
      </c>
      <c r="F1962" s="204"/>
    </row>
    <row r="1963" customHeight="1" spans="1:6">
      <c r="A1963" s="9" t="s">
        <v>6765</v>
      </c>
      <c r="B1963" s="199" t="s">
        <v>6766</v>
      </c>
      <c r="C1963" s="196" t="s">
        <v>6767</v>
      </c>
      <c r="D1963" s="198" t="s">
        <v>6768</v>
      </c>
      <c r="E1963" s="197" t="s">
        <v>9</v>
      </c>
      <c r="F1963" s="197"/>
    </row>
    <row r="1964" customHeight="1" spans="1:6">
      <c r="A1964" s="9" t="s">
        <v>6769</v>
      </c>
      <c r="B1964" s="302" t="s">
        <v>6770</v>
      </c>
      <c r="C1964" s="302" t="s">
        <v>6771</v>
      </c>
      <c r="D1964" s="194"/>
      <c r="E1964" s="204" t="s">
        <v>92</v>
      </c>
      <c r="F1964" s="204"/>
    </row>
    <row r="1965" customHeight="1" spans="1:6">
      <c r="A1965" s="9" t="s">
        <v>6772</v>
      </c>
      <c r="B1965" s="223" t="s">
        <v>6773</v>
      </c>
      <c r="C1965" s="223" t="s">
        <v>6774</v>
      </c>
      <c r="D1965" s="194"/>
      <c r="E1965" s="204" t="s">
        <v>92</v>
      </c>
      <c r="F1965" s="204"/>
    </row>
    <row r="1966" customHeight="1" spans="1:6">
      <c r="A1966" s="9" t="s">
        <v>6775</v>
      </c>
      <c r="B1966" s="201" t="s">
        <v>6776</v>
      </c>
      <c r="C1966" s="202" t="s">
        <v>6777</v>
      </c>
      <c r="D1966" s="154" t="s">
        <v>6778</v>
      </c>
      <c r="E1966" s="154"/>
      <c r="F1966" s="180"/>
    </row>
    <row r="1967" customHeight="1" spans="1:6">
      <c r="A1967" s="9" t="s">
        <v>6779</v>
      </c>
      <c r="B1967" s="258" t="s">
        <v>6780</v>
      </c>
      <c r="C1967" s="258" t="s">
        <v>6781</v>
      </c>
      <c r="D1967" s="258" t="s">
        <v>6782</v>
      </c>
      <c r="E1967" s="240" t="s">
        <v>92</v>
      </c>
      <c r="F1967" s="240" t="s">
        <v>6783</v>
      </c>
    </row>
    <row r="1968" customHeight="1" spans="1:6">
      <c r="A1968" s="9" t="s">
        <v>6784</v>
      </c>
      <c r="B1968" s="225" t="s">
        <v>6785</v>
      </c>
      <c r="C1968" s="225" t="s">
        <v>6786</v>
      </c>
      <c r="D1968" s="228" t="s">
        <v>6787</v>
      </c>
      <c r="E1968" s="229" t="s">
        <v>120</v>
      </c>
      <c r="F1968" s="247"/>
    </row>
    <row r="1969" customHeight="1" spans="1:6">
      <c r="A1969" s="9" t="s">
        <v>6788</v>
      </c>
      <c r="B1969" s="219" t="s">
        <v>6789</v>
      </c>
      <c r="C1969" s="219" t="s">
        <v>6790</v>
      </c>
      <c r="D1969" s="194"/>
      <c r="E1969" s="204" t="s">
        <v>92</v>
      </c>
      <c r="F1969" s="204"/>
    </row>
    <row r="1970" customHeight="1" spans="1:6">
      <c r="A1970" s="9" t="s">
        <v>6791</v>
      </c>
      <c r="B1970" s="160" t="s">
        <v>6792</v>
      </c>
      <c r="C1970" s="160" t="s">
        <v>6793</v>
      </c>
      <c r="D1970" s="204" t="s">
        <v>6794</v>
      </c>
      <c r="E1970" s="204" t="s">
        <v>92</v>
      </c>
      <c r="F1970" s="204"/>
    </row>
    <row r="1971" customHeight="1" spans="1:6">
      <c r="A1971" s="9" t="s">
        <v>6795</v>
      </c>
      <c r="B1971" s="160" t="s">
        <v>6796</v>
      </c>
      <c r="C1971" s="160" t="s">
        <v>6797</v>
      </c>
      <c r="D1971" s="204" t="s">
        <v>6798</v>
      </c>
      <c r="E1971" s="204" t="s">
        <v>92</v>
      </c>
      <c r="F1971" s="204"/>
    </row>
    <row r="1972" customHeight="1" spans="1:6">
      <c r="A1972" s="9" t="s">
        <v>6799</v>
      </c>
      <c r="B1972" s="220" t="str">
        <f>IFERROR(__xludf.DUMMYFUNCTION("""COMPUTED_VALUE"""),"Amanuel Solomon Baramo /Ato")</f>
        <v>Amanuel Solomon Baramo /Ato</v>
      </c>
      <c r="C1972" s="220" t="str">
        <f>IFERROR(__xludf.DUMMYFUNCTION("""COMPUTED_VALUE"""),"አማኑኤል ሰለሞን ባራሞ /አቶ")</f>
        <v>አማኑኤል ሰለሞን ባራሞ /አቶ</v>
      </c>
      <c r="D1972" s="220" t="str">
        <f>IFERROR(__xludf.DUMMYFUNCTION("""COMPUTED_VALUE"""),"0911853443
0911244901")</f>
        <v>0911853443
0911244901</v>
      </c>
      <c r="E1972" s="220" t="str">
        <f>IFERROR(__xludf.DUMMYFUNCTION("""COMPUTED_VALUE"""),"Addis Ababa")</f>
        <v>Addis Ababa</v>
      </c>
      <c r="F1972" s="220" t="str">
        <f>IFERROR(__xludf.DUMMYFUNCTION("""COMPUTED_VALUE"""),"zzmanuelss@gmail.com")</f>
        <v>zzmanuelss@gmail.com</v>
      </c>
    </row>
    <row r="1973" customHeight="1" spans="1:6">
      <c r="A1973" s="9" t="s">
        <v>6800</v>
      </c>
      <c r="B1973" s="160" t="s">
        <v>6801</v>
      </c>
      <c r="C1973" s="160" t="s">
        <v>6802</v>
      </c>
      <c r="D1973" s="204" t="s">
        <v>6803</v>
      </c>
      <c r="E1973" s="204" t="s">
        <v>92</v>
      </c>
      <c r="F1973" s="204"/>
    </row>
    <row r="1974" customHeight="1" spans="1:6">
      <c r="A1974" s="9" t="s">
        <v>6804</v>
      </c>
      <c r="B1974" s="255" t="s">
        <v>6805</v>
      </c>
      <c r="C1974" s="255" t="s">
        <v>6806</v>
      </c>
      <c r="D1974" s="256" t="s">
        <v>6807</v>
      </c>
      <c r="E1974" s="26" t="s">
        <v>1701</v>
      </c>
      <c r="F1974" s="303"/>
    </row>
    <row r="1975" customHeight="1" spans="1:6">
      <c r="A1975" s="9" t="s">
        <v>6808</v>
      </c>
      <c r="B1975" s="205" t="s">
        <v>6809</v>
      </c>
      <c r="C1975" s="205" t="s">
        <v>6810</v>
      </c>
      <c r="D1975" s="206" t="s">
        <v>6811</v>
      </c>
      <c r="E1975" s="193" t="s">
        <v>120</v>
      </c>
      <c r="F1975" s="207" t="s">
        <v>6812</v>
      </c>
    </row>
    <row r="1976" customHeight="1" spans="1:6">
      <c r="A1976" s="9" t="s">
        <v>6813</v>
      </c>
      <c r="B1976" s="214" t="s">
        <v>6814</v>
      </c>
      <c r="C1976" s="214" t="s">
        <v>6815</v>
      </c>
      <c r="D1976" s="194"/>
      <c r="E1976" s="204" t="s">
        <v>92</v>
      </c>
      <c r="F1976" s="204"/>
    </row>
    <row r="1977" customHeight="1" spans="1:6">
      <c r="A1977" s="9" t="s">
        <v>6816</v>
      </c>
      <c r="B1977" s="219" t="s">
        <v>6817</v>
      </c>
      <c r="C1977" s="219" t="s">
        <v>6818</v>
      </c>
      <c r="D1977" s="194"/>
      <c r="E1977" s="204" t="s">
        <v>92</v>
      </c>
      <c r="F1977" s="204"/>
    </row>
    <row r="1978" customHeight="1" spans="1:6">
      <c r="A1978" s="9" t="s">
        <v>6819</v>
      </c>
      <c r="B1978" s="222" t="str">
        <f>IFERROR(__xludf.DUMMYFUNCTION("""COMPUTED_VALUE"""),"Amanuel Tsegaye Gebrekidan")</f>
        <v>Amanuel Tsegaye Gebrekidan</v>
      </c>
      <c r="C1978" s="222" t="str">
        <f>IFERROR(__xludf.DUMMYFUNCTION("""COMPUTED_VALUE"""),"አማኑኤል ጸጋየ ገ/ኪዳን")</f>
        <v>አማኑኤል ጸጋየ ገ/ኪዳን</v>
      </c>
      <c r="D1978" s="222" t="str">
        <f>IFERROR(__xludf.DUMMYFUNCTION("""COMPUTED_VALUE"""),"913052792")</f>
        <v>913052792</v>
      </c>
      <c r="E1978" s="222" t="str">
        <f>IFERROR(__xludf.DUMMYFUNCTION("""COMPUTED_VALUE"""),"Addis Ababa")</f>
        <v>Addis Ababa</v>
      </c>
      <c r="F1978" s="222" t="str">
        <f>IFERROR(__xludf.DUMMYFUNCTION("""COMPUTED_VALUE"""),"amanuelxyz@gmail.com")</f>
        <v>amanuelxyz@gmail.com</v>
      </c>
    </row>
    <row r="1979" customHeight="1" spans="1:6">
      <c r="A1979" s="9" t="s">
        <v>6820</v>
      </c>
      <c r="B1979" s="223" t="s">
        <v>6821</v>
      </c>
      <c r="C1979" s="223" t="s">
        <v>6822</v>
      </c>
      <c r="D1979" s="204" t="s">
        <v>6823</v>
      </c>
      <c r="E1979" s="204" t="s">
        <v>92</v>
      </c>
      <c r="F1979" s="204"/>
    </row>
    <row r="1980" customHeight="1" spans="1:6">
      <c r="A1980" s="9" t="s">
        <v>6824</v>
      </c>
      <c r="B1980" s="201" t="s">
        <v>6825</v>
      </c>
      <c r="C1980" s="202" t="s">
        <v>6826</v>
      </c>
      <c r="D1980" s="154" t="s">
        <v>6827</v>
      </c>
      <c r="E1980" s="154" t="s">
        <v>243</v>
      </c>
      <c r="F1980" s="180"/>
    </row>
    <row r="1981" customHeight="1" spans="1:6">
      <c r="A1981" s="9" t="s">
        <v>6828</v>
      </c>
      <c r="B1981" s="195" t="s">
        <v>6829</v>
      </c>
      <c r="C1981" s="213" t="s">
        <v>6830</v>
      </c>
      <c r="D1981" s="197">
        <v>919325567</v>
      </c>
      <c r="E1981" s="197" t="s">
        <v>202</v>
      </c>
      <c r="F1981" s="197"/>
    </row>
    <row r="1982" customHeight="1" spans="1:6">
      <c r="A1982" s="9" t="s">
        <v>6831</v>
      </c>
      <c r="B1982" s="304" t="s">
        <v>6832</v>
      </c>
      <c r="C1982" s="305" t="s">
        <v>6833</v>
      </c>
      <c r="D1982" s="304">
        <v>916593691</v>
      </c>
      <c r="E1982" s="306" t="s">
        <v>211</v>
      </c>
      <c r="F1982" s="307"/>
    </row>
    <row r="1983" customHeight="1" spans="1:6">
      <c r="A1983" s="9" t="s">
        <v>6834</v>
      </c>
      <c r="B1983" s="214" t="s">
        <v>6835</v>
      </c>
      <c r="C1983" s="214" t="s">
        <v>6836</v>
      </c>
      <c r="D1983" s="194"/>
      <c r="E1983" s="204" t="s">
        <v>92</v>
      </c>
      <c r="F1983" s="204"/>
    </row>
    <row r="1984" customHeight="1" spans="1:6">
      <c r="A1984" s="9" t="s">
        <v>6837</v>
      </c>
      <c r="B1984" s="197" t="s">
        <v>6838</v>
      </c>
      <c r="C1984" s="202" t="s">
        <v>6839</v>
      </c>
      <c r="D1984" s="158"/>
      <c r="E1984" s="154" t="s">
        <v>104</v>
      </c>
      <c r="F1984" s="180"/>
    </row>
    <row r="1985" customHeight="1" spans="1:6">
      <c r="A1985" s="9" t="s">
        <v>6840</v>
      </c>
      <c r="B1985" s="195" t="s">
        <v>6841</v>
      </c>
      <c r="C1985" s="202" t="s">
        <v>6842</v>
      </c>
      <c r="D1985" s="158" t="s">
        <v>6843</v>
      </c>
      <c r="E1985" s="154"/>
      <c r="F1985" s="180"/>
    </row>
    <row r="1986" customHeight="1" spans="1:6">
      <c r="A1986" s="9" t="s">
        <v>6844</v>
      </c>
      <c r="B1986" s="200" t="s">
        <v>6845</v>
      </c>
      <c r="C1986" s="202" t="s">
        <v>6846</v>
      </c>
      <c r="D1986" s="158"/>
      <c r="E1986" s="154"/>
      <c r="F1986" s="180"/>
    </row>
    <row r="1987" customHeight="1" spans="1:6">
      <c r="A1987" s="9" t="s">
        <v>6847</v>
      </c>
      <c r="B1987" s="214" t="s">
        <v>6848</v>
      </c>
      <c r="C1987" s="214" t="s">
        <v>6849</v>
      </c>
      <c r="D1987" s="194"/>
      <c r="E1987" s="204" t="s">
        <v>92</v>
      </c>
      <c r="F1987" s="204"/>
    </row>
    <row r="1988" customHeight="1" spans="1:6">
      <c r="A1988" s="9" t="s">
        <v>6850</v>
      </c>
      <c r="B1988" s="195" t="s">
        <v>6851</v>
      </c>
      <c r="C1988" s="202" t="s">
        <v>6852</v>
      </c>
      <c r="D1988" s="152"/>
      <c r="E1988" s="154"/>
      <c r="F1988" s="180"/>
    </row>
    <row r="1989" customHeight="1" spans="1:6">
      <c r="A1989" s="9" t="s">
        <v>6853</v>
      </c>
      <c r="B1989" s="197" t="s">
        <v>6854</v>
      </c>
      <c r="C1989" s="202" t="s">
        <v>6855</v>
      </c>
      <c r="D1989" s="248">
        <v>925198508</v>
      </c>
      <c r="E1989" s="154" t="s">
        <v>104</v>
      </c>
      <c r="F1989" s="180"/>
    </row>
    <row r="1990" customHeight="1" spans="1:6">
      <c r="A1990" s="9" t="s">
        <v>6856</v>
      </c>
      <c r="B1990" s="200" t="s">
        <v>6857</v>
      </c>
      <c r="C1990" s="202" t="s">
        <v>6858</v>
      </c>
      <c r="D1990" s="152" t="s">
        <v>6859</v>
      </c>
      <c r="E1990" s="154" t="s">
        <v>232</v>
      </c>
      <c r="F1990" s="180"/>
    </row>
    <row r="1991" customHeight="1" spans="1:6">
      <c r="A1991" s="9" t="s">
        <v>6860</v>
      </c>
      <c r="B1991" s="195" t="s">
        <v>6861</v>
      </c>
      <c r="C1991" s="202" t="s">
        <v>6862</v>
      </c>
      <c r="D1991" s="152"/>
      <c r="E1991" s="154" t="s">
        <v>232</v>
      </c>
      <c r="F1991" s="180"/>
    </row>
    <row r="1992" customHeight="1" spans="1:6">
      <c r="A1992" s="9" t="s">
        <v>6863</v>
      </c>
      <c r="B1992" s="153" t="s">
        <v>6864</v>
      </c>
      <c r="C1992" s="202" t="s">
        <v>6865</v>
      </c>
      <c r="D1992" s="154">
        <v>918406296</v>
      </c>
      <c r="E1992" s="154" t="s">
        <v>232</v>
      </c>
      <c r="F1992" s="180"/>
    </row>
    <row r="1993" customHeight="1" spans="1:6">
      <c r="A1993" s="9" t="s">
        <v>6866</v>
      </c>
      <c r="B1993" s="200" t="s">
        <v>6867</v>
      </c>
      <c r="C1993" s="192" t="s">
        <v>6868</v>
      </c>
      <c r="D1993" s="194"/>
      <c r="E1993" s="194" t="s">
        <v>125</v>
      </c>
      <c r="F1993" s="194"/>
    </row>
    <row r="1994" customHeight="1" spans="1:6">
      <c r="A1994" s="9" t="s">
        <v>6869</v>
      </c>
      <c r="B1994" s="195" t="s">
        <v>6870</v>
      </c>
      <c r="C1994" s="202" t="s">
        <v>6871</v>
      </c>
      <c r="D1994" s="152"/>
      <c r="E1994" s="154" t="s">
        <v>104</v>
      </c>
      <c r="F1994" s="180"/>
    </row>
    <row r="1995" customHeight="1" spans="1:6">
      <c r="A1995" s="9" t="s">
        <v>6872</v>
      </c>
      <c r="B1995" s="153" t="s">
        <v>6873</v>
      </c>
      <c r="C1995" s="202" t="s">
        <v>6874</v>
      </c>
      <c r="D1995" s="154" t="s">
        <v>6875</v>
      </c>
      <c r="E1995" s="154" t="s">
        <v>202</v>
      </c>
      <c r="F1995" s="180"/>
    </row>
    <row r="1996" customHeight="1" spans="1:6">
      <c r="A1996" s="9" t="s">
        <v>6876</v>
      </c>
      <c r="B1996" s="195" t="s">
        <v>6877</v>
      </c>
      <c r="C1996" s="202" t="s">
        <v>6878</v>
      </c>
      <c r="D1996" s="152" t="s">
        <v>6879</v>
      </c>
      <c r="E1996" s="154" t="s">
        <v>232</v>
      </c>
      <c r="F1996" s="180"/>
    </row>
    <row r="1997" customHeight="1" spans="1:6">
      <c r="A1997" s="9" t="s">
        <v>6880</v>
      </c>
      <c r="B1997" s="214" t="s">
        <v>6881</v>
      </c>
      <c r="C1997" s="214" t="s">
        <v>6882</v>
      </c>
      <c r="D1997" s="194"/>
      <c r="E1997" s="204" t="s">
        <v>92</v>
      </c>
      <c r="F1997" s="204"/>
    </row>
    <row r="1998" customHeight="1" spans="1:6">
      <c r="A1998" s="9" t="s">
        <v>6883</v>
      </c>
      <c r="B1998" s="201" t="s">
        <v>6884</v>
      </c>
      <c r="C1998" s="202" t="s">
        <v>6885</v>
      </c>
      <c r="D1998" s="153"/>
      <c r="E1998" s="180" t="s">
        <v>104</v>
      </c>
      <c r="F1998" s="180"/>
    </row>
    <row r="1999" customHeight="1" spans="1:6">
      <c r="A1999" s="9" t="s">
        <v>6886</v>
      </c>
      <c r="B1999" s="197" t="s">
        <v>6887</v>
      </c>
      <c r="C1999" s="202" t="s">
        <v>6888</v>
      </c>
      <c r="D1999" s="158" t="s">
        <v>6889</v>
      </c>
      <c r="E1999" s="154" t="s">
        <v>104</v>
      </c>
      <c r="F1999" s="180"/>
    </row>
    <row r="2000" customHeight="1" spans="1:6">
      <c r="A2000" s="9" t="s">
        <v>6890</v>
      </c>
      <c r="B2000" s="200" t="s">
        <v>6891</v>
      </c>
      <c r="C2000" s="192" t="s">
        <v>6892</v>
      </c>
      <c r="D2000" s="194"/>
      <c r="E2000" s="193" t="s">
        <v>202</v>
      </c>
      <c r="F2000" s="191"/>
    </row>
    <row r="2001" customHeight="1" spans="1:6">
      <c r="A2001" s="9" t="s">
        <v>6893</v>
      </c>
      <c r="B2001" s="215" t="s">
        <v>6894</v>
      </c>
      <c r="C2001" s="205" t="s">
        <v>6895</v>
      </c>
      <c r="D2001" s="227" t="s">
        <v>6896</v>
      </c>
      <c r="E2001" s="193" t="s">
        <v>120</v>
      </c>
      <c r="F2001" s="216" t="s">
        <v>6897</v>
      </c>
    </row>
    <row r="2002" customHeight="1" spans="1:6">
      <c r="A2002" s="9" t="s">
        <v>6898</v>
      </c>
      <c r="B2002" s="200" t="s">
        <v>6899</v>
      </c>
      <c r="C2002" s="202" t="s">
        <v>6900</v>
      </c>
      <c r="D2002" s="152" t="s">
        <v>6901</v>
      </c>
      <c r="E2002" s="154" t="s">
        <v>232</v>
      </c>
      <c r="F2002" s="180"/>
    </row>
    <row r="2003" customHeight="1" spans="1:6">
      <c r="A2003" s="9" t="s">
        <v>6902</v>
      </c>
      <c r="B2003" s="201" t="s">
        <v>6903</v>
      </c>
      <c r="C2003" s="202" t="s">
        <v>6904</v>
      </c>
      <c r="D2003" s="154"/>
      <c r="E2003" s="154" t="s">
        <v>1395</v>
      </c>
      <c r="F2003" s="180"/>
    </row>
    <row r="2004" customHeight="1" spans="1:6">
      <c r="A2004" s="9" t="s">
        <v>6905</v>
      </c>
      <c r="B2004" s="195" t="s">
        <v>6906</v>
      </c>
      <c r="C2004" s="212" t="s">
        <v>6907</v>
      </c>
      <c r="D2004" s="197" t="s">
        <v>6908</v>
      </c>
      <c r="E2004" s="198" t="s">
        <v>216</v>
      </c>
      <c r="F2004" s="199"/>
    </row>
    <row r="2005" customHeight="1" spans="1:6">
      <c r="A2005" s="9" t="s">
        <v>6909</v>
      </c>
      <c r="B2005" s="201" t="s">
        <v>6910</v>
      </c>
      <c r="C2005" s="202" t="s">
        <v>6911</v>
      </c>
      <c r="D2005" s="154"/>
      <c r="E2005" s="154" t="s">
        <v>58</v>
      </c>
      <c r="F2005" s="180"/>
    </row>
    <row r="2006" customHeight="1" spans="1:6">
      <c r="A2006" s="9" t="s">
        <v>6912</v>
      </c>
      <c r="B2006" s="195" t="s">
        <v>6913</v>
      </c>
      <c r="C2006" s="202" t="s">
        <v>6914</v>
      </c>
      <c r="D2006" s="152"/>
      <c r="E2006" s="154" t="s">
        <v>232</v>
      </c>
      <c r="F2006" s="180"/>
    </row>
    <row r="2007" customHeight="1" spans="1:6">
      <c r="A2007" s="9" t="s">
        <v>6915</v>
      </c>
      <c r="B2007" s="200" t="s">
        <v>6916</v>
      </c>
      <c r="C2007" s="202" t="s">
        <v>6917</v>
      </c>
      <c r="D2007" s="152"/>
      <c r="E2007" s="154" t="s">
        <v>232</v>
      </c>
      <c r="F2007" s="180"/>
    </row>
    <row r="2008" customHeight="1" spans="1:6">
      <c r="A2008" s="9" t="s">
        <v>6918</v>
      </c>
      <c r="B2008" s="214" t="s">
        <v>6919</v>
      </c>
      <c r="C2008" s="214" t="s">
        <v>6920</v>
      </c>
      <c r="D2008" s="223" t="s">
        <v>6921</v>
      </c>
      <c r="E2008" s="204" t="s">
        <v>92</v>
      </c>
      <c r="F2008" s="204"/>
    </row>
    <row r="2009" customHeight="1" spans="1:6">
      <c r="A2009" s="9" t="s">
        <v>6922</v>
      </c>
      <c r="B2009" s="200" t="s">
        <v>6923</v>
      </c>
      <c r="C2009" s="192" t="s">
        <v>6924</v>
      </c>
      <c r="D2009" s="194"/>
      <c r="E2009" s="194" t="s">
        <v>202</v>
      </c>
      <c r="F2009" s="197"/>
    </row>
    <row r="2010" customHeight="1" spans="1:6">
      <c r="A2010" s="9" t="s">
        <v>6925</v>
      </c>
      <c r="B2010" s="194" t="s">
        <v>6926</v>
      </c>
      <c r="C2010" s="202" t="s">
        <v>6927</v>
      </c>
      <c r="D2010" s="248"/>
      <c r="E2010" s="154" t="s">
        <v>104</v>
      </c>
      <c r="F2010" s="180"/>
    </row>
    <row r="2011" customHeight="1" spans="1:6">
      <c r="A2011" s="9" t="s">
        <v>6928</v>
      </c>
      <c r="B2011" s="200" t="s">
        <v>6929</v>
      </c>
      <c r="C2011" s="202" t="s">
        <v>6930</v>
      </c>
      <c r="D2011" s="152" t="s">
        <v>6931</v>
      </c>
      <c r="E2011" s="154" t="s">
        <v>9</v>
      </c>
      <c r="F2011" s="180"/>
    </row>
    <row r="2012" customHeight="1" spans="1:6">
      <c r="A2012" s="9" t="s">
        <v>6932</v>
      </c>
      <c r="B2012" s="195" t="s">
        <v>6933</v>
      </c>
      <c r="C2012" s="213" t="s">
        <v>6934</v>
      </c>
      <c r="D2012" s="197">
        <v>921553086</v>
      </c>
      <c r="E2012" s="197" t="s">
        <v>6935</v>
      </c>
      <c r="F2012" s="197"/>
    </row>
    <row r="2013" customHeight="1" spans="1:6">
      <c r="A2013" s="9" t="s">
        <v>6936</v>
      </c>
      <c r="B2013" s="200" t="s">
        <v>6937</v>
      </c>
      <c r="C2013" s="192" t="s">
        <v>6938</v>
      </c>
      <c r="D2013" s="194"/>
      <c r="E2013" s="194" t="s">
        <v>125</v>
      </c>
      <c r="F2013" s="194"/>
    </row>
    <row r="2014" customHeight="1" spans="1:6">
      <c r="A2014" s="9" t="s">
        <v>6939</v>
      </c>
      <c r="B2014" s="195" t="s">
        <v>6940</v>
      </c>
      <c r="C2014" s="203" t="s">
        <v>6941</v>
      </c>
      <c r="D2014" s="197"/>
      <c r="E2014" s="197" t="s">
        <v>253</v>
      </c>
      <c r="F2014" s="197"/>
    </row>
    <row r="2015" customHeight="1" spans="1:6">
      <c r="A2015" s="9" t="s">
        <v>6942</v>
      </c>
      <c r="B2015" s="200" t="s">
        <v>6943</v>
      </c>
      <c r="C2015" s="202" t="s">
        <v>6944</v>
      </c>
      <c r="D2015" s="152"/>
      <c r="E2015" s="154" t="s">
        <v>9</v>
      </c>
      <c r="F2015" s="180"/>
    </row>
    <row r="2016" customHeight="1" spans="1:6">
      <c r="A2016" s="9" t="s">
        <v>6945</v>
      </c>
      <c r="B2016" s="162" t="s">
        <v>6946</v>
      </c>
      <c r="C2016" s="205" t="s">
        <v>6947</v>
      </c>
      <c r="D2016" s="206" t="s">
        <v>6948</v>
      </c>
      <c r="E2016" s="193" t="s">
        <v>120</v>
      </c>
      <c r="F2016" s="267"/>
    </row>
    <row r="2017" customHeight="1" spans="1:6">
      <c r="A2017" s="9" t="s">
        <v>6949</v>
      </c>
      <c r="B2017" s="214" t="s">
        <v>6950</v>
      </c>
      <c r="C2017" s="214" t="s">
        <v>6951</v>
      </c>
      <c r="D2017" s="194"/>
      <c r="E2017" s="204" t="s">
        <v>92</v>
      </c>
      <c r="F2017" s="204"/>
    </row>
    <row r="2018" customHeight="1" spans="1:6">
      <c r="A2018" s="9" t="s">
        <v>6952</v>
      </c>
      <c r="B2018" s="195" t="s">
        <v>6953</v>
      </c>
      <c r="C2018" s="202" t="s">
        <v>6954</v>
      </c>
      <c r="D2018" s="152"/>
      <c r="E2018" s="154" t="s">
        <v>181</v>
      </c>
      <c r="F2018" s="180"/>
    </row>
    <row r="2019" customHeight="1" spans="1:6">
      <c r="A2019" s="9" t="s">
        <v>6955</v>
      </c>
      <c r="B2019" s="214" t="s">
        <v>6956</v>
      </c>
      <c r="C2019" s="214" t="s">
        <v>6957</v>
      </c>
      <c r="D2019" s="194"/>
      <c r="E2019" s="204" t="s">
        <v>92</v>
      </c>
      <c r="F2019" s="204"/>
    </row>
    <row r="2020" customHeight="1" spans="1:6">
      <c r="A2020" s="9" t="s">
        <v>6958</v>
      </c>
      <c r="B2020" s="194" t="s">
        <v>6959</v>
      </c>
      <c r="C2020" s="202" t="s">
        <v>6960</v>
      </c>
      <c r="D2020" s="158">
        <v>915879838</v>
      </c>
      <c r="E2020" s="158" t="s">
        <v>216</v>
      </c>
      <c r="F2020" s="153"/>
    </row>
    <row r="2021" customHeight="1" spans="1:6">
      <c r="A2021" s="9" t="s">
        <v>6961</v>
      </c>
      <c r="B2021" s="200" t="s">
        <v>6962</v>
      </c>
      <c r="C2021" s="203" t="s">
        <v>6963</v>
      </c>
      <c r="D2021" s="194"/>
      <c r="E2021" s="194" t="s">
        <v>273</v>
      </c>
      <c r="F2021" s="194"/>
    </row>
    <row r="2022" customHeight="1" spans="1:6">
      <c r="A2022" s="9" t="s">
        <v>6964</v>
      </c>
      <c r="B2022" s="195" t="s">
        <v>6965</v>
      </c>
      <c r="C2022" s="196" t="s">
        <v>6966</v>
      </c>
      <c r="D2022" s="197"/>
      <c r="E2022" s="197" t="s">
        <v>104</v>
      </c>
      <c r="F2022" s="197"/>
    </row>
    <row r="2023" customHeight="1" spans="1:6">
      <c r="A2023" s="9" t="s">
        <v>6967</v>
      </c>
      <c r="B2023" s="200" t="s">
        <v>6968</v>
      </c>
      <c r="C2023" s="192" t="s">
        <v>6969</v>
      </c>
      <c r="D2023" s="194"/>
      <c r="E2023" s="194" t="s">
        <v>125</v>
      </c>
      <c r="F2023" s="194"/>
    </row>
    <row r="2024" customHeight="1" spans="1:6">
      <c r="A2024" s="9" t="s">
        <v>6970</v>
      </c>
      <c r="B2024" s="194" t="s">
        <v>6971</v>
      </c>
      <c r="C2024" s="192" t="s">
        <v>6972</v>
      </c>
      <c r="D2024" s="197"/>
      <c r="E2024" s="197" t="s">
        <v>310</v>
      </c>
      <c r="F2024" s="197"/>
    </row>
    <row r="2025" customHeight="1" spans="1:6">
      <c r="A2025" s="9" t="s">
        <v>6973</v>
      </c>
      <c r="B2025" s="200" t="s">
        <v>6974</v>
      </c>
      <c r="C2025" s="202" t="s">
        <v>6975</v>
      </c>
      <c r="D2025" s="152"/>
      <c r="E2025" s="154"/>
      <c r="F2025" s="180"/>
    </row>
    <row r="2026" customHeight="1" spans="1:6">
      <c r="A2026" s="9" t="s">
        <v>6976</v>
      </c>
      <c r="B2026" s="200" t="s">
        <v>6977</v>
      </c>
      <c r="C2026" s="202" t="s">
        <v>6978</v>
      </c>
      <c r="D2026" s="154"/>
      <c r="E2026" s="154" t="s">
        <v>1281</v>
      </c>
      <c r="F2026" s="180"/>
    </row>
    <row r="2027" customHeight="1" spans="1:6">
      <c r="A2027" s="9" t="s">
        <v>6979</v>
      </c>
      <c r="B2027" s="200" t="s">
        <v>6980</v>
      </c>
      <c r="C2027" s="202" t="s">
        <v>6981</v>
      </c>
      <c r="D2027" s="152" t="s">
        <v>6982</v>
      </c>
      <c r="E2027" s="154" t="s">
        <v>232</v>
      </c>
      <c r="F2027" s="180"/>
    </row>
    <row r="2028" customHeight="1" spans="1:6">
      <c r="A2028" s="9" t="s">
        <v>6983</v>
      </c>
      <c r="B2028" s="200" t="s">
        <v>6984</v>
      </c>
      <c r="C2028" s="202" t="s">
        <v>6985</v>
      </c>
      <c r="D2028" s="152"/>
      <c r="E2028" s="154" t="s">
        <v>211</v>
      </c>
      <c r="F2028" s="180"/>
    </row>
    <row r="2029" customHeight="1" spans="1:6">
      <c r="A2029" s="9" t="s">
        <v>6986</v>
      </c>
      <c r="B2029" s="195" t="s">
        <v>6987</v>
      </c>
      <c r="C2029" s="196" t="s">
        <v>6988</v>
      </c>
      <c r="D2029" s="197"/>
      <c r="E2029" s="197" t="s">
        <v>186</v>
      </c>
      <c r="F2029" s="197"/>
    </row>
    <row r="2030" customHeight="1" spans="1:6">
      <c r="A2030" s="9" t="s">
        <v>6989</v>
      </c>
      <c r="B2030" s="195" t="s">
        <v>6990</v>
      </c>
      <c r="C2030" s="202" t="s">
        <v>6991</v>
      </c>
      <c r="D2030" s="248"/>
      <c r="E2030" s="158" t="s">
        <v>243</v>
      </c>
      <c r="F2030" s="153"/>
    </row>
    <row r="2031" customHeight="1" spans="1:6">
      <c r="A2031" s="9" t="s">
        <v>6992</v>
      </c>
      <c r="B2031" s="219" t="s">
        <v>6993</v>
      </c>
      <c r="C2031" s="219" t="s">
        <v>6994</v>
      </c>
      <c r="D2031" s="194"/>
      <c r="E2031" s="204" t="s">
        <v>92</v>
      </c>
      <c r="F2031" s="204"/>
    </row>
    <row r="2032" customHeight="1" spans="1:6">
      <c r="A2032" s="9" t="s">
        <v>6995</v>
      </c>
      <c r="B2032" s="201" t="s">
        <v>6996</v>
      </c>
      <c r="C2032" s="202" t="s">
        <v>6997</v>
      </c>
      <c r="D2032" s="154" t="s">
        <v>6998</v>
      </c>
      <c r="E2032" s="154" t="s">
        <v>243</v>
      </c>
      <c r="F2032" s="180"/>
    </row>
    <row r="2033" customHeight="1" spans="1:6">
      <c r="A2033" s="9" t="s">
        <v>6999</v>
      </c>
      <c r="B2033" s="223" t="s">
        <v>7000</v>
      </c>
      <c r="C2033" s="223" t="s">
        <v>7001</v>
      </c>
      <c r="D2033" s="204" t="s">
        <v>7002</v>
      </c>
      <c r="E2033" s="173" t="s">
        <v>92</v>
      </c>
      <c r="F2033" s="234"/>
    </row>
    <row r="2034" customHeight="1" spans="1:6">
      <c r="A2034" s="9" t="s">
        <v>7003</v>
      </c>
      <c r="B2034" s="201" t="s">
        <v>7004</v>
      </c>
      <c r="C2034" s="202" t="s">
        <v>7005</v>
      </c>
      <c r="D2034" s="154"/>
      <c r="E2034" s="154"/>
      <c r="F2034" s="180"/>
    </row>
    <row r="2035" customHeight="1" spans="1:6">
      <c r="A2035" s="9" t="s">
        <v>7006</v>
      </c>
      <c r="B2035" s="195" t="s">
        <v>7007</v>
      </c>
      <c r="C2035" s="202" t="s">
        <v>7008</v>
      </c>
      <c r="D2035" s="152"/>
      <c r="E2035" s="154"/>
      <c r="F2035" s="180"/>
    </row>
    <row r="2036" customHeight="1" spans="1:6">
      <c r="A2036" s="9" t="s">
        <v>7009</v>
      </c>
      <c r="B2036" s="215" t="s">
        <v>7010</v>
      </c>
      <c r="C2036" s="205" t="s">
        <v>7011</v>
      </c>
      <c r="D2036" s="244" t="s">
        <v>7012</v>
      </c>
      <c r="E2036" s="26" t="s">
        <v>92</v>
      </c>
      <c r="F2036" s="26"/>
    </row>
    <row r="2037" customHeight="1" spans="1:6">
      <c r="A2037" s="9" t="s">
        <v>7013</v>
      </c>
      <c r="B2037" s="215" t="s">
        <v>7014</v>
      </c>
      <c r="C2037" s="205" t="s">
        <v>7011</v>
      </c>
      <c r="D2037" s="227" t="s">
        <v>7012</v>
      </c>
      <c r="E2037" s="193" t="s">
        <v>120</v>
      </c>
      <c r="F2037" s="216" t="s">
        <v>7015</v>
      </c>
    </row>
    <row r="2038" customHeight="1" spans="1:6">
      <c r="A2038" s="9" t="s">
        <v>7016</v>
      </c>
      <c r="B2038" s="195" t="s">
        <v>7017</v>
      </c>
      <c r="C2038" s="213" t="s">
        <v>7018</v>
      </c>
      <c r="D2038" s="197"/>
      <c r="E2038" s="197" t="s">
        <v>243</v>
      </c>
      <c r="F2038" s="197"/>
    </row>
    <row r="2039" customHeight="1" spans="1:6">
      <c r="A2039" s="9" t="s">
        <v>7019</v>
      </c>
      <c r="B2039" s="201" t="s">
        <v>7020</v>
      </c>
      <c r="C2039" s="202" t="s">
        <v>7021</v>
      </c>
      <c r="D2039" s="154"/>
      <c r="E2039" s="154"/>
      <c r="F2039" s="180"/>
    </row>
    <row r="2040" customHeight="1" spans="1:6">
      <c r="A2040" s="9" t="s">
        <v>7022</v>
      </c>
      <c r="B2040" s="195" t="s">
        <v>7023</v>
      </c>
      <c r="C2040" s="202" t="s">
        <v>7024</v>
      </c>
      <c r="D2040" s="152" t="s">
        <v>7025</v>
      </c>
      <c r="E2040" s="154"/>
      <c r="F2040" s="180"/>
    </row>
    <row r="2041" customHeight="1" spans="1:6">
      <c r="A2041" s="9" t="s">
        <v>7026</v>
      </c>
      <c r="B2041" s="153" t="s">
        <v>7027</v>
      </c>
      <c r="C2041" s="202" t="s">
        <v>7028</v>
      </c>
      <c r="D2041" s="154"/>
      <c r="E2041" s="154" t="s">
        <v>243</v>
      </c>
      <c r="F2041" s="180"/>
    </row>
    <row r="2042" customHeight="1" spans="1:6">
      <c r="A2042" s="9" t="s">
        <v>7029</v>
      </c>
      <c r="B2042" s="197" t="s">
        <v>7030</v>
      </c>
      <c r="C2042" s="202" t="s">
        <v>7031</v>
      </c>
      <c r="D2042" s="158" t="s">
        <v>7032</v>
      </c>
      <c r="E2042" s="154" t="s">
        <v>243</v>
      </c>
      <c r="F2042" s="250"/>
    </row>
    <row r="2043" customHeight="1" spans="1:6">
      <c r="A2043" s="9" t="s">
        <v>7033</v>
      </c>
      <c r="B2043" s="201" t="s">
        <v>7034</v>
      </c>
      <c r="C2043" s="202" t="s">
        <v>7035</v>
      </c>
      <c r="D2043" s="154"/>
      <c r="E2043" s="154" t="s">
        <v>243</v>
      </c>
      <c r="F2043" s="180"/>
    </row>
    <row r="2044" customHeight="1" spans="1:6">
      <c r="A2044" s="9" t="s">
        <v>7036</v>
      </c>
      <c r="B2044" s="195" t="s">
        <v>7037</v>
      </c>
      <c r="C2044" s="202" t="s">
        <v>7038</v>
      </c>
      <c r="D2044" s="158">
        <v>964519029</v>
      </c>
      <c r="E2044" s="154" t="s">
        <v>202</v>
      </c>
      <c r="F2044" s="180"/>
    </row>
    <row r="2045" customHeight="1" spans="1:6">
      <c r="A2045" s="9" t="s">
        <v>7039</v>
      </c>
      <c r="B2045" s="195" t="s">
        <v>7040</v>
      </c>
      <c r="C2045" s="202" t="s">
        <v>7041</v>
      </c>
      <c r="D2045" s="152"/>
      <c r="E2045" s="154" t="s">
        <v>232</v>
      </c>
      <c r="F2045" s="180"/>
    </row>
    <row r="2046" customHeight="1" spans="1:6">
      <c r="A2046" s="9" t="s">
        <v>7042</v>
      </c>
      <c r="B2046" s="241" t="s">
        <v>7043</v>
      </c>
      <c r="C2046" s="242" t="s">
        <v>7044</v>
      </c>
      <c r="D2046" s="38" t="s">
        <v>7045</v>
      </c>
      <c r="E2046" s="37" t="s">
        <v>691</v>
      </c>
      <c r="F2046" s="308" t="s">
        <v>7046</v>
      </c>
    </row>
    <row r="2047" customHeight="1" spans="1:6">
      <c r="A2047" s="9" t="s">
        <v>7047</v>
      </c>
      <c r="B2047" s="160" t="s">
        <v>7048</v>
      </c>
      <c r="C2047" s="160" t="s">
        <v>7049</v>
      </c>
      <c r="D2047" s="204" t="s">
        <v>7050</v>
      </c>
      <c r="E2047" s="204" t="s">
        <v>92</v>
      </c>
      <c r="F2047" s="204"/>
    </row>
    <row r="2048" customHeight="1" spans="1:6">
      <c r="A2048" s="9" t="s">
        <v>7051</v>
      </c>
      <c r="B2048" s="191" t="s">
        <v>7052</v>
      </c>
      <c r="C2048" s="192" t="s">
        <v>7053</v>
      </c>
      <c r="D2048" s="193"/>
      <c r="E2048" s="194" t="s">
        <v>9</v>
      </c>
      <c r="F2048" s="194"/>
    </row>
    <row r="2049" customHeight="1" spans="1:6">
      <c r="A2049" s="9" t="s">
        <v>7054</v>
      </c>
      <c r="B2049" s="200" t="s">
        <v>7055</v>
      </c>
      <c r="C2049" s="202" t="s">
        <v>7056</v>
      </c>
      <c r="D2049" s="152"/>
      <c r="E2049" s="154" t="s">
        <v>232</v>
      </c>
      <c r="F2049" s="180"/>
    </row>
    <row r="2050" customHeight="1" spans="1:6">
      <c r="A2050" s="9" t="s">
        <v>7057</v>
      </c>
      <c r="B2050" s="200" t="s">
        <v>7058</v>
      </c>
      <c r="C2050" s="192" t="s">
        <v>7059</v>
      </c>
      <c r="D2050" s="194"/>
      <c r="E2050" s="193" t="s">
        <v>202</v>
      </c>
      <c r="F2050" s="191"/>
    </row>
    <row r="2051" customHeight="1" spans="1:6">
      <c r="A2051" s="9" t="s">
        <v>7060</v>
      </c>
      <c r="B2051" s="200" t="s">
        <v>7061</v>
      </c>
      <c r="C2051" s="202" t="s">
        <v>7062</v>
      </c>
      <c r="D2051" s="152" t="s">
        <v>7063</v>
      </c>
      <c r="E2051" s="154" t="s">
        <v>232</v>
      </c>
      <c r="F2051" s="180"/>
    </row>
    <row r="2052" customHeight="1" spans="1:6">
      <c r="A2052" s="9" t="s">
        <v>7064</v>
      </c>
      <c r="B2052" s="200" t="s">
        <v>7065</v>
      </c>
      <c r="C2052" s="202" t="s">
        <v>7066</v>
      </c>
      <c r="D2052" s="152" t="s">
        <v>7067</v>
      </c>
      <c r="E2052" s="154" t="s">
        <v>232</v>
      </c>
      <c r="F2052" s="180"/>
    </row>
    <row r="2053" customHeight="1" spans="1:6">
      <c r="A2053" s="9" t="s">
        <v>7068</v>
      </c>
      <c r="B2053" s="223" t="s">
        <v>7069</v>
      </c>
      <c r="C2053" s="223" t="s">
        <v>7070</v>
      </c>
      <c r="D2053" s="204" t="s">
        <v>7071</v>
      </c>
      <c r="E2053" s="204" t="s">
        <v>92</v>
      </c>
      <c r="F2053" s="204"/>
    </row>
    <row r="2054" customHeight="1" spans="1:6">
      <c r="A2054" s="9" t="s">
        <v>7072</v>
      </c>
      <c r="B2054" s="195" t="s">
        <v>7073</v>
      </c>
      <c r="C2054" s="202" t="s">
        <v>7074</v>
      </c>
      <c r="D2054" s="152"/>
      <c r="E2054" s="154" t="s">
        <v>181</v>
      </c>
      <c r="F2054" s="180"/>
    </row>
    <row r="2055" customHeight="1" spans="1:6">
      <c r="A2055" s="9" t="s">
        <v>7075</v>
      </c>
      <c r="B2055" s="160" t="s">
        <v>7076</v>
      </c>
      <c r="C2055" s="160" t="s">
        <v>7077</v>
      </c>
      <c r="D2055" s="204" t="s">
        <v>7078</v>
      </c>
      <c r="E2055" s="204" t="s">
        <v>92</v>
      </c>
      <c r="F2055" s="204"/>
    </row>
    <row r="2056" customHeight="1" spans="1:6">
      <c r="A2056" s="9" t="s">
        <v>7079</v>
      </c>
      <c r="B2056" s="195" t="s">
        <v>7080</v>
      </c>
      <c r="C2056" s="196" t="s">
        <v>7081</v>
      </c>
      <c r="D2056" s="197" t="s">
        <v>7082</v>
      </c>
      <c r="E2056" s="197" t="s">
        <v>202</v>
      </c>
      <c r="F2056" s="197"/>
    </row>
    <row r="2057" customHeight="1" spans="1:6">
      <c r="A2057" s="9" t="s">
        <v>7083</v>
      </c>
      <c r="B2057" s="160" t="s">
        <v>7084</v>
      </c>
      <c r="C2057" s="160" t="s">
        <v>7085</v>
      </c>
      <c r="D2057" s="204" t="s">
        <v>6141</v>
      </c>
      <c r="E2057" s="204" t="s">
        <v>92</v>
      </c>
      <c r="F2057" s="204"/>
    </row>
    <row r="2058" customHeight="1" spans="1:6">
      <c r="A2058" s="9" t="s">
        <v>7086</v>
      </c>
      <c r="B2058" s="223" t="s">
        <v>7087</v>
      </c>
      <c r="C2058" s="223" t="s">
        <v>7088</v>
      </c>
      <c r="D2058" s="204" t="s">
        <v>7089</v>
      </c>
      <c r="E2058" s="204" t="s">
        <v>92</v>
      </c>
      <c r="F2058" s="204"/>
    </row>
    <row r="2059" customHeight="1" spans="1:6">
      <c r="A2059" s="9" t="s">
        <v>7090</v>
      </c>
      <c r="B2059" s="223" t="s">
        <v>7091</v>
      </c>
      <c r="C2059" s="223" t="s">
        <v>7092</v>
      </c>
      <c r="D2059" s="204" t="s">
        <v>7093</v>
      </c>
      <c r="E2059" s="204" t="s">
        <v>92</v>
      </c>
      <c r="F2059" s="204"/>
    </row>
    <row r="2060" customHeight="1" spans="1:6">
      <c r="A2060" s="9" t="s">
        <v>7094</v>
      </c>
      <c r="B2060" s="194" t="s">
        <v>7095</v>
      </c>
      <c r="C2060" s="192" t="s">
        <v>7096</v>
      </c>
      <c r="D2060" s="194" t="s">
        <v>4283</v>
      </c>
      <c r="E2060" s="309" t="s">
        <v>243</v>
      </c>
      <c r="F2060" s="309"/>
    </row>
    <row r="2061" customHeight="1" spans="1:6">
      <c r="A2061" s="9" t="s">
        <v>7097</v>
      </c>
      <c r="B2061" s="160" t="s">
        <v>7098</v>
      </c>
      <c r="C2061" s="160" t="s">
        <v>7099</v>
      </c>
      <c r="D2061" s="204" t="s">
        <v>7100</v>
      </c>
      <c r="E2061" s="204" t="s">
        <v>92</v>
      </c>
      <c r="F2061" s="204"/>
    </row>
    <row r="2062" customHeight="1" spans="1:6">
      <c r="A2062" s="9" t="s">
        <v>7101</v>
      </c>
      <c r="B2062" s="223" t="s">
        <v>7102</v>
      </c>
      <c r="C2062" s="223" t="s">
        <v>7103</v>
      </c>
      <c r="D2062" s="204" t="s">
        <v>7104</v>
      </c>
      <c r="E2062" s="173" t="s">
        <v>605</v>
      </c>
      <c r="F2062" s="234" t="s">
        <v>7105</v>
      </c>
    </row>
    <row r="2063" customHeight="1" spans="1:6">
      <c r="A2063" s="9" t="s">
        <v>7106</v>
      </c>
      <c r="B2063" s="214" t="s">
        <v>7107</v>
      </c>
      <c r="C2063" s="214" t="s">
        <v>7108</v>
      </c>
      <c r="D2063" s="194"/>
      <c r="E2063" s="204" t="s">
        <v>92</v>
      </c>
      <c r="F2063" s="204"/>
    </row>
    <row r="2064" customHeight="1" spans="1:6">
      <c r="A2064" s="9" t="s">
        <v>7109</v>
      </c>
      <c r="B2064" s="214" t="s">
        <v>7110</v>
      </c>
      <c r="C2064" s="214" t="s">
        <v>7111</v>
      </c>
      <c r="D2064" s="194"/>
      <c r="E2064" s="204" t="s">
        <v>92</v>
      </c>
      <c r="F2064" s="204"/>
    </row>
    <row r="2065" customHeight="1" spans="1:6">
      <c r="A2065" s="9" t="s">
        <v>7112</v>
      </c>
      <c r="B2065" s="276" t="str">
        <f>IFERROR(__xludf.DUMMYFUNCTION("""COMPUTED_VALUE"""),"Amelework Enkosa Tegen")</f>
        <v>Amelework Enkosa Tegen</v>
      </c>
      <c r="C2065" s="276" t="str">
        <f>IFERROR(__xludf.DUMMYFUNCTION("""COMPUTED_VALUE"""),"አመለወርቅ እንኮሳ ተገኝ")</f>
        <v>አመለወርቅ እንኮሳ ተገኝ</v>
      </c>
      <c r="D2065" s="276" t="str">
        <f>IFERROR(__xludf.DUMMYFUNCTION("""COMPUTED_VALUE"""),"0913-422509
0911-128362")</f>
        <v>0913-422509
0911-128362</v>
      </c>
      <c r="E2065" s="276" t="str">
        <f>IFERROR(__xludf.DUMMYFUNCTION("""COMPUTED_VALUE"""),"Addis Abeba")</f>
        <v>Addis Abeba</v>
      </c>
      <c r="F2065" s="276" t="str">
        <f>IFERROR(__xludf.DUMMYFUNCTION("""COMPUTED_VALUE"""),"yiggoshu2005@gmail. com")</f>
        <v>yiggoshu2005@gmail. com</v>
      </c>
    </row>
    <row r="2066" customHeight="1" spans="1:6">
      <c r="A2066" s="9" t="s">
        <v>7113</v>
      </c>
      <c r="B2066" s="223" t="s">
        <v>7114</v>
      </c>
      <c r="C2066" s="223" t="s">
        <v>7115</v>
      </c>
      <c r="D2066" s="204" t="s">
        <v>7116</v>
      </c>
      <c r="E2066" s="204" t="s">
        <v>92</v>
      </c>
      <c r="F2066" s="204"/>
    </row>
    <row r="2067" customHeight="1" spans="1:6">
      <c r="A2067" s="9" t="s">
        <v>7117</v>
      </c>
      <c r="B2067" s="223" t="s">
        <v>7118</v>
      </c>
      <c r="C2067" s="223" t="s">
        <v>7119</v>
      </c>
      <c r="D2067" s="204" t="s">
        <v>7120</v>
      </c>
      <c r="E2067" s="204" t="s">
        <v>92</v>
      </c>
      <c r="F2067" s="204"/>
    </row>
    <row r="2068" customHeight="1" spans="1:6">
      <c r="A2068" s="9" t="s">
        <v>7121</v>
      </c>
      <c r="B2068" s="158" t="s">
        <v>7122</v>
      </c>
      <c r="C2068" s="202" t="s">
        <v>7123</v>
      </c>
      <c r="D2068" s="158">
        <v>916452405</v>
      </c>
      <c r="E2068" s="154" t="s">
        <v>211</v>
      </c>
      <c r="F2068" s="180"/>
    </row>
    <row r="2069" customHeight="1" spans="1:6">
      <c r="A2069" s="9" t="s">
        <v>7124</v>
      </c>
      <c r="B2069" s="220" t="str">
        <f>IFERROR(__xludf.DUMMYFUNCTION("""COMPUTED_VALUE"""),"Amelework Gemechu /W/o/")</f>
        <v>Amelework Gemechu /W/o/</v>
      </c>
      <c r="C2069" s="220" t="str">
        <f>IFERROR(__xludf.DUMMYFUNCTION("""COMPUTED_VALUE"""),"አመለወርቅ ገመቹ /ወ/ሮ/")</f>
        <v>አመለወርቅ ገመቹ /ወ/ሮ/</v>
      </c>
      <c r="D2069" s="220" t="str">
        <f>IFERROR(__xludf.DUMMYFUNCTION("""COMPUTED_VALUE"""),"911695659")</f>
        <v>911695659</v>
      </c>
      <c r="E2069" s="220" t="str">
        <f>IFERROR(__xludf.DUMMYFUNCTION("""COMPUTED_VALUE"""),"A A")</f>
        <v>A A</v>
      </c>
      <c r="F2069" s="220" t="str">
        <f>IFERROR(__xludf.DUMMYFUNCTION("""COMPUTED_VALUE"""),"elefnesh10@gmail.com")</f>
        <v>elefnesh10@gmail.com</v>
      </c>
    </row>
    <row r="2070" customHeight="1" spans="1:6">
      <c r="A2070" s="9" t="s">
        <v>7125</v>
      </c>
      <c r="B2070" s="160" t="s">
        <v>7126</v>
      </c>
      <c r="C2070" s="160" t="s">
        <v>7127</v>
      </c>
      <c r="D2070" s="204" t="s">
        <v>7128</v>
      </c>
      <c r="E2070" s="204" t="s">
        <v>92</v>
      </c>
      <c r="F2070" s="204"/>
    </row>
    <row r="2071" customHeight="1" spans="1:6">
      <c r="A2071" s="9" t="s">
        <v>7129</v>
      </c>
      <c r="B2071" s="215" t="s">
        <v>7130</v>
      </c>
      <c r="C2071" s="205" t="s">
        <v>7131</v>
      </c>
      <c r="D2071" s="227" t="s">
        <v>7132</v>
      </c>
      <c r="E2071" s="193" t="s">
        <v>120</v>
      </c>
      <c r="F2071" s="216" t="s">
        <v>7133</v>
      </c>
    </row>
    <row r="2072" customHeight="1" spans="1:6">
      <c r="A2072" s="9" t="s">
        <v>7134</v>
      </c>
      <c r="B2072" s="215" t="s">
        <v>7135</v>
      </c>
      <c r="C2072" s="205" t="s">
        <v>7136</v>
      </c>
      <c r="D2072" s="227" t="s">
        <v>7137</v>
      </c>
      <c r="E2072" s="193" t="s">
        <v>120</v>
      </c>
      <c r="F2072" s="216"/>
    </row>
    <row r="2073" customHeight="1" spans="1:6">
      <c r="A2073" s="9" t="s">
        <v>7138</v>
      </c>
      <c r="B2073" s="214" t="s">
        <v>7139</v>
      </c>
      <c r="C2073" s="214" t="s">
        <v>7140</v>
      </c>
      <c r="D2073" s="194"/>
      <c r="E2073" s="204" t="s">
        <v>92</v>
      </c>
      <c r="F2073" s="204"/>
    </row>
    <row r="2074" customHeight="1" spans="1:6">
      <c r="A2074" s="9" t="s">
        <v>7141</v>
      </c>
      <c r="B2074" s="215" t="s">
        <v>7142</v>
      </c>
      <c r="C2074" s="205" t="s">
        <v>7143</v>
      </c>
      <c r="D2074" s="194"/>
      <c r="E2074" s="193" t="s">
        <v>120</v>
      </c>
      <c r="F2074" s="26"/>
    </row>
    <row r="2075" customHeight="1" spans="1:6">
      <c r="A2075" s="9" t="s">
        <v>7144</v>
      </c>
      <c r="B2075" s="266" t="s">
        <v>7145</v>
      </c>
      <c r="C2075" s="292" t="s">
        <v>7146</v>
      </c>
      <c r="D2075" s="256" t="s">
        <v>7147</v>
      </c>
      <c r="E2075" s="26" t="s">
        <v>1701</v>
      </c>
      <c r="F2075" s="290" t="s">
        <v>7148</v>
      </c>
    </row>
    <row r="2076" customHeight="1" spans="1:6">
      <c r="A2076" s="9" t="s">
        <v>7149</v>
      </c>
      <c r="B2076" s="197" t="s">
        <v>7150</v>
      </c>
      <c r="C2076" s="196" t="s">
        <v>7151</v>
      </c>
      <c r="D2076" s="197" t="s">
        <v>7152</v>
      </c>
      <c r="E2076" s="197" t="s">
        <v>7153</v>
      </c>
      <c r="F2076" s="197"/>
    </row>
    <row r="2077" customHeight="1" spans="1:6">
      <c r="A2077" s="9" t="s">
        <v>7154</v>
      </c>
      <c r="B2077" s="214" t="s">
        <v>7155</v>
      </c>
      <c r="C2077" s="214" t="s">
        <v>7156</v>
      </c>
      <c r="D2077" s="194"/>
      <c r="E2077" s="204" t="s">
        <v>92</v>
      </c>
      <c r="F2077" s="204"/>
    </row>
    <row r="2078" customHeight="1" spans="1:6">
      <c r="A2078" s="9" t="s">
        <v>7157</v>
      </c>
      <c r="B2078" s="200" t="s">
        <v>7158</v>
      </c>
      <c r="C2078" s="192" t="s">
        <v>7159</v>
      </c>
      <c r="D2078" s="194"/>
      <c r="E2078" s="194" t="s">
        <v>273</v>
      </c>
      <c r="F2078" s="194"/>
    </row>
    <row r="2079" customHeight="1" spans="1:6">
      <c r="A2079" s="9" t="s">
        <v>7160</v>
      </c>
      <c r="B2079" s="195" t="s">
        <v>7161</v>
      </c>
      <c r="C2079" s="202" t="s">
        <v>7162</v>
      </c>
      <c r="D2079" s="152"/>
      <c r="E2079" s="154" t="s">
        <v>232</v>
      </c>
      <c r="F2079" s="180"/>
    </row>
    <row r="2080" customHeight="1" spans="1:6">
      <c r="A2080" s="9" t="s">
        <v>7163</v>
      </c>
      <c r="B2080" s="205" t="s">
        <v>7164</v>
      </c>
      <c r="C2080" s="205" t="s">
        <v>7165</v>
      </c>
      <c r="D2080" s="206" t="s">
        <v>7166</v>
      </c>
      <c r="E2080" s="193" t="s">
        <v>120</v>
      </c>
      <c r="F2080" s="221"/>
    </row>
    <row r="2081" customHeight="1" spans="1:6">
      <c r="A2081" s="9" t="s">
        <v>7167</v>
      </c>
      <c r="B2081" s="223" t="s">
        <v>7168</v>
      </c>
      <c r="C2081" s="223" t="s">
        <v>7169</v>
      </c>
      <c r="D2081" s="194"/>
      <c r="E2081" s="204" t="s">
        <v>92</v>
      </c>
      <c r="F2081" s="204"/>
    </row>
    <row r="2082" customHeight="1" spans="1:6">
      <c r="A2082" s="9" t="s">
        <v>7170</v>
      </c>
      <c r="B2082" s="214" t="s">
        <v>7171</v>
      </c>
      <c r="C2082" s="214" t="s">
        <v>7172</v>
      </c>
      <c r="D2082" s="194"/>
      <c r="E2082" s="204" t="s">
        <v>92</v>
      </c>
      <c r="F2082" s="204"/>
    </row>
    <row r="2083" customHeight="1" spans="1:6">
      <c r="A2083" s="9" t="s">
        <v>7173</v>
      </c>
      <c r="B2083" s="223" t="s">
        <v>7174</v>
      </c>
      <c r="C2083" s="223" t="s">
        <v>7175</v>
      </c>
      <c r="D2083" s="194"/>
      <c r="E2083" s="204" t="s">
        <v>92</v>
      </c>
      <c r="F2083" s="204"/>
    </row>
    <row r="2084" customHeight="1" spans="1:6">
      <c r="A2084" s="9" t="s">
        <v>7176</v>
      </c>
      <c r="B2084" s="233" t="s">
        <v>7177</v>
      </c>
      <c r="C2084" s="233" t="s">
        <v>7178</v>
      </c>
      <c r="D2084" s="204" t="s">
        <v>7179</v>
      </c>
      <c r="E2084" s="204" t="s">
        <v>605</v>
      </c>
      <c r="F2084" s="204" t="s">
        <v>7180</v>
      </c>
    </row>
    <row r="2085" customHeight="1" spans="1:6">
      <c r="A2085" s="9" t="s">
        <v>7181</v>
      </c>
      <c r="B2085" s="158" t="s">
        <v>7182</v>
      </c>
      <c r="C2085" s="202" t="s">
        <v>7183</v>
      </c>
      <c r="D2085" s="158">
        <v>911809266</v>
      </c>
      <c r="E2085" s="154" t="s">
        <v>211</v>
      </c>
      <c r="F2085" s="261"/>
    </row>
    <row r="2086" customHeight="1" spans="1:6">
      <c r="A2086" s="9" t="s">
        <v>7184</v>
      </c>
      <c r="B2086" s="276" t="str">
        <f>IFERROR(__xludf.DUMMYFUNCTION("""COMPUTED_VALUE"""),"Amhaselassie Tilahun Messele /Ato/")</f>
        <v>Amhaselassie Tilahun Messele /Ato/</v>
      </c>
      <c r="C2086" s="276" t="str">
        <f>IFERROR(__xludf.DUMMYFUNCTION("""COMPUTED_VALUE"""),"አምሃስላሴ ጥላሁን መሠለ /አቶ/")</f>
        <v>አምሃስላሴ ጥላሁን መሠለ /አቶ/</v>
      </c>
      <c r="D2086" s="276" t="str">
        <f>IFERROR(__xludf.DUMMYFUNCTION("""COMPUTED_VALUE"""),"911644060")</f>
        <v>911644060</v>
      </c>
      <c r="E2086" s="276" t="str">
        <f>IFERROR(__xludf.DUMMYFUNCTION("""COMPUTED_VALUE"""),"addis abebas")</f>
        <v>addis abebas</v>
      </c>
      <c r="F2086" s="276" t="str">
        <f>IFERROR(__xludf.DUMMYFUNCTION("""COMPUTED_VALUE"""),"mwblackd@gmail.com")</f>
        <v>mwblackd@gmail.com</v>
      </c>
    </row>
    <row r="2087" customHeight="1" spans="1:6">
      <c r="A2087" s="9" t="s">
        <v>7185</v>
      </c>
      <c r="B2087" s="160" t="s">
        <v>7186</v>
      </c>
      <c r="C2087" s="160" t="s">
        <v>7187</v>
      </c>
      <c r="D2087" s="204" t="s">
        <v>7188</v>
      </c>
      <c r="E2087" s="204" t="s">
        <v>632</v>
      </c>
      <c r="F2087" s="204" t="s">
        <v>7189</v>
      </c>
    </row>
    <row r="2088" customHeight="1" spans="1:6">
      <c r="A2088" s="9" t="s">
        <v>7190</v>
      </c>
      <c r="B2088" s="200" t="s">
        <v>7191</v>
      </c>
      <c r="C2088" s="246" t="s">
        <v>7192</v>
      </c>
      <c r="D2088" s="194"/>
      <c r="E2088" s="194" t="s">
        <v>202</v>
      </c>
      <c r="F2088" s="194"/>
    </row>
    <row r="2089" customHeight="1" spans="1:6">
      <c r="A2089" s="9" t="s">
        <v>7193</v>
      </c>
      <c r="B2089" s="191" t="s">
        <v>7194</v>
      </c>
      <c r="C2089" s="192" t="s">
        <v>7195</v>
      </c>
      <c r="D2089" s="193" t="s">
        <v>7196</v>
      </c>
      <c r="E2089" s="194" t="s">
        <v>9</v>
      </c>
      <c r="F2089" s="194"/>
    </row>
    <row r="2090" customHeight="1" spans="1:6">
      <c r="A2090" s="9" t="s">
        <v>7197</v>
      </c>
      <c r="B2090" s="310" t="s">
        <v>7198</v>
      </c>
      <c r="C2090" s="310" t="s">
        <v>7199</v>
      </c>
      <c r="D2090" s="194"/>
      <c r="E2090" s="204" t="s">
        <v>92</v>
      </c>
      <c r="F2090" s="204"/>
    </row>
    <row r="2091" customHeight="1" spans="1:6">
      <c r="A2091" s="9" t="s">
        <v>7200</v>
      </c>
      <c r="B2091" s="220" t="s">
        <v>7201</v>
      </c>
      <c r="C2091" s="220" t="s">
        <v>7202</v>
      </c>
      <c r="D2091" s="220">
        <v>901019852</v>
      </c>
      <c r="E2091" s="222" t="str">
        <f>IFERROR(__xludf.DUMMYFUNCTION("""COMPUTED_VALUE"""),"Addis Ababa")</f>
        <v>Addis Ababa</v>
      </c>
      <c r="F2091" s="220"/>
    </row>
    <row r="2092" customHeight="1" spans="1:6">
      <c r="A2092" s="9" t="s">
        <v>7203</v>
      </c>
      <c r="B2092" s="234" t="s">
        <v>7204</v>
      </c>
      <c r="C2092" s="235" t="s">
        <v>7205</v>
      </c>
      <c r="D2092" s="36">
        <v>911088014</v>
      </c>
      <c r="E2092" s="45" t="s">
        <v>691</v>
      </c>
      <c r="F2092" s="288"/>
    </row>
    <row r="2093" customHeight="1" spans="1:6">
      <c r="A2093" s="9" t="s">
        <v>7206</v>
      </c>
      <c r="B2093" s="214" t="s">
        <v>7207</v>
      </c>
      <c r="C2093" s="214" t="s">
        <v>7208</v>
      </c>
      <c r="D2093" s="194"/>
      <c r="E2093" s="204" t="s">
        <v>92</v>
      </c>
      <c r="F2093" s="204"/>
    </row>
    <row r="2094" customHeight="1" spans="1:6">
      <c r="A2094" s="9" t="s">
        <v>7209</v>
      </c>
      <c r="B2094" s="222" t="str">
        <f>IFERROR(__xludf.DUMMYFUNCTION("""COMPUTED_VALUE"""),"Amir Mohammed Abdulkadir")</f>
        <v>Amir Mohammed Abdulkadir</v>
      </c>
      <c r="C2094" s="222" t="str">
        <f>IFERROR(__xludf.DUMMYFUNCTION("""COMPUTED_VALUE"""),"አሚር መሀመድ አብድልቃድር")</f>
        <v>አሚር መሀመድ አብድልቃድር</v>
      </c>
      <c r="D2094" s="222" t="str">
        <f>IFERROR(__xludf.DUMMYFUNCTION("""COMPUTED_VALUE"""),"911287675")</f>
        <v>911287675</v>
      </c>
      <c r="E2094" s="222" t="str">
        <f>IFERROR(__xludf.DUMMYFUNCTION("""COMPUTED_VALUE"""),"A/A")</f>
        <v>A/A</v>
      </c>
      <c r="F2094" s="222"/>
    </row>
    <row r="2095" customHeight="1" spans="1:6">
      <c r="A2095" s="9" t="s">
        <v>7210</v>
      </c>
      <c r="B2095" s="201" t="s">
        <v>7211</v>
      </c>
      <c r="C2095" s="202" t="s">
        <v>7212</v>
      </c>
      <c r="D2095" s="154" t="s">
        <v>7213</v>
      </c>
      <c r="E2095" s="154"/>
      <c r="F2095" s="180"/>
    </row>
    <row r="2096" customHeight="1" spans="1:6">
      <c r="A2096" s="9" t="s">
        <v>7214</v>
      </c>
      <c r="B2096" s="233" t="s">
        <v>7215</v>
      </c>
      <c r="C2096" s="233" t="s">
        <v>7216</v>
      </c>
      <c r="D2096" s="204" t="s">
        <v>7217</v>
      </c>
      <c r="E2096" s="204" t="s">
        <v>605</v>
      </c>
      <c r="F2096" s="204" t="s">
        <v>7218</v>
      </c>
    </row>
    <row r="2097" customHeight="1" spans="1:6">
      <c r="A2097" s="9" t="s">
        <v>7219</v>
      </c>
      <c r="B2097" s="222" t="str">
        <f>IFERROR(__xludf.DUMMYFUNCTION("""COMPUTED_VALUE"""),"Amirah Jemal Hassen")</f>
        <v>Amirah Jemal Hassen</v>
      </c>
      <c r="C2097" s="222" t="str">
        <f>IFERROR(__xludf.DUMMYFUNCTION("""COMPUTED_VALUE"""),"አሚራ ጀማል ሀሰን")</f>
        <v>አሚራ ጀማል ሀሰን</v>
      </c>
      <c r="D2097" s="222" t="str">
        <f>IFERROR(__xludf.DUMMYFUNCTION("""COMPUTED_VALUE"""),"911588761")</f>
        <v>911588761</v>
      </c>
      <c r="E2097" s="222" t="str">
        <f>IFERROR(__xludf.DUMMYFUNCTION("""COMPUTED_VALUE"""),"Addis Ababa")</f>
        <v>Addis Ababa</v>
      </c>
      <c r="F2097" s="222" t="str">
        <f>IFERROR(__xludf.DUMMYFUNCTION("""COMPUTED_VALUE"""),"AmirahJemalhaseen@gmail.com")</f>
        <v>AmirahJemalhaseen@gmail.com</v>
      </c>
    </row>
    <row r="2098" customHeight="1" spans="1:6">
      <c r="A2098" s="9" t="s">
        <v>7220</v>
      </c>
      <c r="B2098" s="200" t="s">
        <v>7221</v>
      </c>
      <c r="C2098" s="246" t="s">
        <v>7222</v>
      </c>
      <c r="D2098" s="194"/>
      <c r="E2098" s="194" t="s">
        <v>186</v>
      </c>
      <c r="F2098" s="194"/>
    </row>
    <row r="2099" customHeight="1" spans="1:6">
      <c r="A2099" s="9" t="s">
        <v>7223</v>
      </c>
      <c r="B2099" s="201" t="s">
        <v>7224</v>
      </c>
      <c r="C2099" s="202" t="s">
        <v>7225</v>
      </c>
      <c r="D2099" s="154" t="s">
        <v>7226</v>
      </c>
      <c r="E2099" s="154" t="s">
        <v>186</v>
      </c>
      <c r="F2099" s="180"/>
    </row>
    <row r="2100" customHeight="1" spans="1:6">
      <c r="A2100" s="9" t="s">
        <v>7227</v>
      </c>
      <c r="B2100" s="200" t="s">
        <v>7228</v>
      </c>
      <c r="C2100" s="202" t="s">
        <v>7229</v>
      </c>
      <c r="D2100" s="152"/>
      <c r="E2100" s="154" t="s">
        <v>104</v>
      </c>
      <c r="F2100" s="180"/>
    </row>
    <row r="2101" customHeight="1" spans="1:6">
      <c r="A2101" s="9" t="s">
        <v>7230</v>
      </c>
      <c r="B2101" s="195" t="s">
        <v>7231</v>
      </c>
      <c r="C2101" s="202" t="s">
        <v>7232</v>
      </c>
      <c r="D2101" s="152"/>
      <c r="E2101" s="154" t="s">
        <v>232</v>
      </c>
      <c r="F2101" s="180"/>
    </row>
    <row r="2102" customHeight="1" spans="1:6">
      <c r="A2102" s="9" t="s">
        <v>7233</v>
      </c>
      <c r="B2102" s="160" t="s">
        <v>7234</v>
      </c>
      <c r="C2102" s="160" t="s">
        <v>7235</v>
      </c>
      <c r="D2102" s="204" t="s">
        <v>7236</v>
      </c>
      <c r="E2102" s="204" t="s">
        <v>92</v>
      </c>
      <c r="F2102" s="204"/>
    </row>
    <row r="2103" customHeight="1" spans="1:6">
      <c r="A2103" s="9" t="s">
        <v>7237</v>
      </c>
      <c r="B2103" s="215" t="s">
        <v>7238</v>
      </c>
      <c r="C2103" s="205" t="s">
        <v>7239</v>
      </c>
      <c r="D2103" s="206" t="s">
        <v>7240</v>
      </c>
      <c r="E2103" s="193" t="s">
        <v>120</v>
      </c>
      <c r="F2103" s="221" t="s">
        <v>7241</v>
      </c>
    </row>
    <row r="2104" customHeight="1" spans="1:6">
      <c r="A2104" s="9" t="s">
        <v>7242</v>
      </c>
      <c r="B2104" s="215" t="s">
        <v>7243</v>
      </c>
      <c r="C2104" s="205" t="s">
        <v>7244</v>
      </c>
      <c r="D2104" s="244" t="s">
        <v>7245</v>
      </c>
      <c r="E2104" s="26" t="s">
        <v>92</v>
      </c>
      <c r="F2104" s="26" t="s">
        <v>7246</v>
      </c>
    </row>
    <row r="2105" customHeight="1" spans="1:6">
      <c r="A2105" s="9" t="s">
        <v>7247</v>
      </c>
      <c r="B2105" s="195" t="s">
        <v>7248</v>
      </c>
      <c r="C2105" s="196" t="s">
        <v>7249</v>
      </c>
      <c r="D2105" s="197"/>
      <c r="E2105" s="197" t="s">
        <v>202</v>
      </c>
      <c r="F2105" s="197"/>
    </row>
    <row r="2106" customHeight="1" spans="1:6">
      <c r="A2106" s="9" t="s">
        <v>7250</v>
      </c>
      <c r="B2106" s="195" t="s">
        <v>7251</v>
      </c>
      <c r="C2106" s="202" t="s">
        <v>7252</v>
      </c>
      <c r="D2106" s="158"/>
      <c r="E2106" s="154" t="s">
        <v>253</v>
      </c>
      <c r="F2106" s="180"/>
    </row>
    <row r="2107" customHeight="1" spans="1:6">
      <c r="A2107" s="9" t="s">
        <v>7253</v>
      </c>
      <c r="B2107" s="195" t="s">
        <v>7254</v>
      </c>
      <c r="C2107" s="196" t="s">
        <v>7255</v>
      </c>
      <c r="D2107" s="197"/>
      <c r="E2107" s="198" t="s">
        <v>202</v>
      </c>
      <c r="F2107" s="199"/>
    </row>
    <row r="2108" customHeight="1" spans="1:6">
      <c r="A2108" s="9" t="s">
        <v>7256</v>
      </c>
      <c r="B2108" s="200" t="s">
        <v>7257</v>
      </c>
      <c r="C2108" s="203" t="s">
        <v>7258</v>
      </c>
      <c r="D2108" s="194"/>
      <c r="E2108" s="194" t="s">
        <v>253</v>
      </c>
      <c r="F2108" s="194"/>
    </row>
    <row r="2109" customHeight="1" spans="1:6">
      <c r="A2109" s="9" t="s">
        <v>7259</v>
      </c>
      <c r="B2109" s="195" t="s">
        <v>7260</v>
      </c>
      <c r="C2109" s="202" t="s">
        <v>7261</v>
      </c>
      <c r="D2109" s="152"/>
      <c r="E2109" s="154" t="s">
        <v>232</v>
      </c>
      <c r="F2109" s="180"/>
    </row>
    <row r="2110" customHeight="1" spans="1:6">
      <c r="A2110" s="9" t="s">
        <v>7262</v>
      </c>
      <c r="B2110" s="200" t="s">
        <v>7263</v>
      </c>
      <c r="C2110" s="192" t="s">
        <v>7264</v>
      </c>
      <c r="D2110" s="194" t="s">
        <v>7265</v>
      </c>
      <c r="E2110" s="194" t="s">
        <v>202</v>
      </c>
      <c r="F2110" s="194"/>
    </row>
    <row r="2111" customHeight="1" spans="1:6">
      <c r="A2111" s="9" t="s">
        <v>7266</v>
      </c>
      <c r="B2111" s="195" t="s">
        <v>7267</v>
      </c>
      <c r="C2111" s="212" t="s">
        <v>7268</v>
      </c>
      <c r="D2111" s="197" t="s">
        <v>7269</v>
      </c>
      <c r="E2111" s="198" t="s">
        <v>216</v>
      </c>
      <c r="F2111" s="199"/>
    </row>
    <row r="2112" customHeight="1" spans="1:6">
      <c r="A2112" s="9" t="s">
        <v>7270</v>
      </c>
      <c r="B2112" s="195" t="s">
        <v>7271</v>
      </c>
      <c r="C2112" s="202" t="s">
        <v>7272</v>
      </c>
      <c r="D2112" s="154"/>
      <c r="E2112" s="154" t="s">
        <v>104</v>
      </c>
      <c r="F2112" s="180"/>
    </row>
    <row r="2113" customHeight="1" spans="1:6">
      <c r="A2113" s="9" t="s">
        <v>7273</v>
      </c>
      <c r="B2113" s="153" t="s">
        <v>7274</v>
      </c>
      <c r="C2113" s="202" t="s">
        <v>7275</v>
      </c>
      <c r="D2113" s="154"/>
      <c r="E2113" s="154" t="s">
        <v>104</v>
      </c>
      <c r="F2113" s="180"/>
    </row>
    <row r="2114" customHeight="1" spans="1:6">
      <c r="A2114" s="9" t="s">
        <v>7276</v>
      </c>
      <c r="B2114" s="214" t="s">
        <v>7277</v>
      </c>
      <c r="C2114" s="214" t="s">
        <v>7278</v>
      </c>
      <c r="D2114" s="194"/>
      <c r="E2114" s="204" t="s">
        <v>92</v>
      </c>
      <c r="F2114" s="204"/>
    </row>
    <row r="2115" customHeight="1" spans="1:6">
      <c r="A2115" s="9" t="s">
        <v>7279</v>
      </c>
      <c r="B2115" s="234" t="s">
        <v>7280</v>
      </c>
      <c r="C2115" s="234" t="s">
        <v>7281</v>
      </c>
      <c r="D2115" s="194"/>
      <c r="E2115" s="204" t="s">
        <v>92</v>
      </c>
      <c r="F2115" s="204"/>
    </row>
    <row r="2116" customHeight="1" spans="1:6">
      <c r="A2116" s="9" t="s">
        <v>7282</v>
      </c>
      <c r="B2116" s="205" t="s">
        <v>7283</v>
      </c>
      <c r="C2116" s="205" t="s">
        <v>7284</v>
      </c>
      <c r="D2116" s="206" t="s">
        <v>7285</v>
      </c>
      <c r="E2116" s="193" t="s">
        <v>120</v>
      </c>
      <c r="F2116" s="207" t="s">
        <v>2861</v>
      </c>
    </row>
    <row r="2117" customHeight="1" spans="1:6">
      <c r="A2117" s="9" t="s">
        <v>7286</v>
      </c>
      <c r="B2117" s="222" t="s">
        <v>7287</v>
      </c>
      <c r="C2117" s="222" t="s">
        <v>7288</v>
      </c>
      <c r="D2117" s="311">
        <v>911123769</v>
      </c>
      <c r="E2117" s="312" t="s">
        <v>691</v>
      </c>
      <c r="F2117" s="311"/>
    </row>
    <row r="2118" customHeight="1" spans="1:6">
      <c r="A2118" s="9" t="s">
        <v>7289</v>
      </c>
      <c r="B2118" s="233" t="s">
        <v>7290</v>
      </c>
      <c r="C2118" s="233" t="s">
        <v>7291</v>
      </c>
      <c r="D2118" s="204" t="s">
        <v>7292</v>
      </c>
      <c r="E2118" s="204" t="s">
        <v>605</v>
      </c>
      <c r="F2118" s="204" t="s">
        <v>7293</v>
      </c>
    </row>
    <row r="2119" customHeight="1" spans="1:6">
      <c r="A2119" s="9" t="s">
        <v>7294</v>
      </c>
      <c r="B2119" s="194" t="s">
        <v>7295</v>
      </c>
      <c r="C2119" s="203" t="s">
        <v>7296</v>
      </c>
      <c r="D2119" s="197"/>
      <c r="E2119" s="197" t="s">
        <v>253</v>
      </c>
      <c r="F2119" s="197"/>
    </row>
    <row r="2120" customHeight="1" spans="1:6">
      <c r="A2120" s="9" t="s">
        <v>7297</v>
      </c>
      <c r="B2120" s="215" t="s">
        <v>7298</v>
      </c>
      <c r="C2120" s="205" t="s">
        <v>7299</v>
      </c>
      <c r="D2120" s="227" t="s">
        <v>7300</v>
      </c>
      <c r="E2120" s="193" t="s">
        <v>120</v>
      </c>
      <c r="F2120" s="216"/>
    </row>
    <row r="2121" customHeight="1" spans="1:6">
      <c r="A2121" s="9" t="s">
        <v>7301</v>
      </c>
      <c r="B2121" s="219" t="s">
        <v>7302</v>
      </c>
      <c r="C2121" s="219" t="s">
        <v>7303</v>
      </c>
      <c r="D2121" s="194"/>
      <c r="E2121" s="204" t="s">
        <v>92</v>
      </c>
      <c r="F2121" s="204"/>
    </row>
    <row r="2122" customHeight="1" spans="1:6">
      <c r="A2122" s="9" t="s">
        <v>7304</v>
      </c>
      <c r="B2122" s="219" t="s">
        <v>7305</v>
      </c>
      <c r="C2122" s="219" t="s">
        <v>7306</v>
      </c>
      <c r="D2122" s="194"/>
      <c r="E2122" s="204" t="s">
        <v>92</v>
      </c>
      <c r="F2122" s="204"/>
    </row>
    <row r="2123" customHeight="1" spans="1:6">
      <c r="A2123" s="9" t="s">
        <v>7307</v>
      </c>
      <c r="B2123" s="200" t="s">
        <v>7308</v>
      </c>
      <c r="C2123" s="202" t="s">
        <v>7309</v>
      </c>
      <c r="D2123" s="152" t="s">
        <v>7310</v>
      </c>
      <c r="E2123" s="154" t="s">
        <v>58</v>
      </c>
      <c r="F2123" s="180"/>
    </row>
    <row r="2124" customHeight="1" spans="1:6">
      <c r="A2124" s="9" t="s">
        <v>7311</v>
      </c>
      <c r="B2124" s="195" t="s">
        <v>7312</v>
      </c>
      <c r="C2124" s="203" t="s">
        <v>7313</v>
      </c>
      <c r="D2124" s="197"/>
      <c r="E2124" s="197" t="s">
        <v>253</v>
      </c>
      <c r="F2124" s="197"/>
    </row>
    <row r="2125" customHeight="1" spans="1:6">
      <c r="A2125" s="9" t="s">
        <v>7314</v>
      </c>
      <c r="B2125" s="153" t="s">
        <v>7315</v>
      </c>
      <c r="C2125" s="202" t="s">
        <v>7316</v>
      </c>
      <c r="D2125" s="154">
        <v>901858309</v>
      </c>
      <c r="E2125" s="154" t="s">
        <v>104</v>
      </c>
      <c r="F2125" s="180"/>
    </row>
    <row r="2126" customHeight="1" spans="1:6">
      <c r="A2126" s="9" t="s">
        <v>7317</v>
      </c>
      <c r="B2126" s="171" t="s">
        <v>7318</v>
      </c>
      <c r="C2126" s="218" t="s">
        <v>7319</v>
      </c>
      <c r="D2126" s="313">
        <v>943426230</v>
      </c>
      <c r="E2126" s="154" t="s">
        <v>104</v>
      </c>
      <c r="F2126" s="314"/>
    </row>
    <row r="2127" customHeight="1" spans="1:6">
      <c r="A2127" s="9" t="s">
        <v>7320</v>
      </c>
      <c r="B2127" s="197" t="s">
        <v>7321</v>
      </c>
      <c r="C2127" s="203" t="s">
        <v>7322</v>
      </c>
      <c r="D2127" s="197"/>
      <c r="E2127" s="197" t="s">
        <v>253</v>
      </c>
      <c r="F2127" s="197"/>
    </row>
    <row r="2128" customHeight="1" spans="1:6">
      <c r="A2128" s="9" t="s">
        <v>7323</v>
      </c>
      <c r="B2128" s="197" t="s">
        <v>7324</v>
      </c>
      <c r="C2128" s="202" t="s">
        <v>7325</v>
      </c>
      <c r="D2128" s="248"/>
      <c r="E2128" s="154" t="s">
        <v>104</v>
      </c>
      <c r="F2128" s="180"/>
    </row>
    <row r="2129" customHeight="1" spans="1:6">
      <c r="A2129" s="9" t="s">
        <v>7326</v>
      </c>
      <c r="B2129" s="205" t="s">
        <v>7327</v>
      </c>
      <c r="C2129" s="205" t="s">
        <v>7328</v>
      </c>
      <c r="D2129" s="206" t="s">
        <v>7329</v>
      </c>
      <c r="E2129" s="193" t="s">
        <v>120</v>
      </c>
      <c r="F2129" s="221" t="s">
        <v>7330</v>
      </c>
    </row>
    <row r="2130" customHeight="1" spans="1:6">
      <c r="A2130" s="9" t="s">
        <v>7331</v>
      </c>
      <c r="B2130" s="195" t="s">
        <v>7332</v>
      </c>
      <c r="C2130" s="202" t="s">
        <v>7333</v>
      </c>
      <c r="D2130" s="158"/>
      <c r="E2130" s="154"/>
      <c r="F2130" s="180"/>
    </row>
    <row r="2131" customHeight="1" spans="1:6">
      <c r="A2131" s="9" t="s">
        <v>7334</v>
      </c>
      <c r="B2131" s="195" t="s">
        <v>7335</v>
      </c>
      <c r="C2131" s="196" t="s">
        <v>7336</v>
      </c>
      <c r="D2131" s="197"/>
      <c r="E2131" s="197" t="s">
        <v>169</v>
      </c>
      <c r="F2131" s="197"/>
    </row>
    <row r="2132" customHeight="1" spans="1:6">
      <c r="A2132" s="9" t="s">
        <v>7337</v>
      </c>
      <c r="B2132" s="223" t="s">
        <v>7338</v>
      </c>
      <c r="C2132" s="223" t="s">
        <v>7339</v>
      </c>
      <c r="D2132" s="204" t="s">
        <v>4838</v>
      </c>
      <c r="E2132" s="204" t="s">
        <v>92</v>
      </c>
      <c r="F2132" s="204"/>
    </row>
    <row r="2133" customHeight="1" spans="1:6">
      <c r="A2133" s="9" t="s">
        <v>7340</v>
      </c>
      <c r="B2133" s="214" t="s">
        <v>7341</v>
      </c>
      <c r="C2133" s="214" t="s">
        <v>7342</v>
      </c>
      <c r="D2133" s="194"/>
      <c r="E2133" s="204" t="s">
        <v>92</v>
      </c>
      <c r="F2133" s="204"/>
    </row>
    <row r="2134" customHeight="1" spans="1:6">
      <c r="A2134" s="9" t="s">
        <v>7343</v>
      </c>
      <c r="B2134" s="160" t="s">
        <v>7344</v>
      </c>
      <c r="C2134" s="160" t="s">
        <v>7345</v>
      </c>
      <c r="D2134" s="204" t="s">
        <v>7346</v>
      </c>
      <c r="E2134" s="204" t="s">
        <v>92</v>
      </c>
      <c r="F2134" s="204"/>
    </row>
    <row r="2135" customHeight="1" spans="1:6">
      <c r="A2135" s="9" t="s">
        <v>7347</v>
      </c>
      <c r="B2135" s="153" t="s">
        <v>7348</v>
      </c>
      <c r="C2135" s="202" t="s">
        <v>7349</v>
      </c>
      <c r="D2135" s="158">
        <v>917414531</v>
      </c>
      <c r="E2135" s="158" t="s">
        <v>32</v>
      </c>
      <c r="F2135" s="153"/>
    </row>
    <row r="2136" customHeight="1" spans="1:6">
      <c r="A2136" s="9" t="s">
        <v>7350</v>
      </c>
      <c r="B2136" s="200" t="s">
        <v>7351</v>
      </c>
      <c r="C2136" s="192" t="s">
        <v>7352</v>
      </c>
      <c r="D2136" s="194" t="s">
        <v>7353</v>
      </c>
      <c r="E2136" s="194" t="s">
        <v>202</v>
      </c>
      <c r="F2136" s="197"/>
    </row>
    <row r="2137" customHeight="1" spans="1:6">
      <c r="A2137" s="9" t="s">
        <v>7354</v>
      </c>
      <c r="B2137" s="201" t="s">
        <v>7355</v>
      </c>
      <c r="C2137" s="202" t="s">
        <v>7356</v>
      </c>
      <c r="D2137" s="154"/>
      <c r="E2137" s="154" t="s">
        <v>58</v>
      </c>
      <c r="F2137" s="180"/>
    </row>
    <row r="2138" customHeight="1" spans="1:6">
      <c r="A2138" s="9" t="s">
        <v>7357</v>
      </c>
      <c r="B2138" s="195" t="s">
        <v>7358</v>
      </c>
      <c r="C2138" s="213" t="s">
        <v>7359</v>
      </c>
      <c r="D2138" s="197"/>
      <c r="E2138" s="197" t="s">
        <v>202</v>
      </c>
      <c r="F2138" s="197"/>
    </row>
    <row r="2139" customHeight="1" spans="1:6">
      <c r="A2139" s="9" t="s">
        <v>7360</v>
      </c>
      <c r="B2139" s="200" t="s">
        <v>7361</v>
      </c>
      <c r="C2139" s="202" t="s">
        <v>7362</v>
      </c>
      <c r="D2139" s="154" t="s">
        <v>7363</v>
      </c>
      <c r="E2139" s="210" t="s">
        <v>211</v>
      </c>
      <c r="F2139" s="211"/>
    </row>
    <row r="2140" customHeight="1" spans="1:6">
      <c r="A2140" s="9" t="s">
        <v>7364</v>
      </c>
      <c r="B2140" s="200" t="s">
        <v>7365</v>
      </c>
      <c r="C2140" s="202" t="s">
        <v>7366</v>
      </c>
      <c r="D2140" s="152" t="s">
        <v>7367</v>
      </c>
      <c r="E2140" s="154"/>
      <c r="F2140" s="180"/>
    </row>
    <row r="2141" customHeight="1" spans="1:6">
      <c r="A2141" s="9" t="s">
        <v>7368</v>
      </c>
      <c r="B2141" s="201" t="s">
        <v>7369</v>
      </c>
      <c r="C2141" s="202" t="s">
        <v>7370</v>
      </c>
      <c r="D2141" s="154" t="s">
        <v>7371</v>
      </c>
      <c r="E2141" s="154" t="s">
        <v>479</v>
      </c>
      <c r="F2141" s="180"/>
    </row>
    <row r="2142" customHeight="1" spans="1:6">
      <c r="A2142" s="9" t="s">
        <v>7372</v>
      </c>
      <c r="B2142" s="200" t="s">
        <v>7373</v>
      </c>
      <c r="C2142" s="203" t="s">
        <v>7374</v>
      </c>
      <c r="D2142" s="194"/>
      <c r="E2142" s="194" t="s">
        <v>253</v>
      </c>
      <c r="F2142" s="194"/>
    </row>
    <row r="2143" customHeight="1" spans="1:6">
      <c r="A2143" s="9" t="s">
        <v>7375</v>
      </c>
      <c r="B2143" s="223" t="s">
        <v>7376</v>
      </c>
      <c r="C2143" s="223" t="s">
        <v>7377</v>
      </c>
      <c r="D2143" s="194"/>
      <c r="E2143" s="204" t="s">
        <v>92</v>
      </c>
      <c r="F2143" s="204"/>
    </row>
    <row r="2144" customHeight="1" spans="1:6">
      <c r="A2144" s="9" t="s">
        <v>7378</v>
      </c>
      <c r="B2144" s="200" t="s">
        <v>7379</v>
      </c>
      <c r="C2144" s="202" t="s">
        <v>7380</v>
      </c>
      <c r="D2144" s="152"/>
      <c r="E2144" s="154" t="s">
        <v>181</v>
      </c>
      <c r="F2144" s="180"/>
    </row>
    <row r="2145" customHeight="1" spans="1:6">
      <c r="A2145" s="9" t="s">
        <v>7381</v>
      </c>
      <c r="B2145" s="201" t="s">
        <v>7382</v>
      </c>
      <c r="C2145" s="202" t="s">
        <v>7383</v>
      </c>
      <c r="D2145" s="154"/>
      <c r="E2145" s="154" t="s">
        <v>1395</v>
      </c>
      <c r="F2145" s="180"/>
    </row>
    <row r="2146" customHeight="1" spans="1:6">
      <c r="A2146" s="9" t="s">
        <v>7384</v>
      </c>
      <c r="B2146" s="200" t="s">
        <v>7385</v>
      </c>
      <c r="C2146" s="202" t="s">
        <v>7386</v>
      </c>
      <c r="D2146" s="152"/>
      <c r="E2146" s="154"/>
      <c r="F2146" s="180"/>
    </row>
    <row r="2147" customHeight="1" spans="1:6">
      <c r="A2147" s="9" t="s">
        <v>7387</v>
      </c>
      <c r="B2147" s="214" t="s">
        <v>7388</v>
      </c>
      <c r="C2147" s="214" t="s">
        <v>7389</v>
      </c>
      <c r="D2147" s="194"/>
      <c r="E2147" s="204" t="s">
        <v>92</v>
      </c>
      <c r="F2147" s="204"/>
    </row>
    <row r="2148" customHeight="1" spans="1:6">
      <c r="A2148" s="9" t="s">
        <v>7390</v>
      </c>
      <c r="B2148" s="160" t="s">
        <v>7391</v>
      </c>
      <c r="C2148" s="160" t="s">
        <v>7392</v>
      </c>
      <c r="D2148" s="204" t="s">
        <v>7393</v>
      </c>
      <c r="E2148" s="204" t="s">
        <v>92</v>
      </c>
      <c r="F2148" s="204"/>
    </row>
    <row r="2149" customHeight="1" spans="1:6">
      <c r="A2149" s="9" t="s">
        <v>7394</v>
      </c>
      <c r="B2149" s="160" t="s">
        <v>7395</v>
      </c>
      <c r="C2149" s="160" t="s">
        <v>7396</v>
      </c>
      <c r="D2149" s="194"/>
      <c r="E2149" s="204" t="s">
        <v>92</v>
      </c>
      <c r="F2149" s="204"/>
    </row>
    <row r="2150" customHeight="1" spans="1:6">
      <c r="A2150" s="9" t="s">
        <v>7397</v>
      </c>
      <c r="B2150" s="201" t="s">
        <v>7398</v>
      </c>
      <c r="C2150" s="202" t="s">
        <v>7399</v>
      </c>
      <c r="D2150" s="154" t="s">
        <v>7400</v>
      </c>
      <c r="E2150" s="154" t="s">
        <v>58</v>
      </c>
      <c r="F2150" s="180"/>
    </row>
    <row r="2151" customHeight="1" spans="1:6">
      <c r="A2151" s="9" t="s">
        <v>7401</v>
      </c>
      <c r="B2151" s="195" t="s">
        <v>7402</v>
      </c>
      <c r="C2151" s="213" t="s">
        <v>7403</v>
      </c>
      <c r="D2151" s="197"/>
      <c r="E2151" s="197" t="s">
        <v>1852</v>
      </c>
      <c r="F2151" s="197"/>
    </row>
    <row r="2152" customHeight="1" spans="1:6">
      <c r="A2152" s="9" t="s">
        <v>7404</v>
      </c>
      <c r="B2152" s="200" t="s">
        <v>7405</v>
      </c>
      <c r="C2152" s="202" t="s">
        <v>7406</v>
      </c>
      <c r="D2152" s="158"/>
      <c r="E2152" s="154" t="s">
        <v>253</v>
      </c>
      <c r="F2152" s="180"/>
    </row>
    <row r="2153" customHeight="1" spans="1:6">
      <c r="A2153" s="9" t="s">
        <v>7407</v>
      </c>
      <c r="B2153" s="197" t="s">
        <v>7408</v>
      </c>
      <c r="C2153" s="196" t="s">
        <v>7409</v>
      </c>
      <c r="D2153" s="197"/>
      <c r="E2153" s="197" t="s">
        <v>104</v>
      </c>
      <c r="F2153" s="197"/>
    </row>
    <row r="2154" customHeight="1" spans="1:6">
      <c r="A2154" s="9" t="s">
        <v>7410</v>
      </c>
      <c r="B2154" s="200" t="s">
        <v>7411</v>
      </c>
      <c r="C2154" s="202" t="s">
        <v>7412</v>
      </c>
      <c r="D2154" s="154">
        <v>920775700</v>
      </c>
      <c r="E2154" s="154" t="s">
        <v>104</v>
      </c>
      <c r="F2154" s="180"/>
    </row>
    <row r="2155" customHeight="1" spans="1:6">
      <c r="A2155" s="9" t="s">
        <v>7413</v>
      </c>
      <c r="B2155" s="222" t="str">
        <f>IFERROR(__xludf.DUMMYFUNCTION("""COMPUTED_VALUE"""),"Andargachew Bekele Ayele /Ato")</f>
        <v>Andargachew Bekele Ayele /Ato</v>
      </c>
      <c r="C2155" s="222" t="str">
        <f>IFERROR(__xludf.DUMMYFUNCTION("""COMPUTED_VALUE"""),"አንዳርጋቸው በቀለ አየለ /አቶ")</f>
        <v>አንዳርጋቸው በቀለ አየለ /አቶ</v>
      </c>
      <c r="D2155" s="222" t="str">
        <f>IFERROR(__xludf.DUMMYFUNCTION("""COMPUTED_VALUE"""),"0911-317254")</f>
        <v>0911-317254</v>
      </c>
      <c r="E2155" s="222" t="str">
        <f>IFERROR(__xludf.DUMMYFUNCTION("""COMPUTED_VALUE"""),"addis abeba")</f>
        <v>addis abeba</v>
      </c>
      <c r="F2155" s="222"/>
    </row>
    <row r="2156" customHeight="1" spans="1:6">
      <c r="A2156" s="9" t="s">
        <v>7414</v>
      </c>
      <c r="B2156" s="200" t="s">
        <v>7415</v>
      </c>
      <c r="C2156" s="202" t="s">
        <v>7416</v>
      </c>
      <c r="D2156" s="152"/>
      <c r="E2156" s="154" t="s">
        <v>232</v>
      </c>
      <c r="F2156" s="180"/>
    </row>
    <row r="2157" customHeight="1" spans="1:6">
      <c r="A2157" s="9" t="s">
        <v>7417</v>
      </c>
      <c r="B2157" s="195" t="s">
        <v>7418</v>
      </c>
      <c r="C2157" s="202" t="s">
        <v>7419</v>
      </c>
      <c r="D2157" s="152"/>
      <c r="E2157" s="154" t="s">
        <v>232</v>
      </c>
      <c r="F2157" s="180"/>
    </row>
    <row r="2158" customHeight="1" spans="1:6">
      <c r="A2158" s="9" t="s">
        <v>7420</v>
      </c>
      <c r="B2158" s="153" t="s">
        <v>7421</v>
      </c>
      <c r="C2158" s="202" t="s">
        <v>7422</v>
      </c>
      <c r="D2158" s="154"/>
      <c r="E2158" s="154" t="s">
        <v>232</v>
      </c>
      <c r="F2158" s="180"/>
    </row>
    <row r="2159" customHeight="1" spans="1:6">
      <c r="A2159" s="9" t="s">
        <v>7423</v>
      </c>
      <c r="B2159" s="205" t="s">
        <v>7424</v>
      </c>
      <c r="C2159" s="205" t="s">
        <v>7425</v>
      </c>
      <c r="D2159" s="206" t="s">
        <v>4748</v>
      </c>
      <c r="E2159" s="193" t="s">
        <v>120</v>
      </c>
      <c r="F2159" s="239" t="s">
        <v>7426</v>
      </c>
    </row>
    <row r="2160" customHeight="1" spans="1:6">
      <c r="A2160" s="9" t="s">
        <v>7427</v>
      </c>
      <c r="B2160" s="200" t="s">
        <v>7428</v>
      </c>
      <c r="C2160" s="202" t="s">
        <v>7429</v>
      </c>
      <c r="D2160" s="152" t="s">
        <v>7430</v>
      </c>
      <c r="E2160" s="154" t="s">
        <v>232</v>
      </c>
      <c r="F2160" s="180"/>
    </row>
    <row r="2161" customHeight="1" spans="1:6">
      <c r="A2161" s="9" t="s">
        <v>7431</v>
      </c>
      <c r="B2161" s="214" t="s">
        <v>7432</v>
      </c>
      <c r="C2161" s="214" t="s">
        <v>7425</v>
      </c>
      <c r="D2161" s="194"/>
      <c r="E2161" s="204" t="s">
        <v>92</v>
      </c>
      <c r="F2161" s="204"/>
    </row>
    <row r="2162" customHeight="1" spans="1:6">
      <c r="A2162" s="9" t="s">
        <v>7433</v>
      </c>
      <c r="B2162" s="195" t="s">
        <v>7434</v>
      </c>
      <c r="C2162" s="212" t="s">
        <v>7435</v>
      </c>
      <c r="D2162" s="197"/>
      <c r="E2162" s="198" t="s">
        <v>216</v>
      </c>
      <c r="F2162" s="199"/>
    </row>
    <row r="2163" customHeight="1" spans="1:6">
      <c r="A2163" s="9" t="s">
        <v>7436</v>
      </c>
      <c r="B2163" s="195" t="s">
        <v>7437</v>
      </c>
      <c r="C2163" s="212" t="s">
        <v>7438</v>
      </c>
      <c r="D2163" s="197" t="s">
        <v>7439</v>
      </c>
      <c r="E2163" s="154" t="s">
        <v>104</v>
      </c>
      <c r="F2163" s="199"/>
    </row>
    <row r="2164" customHeight="1" spans="1:6">
      <c r="A2164" s="9" t="s">
        <v>7440</v>
      </c>
      <c r="B2164" s="201" t="s">
        <v>7441</v>
      </c>
      <c r="C2164" s="202" t="s">
        <v>7442</v>
      </c>
      <c r="D2164" s="153"/>
      <c r="E2164" s="180" t="s">
        <v>104</v>
      </c>
      <c r="F2164" s="180"/>
    </row>
    <row r="2165" customHeight="1" spans="1:6">
      <c r="A2165" s="9" t="s">
        <v>7443</v>
      </c>
      <c r="B2165" s="201" t="s">
        <v>7444</v>
      </c>
      <c r="C2165" s="202" t="s">
        <v>7445</v>
      </c>
      <c r="D2165" s="154" t="s">
        <v>7446</v>
      </c>
      <c r="E2165" s="154" t="s">
        <v>243</v>
      </c>
      <c r="F2165" s="180"/>
    </row>
    <row r="2166" customHeight="1" spans="1:6">
      <c r="A2166" s="9" t="s">
        <v>7447</v>
      </c>
      <c r="B2166" s="200" t="s">
        <v>7448</v>
      </c>
      <c r="C2166" s="203" t="s">
        <v>7449</v>
      </c>
      <c r="D2166" s="194"/>
      <c r="E2166" s="194" t="s">
        <v>104</v>
      </c>
      <c r="F2166" s="194"/>
    </row>
    <row r="2167" customHeight="1" spans="1:6">
      <c r="A2167" s="9" t="s">
        <v>7450</v>
      </c>
      <c r="B2167" s="197" t="s">
        <v>7451</v>
      </c>
      <c r="C2167" s="202" t="s">
        <v>7452</v>
      </c>
      <c r="D2167" s="248">
        <v>940660488</v>
      </c>
      <c r="E2167" s="154" t="s">
        <v>104</v>
      </c>
      <c r="F2167" s="180"/>
    </row>
    <row r="2168" customHeight="1" spans="1:6">
      <c r="A2168" s="9" t="s">
        <v>7453</v>
      </c>
      <c r="B2168" s="200" t="s">
        <v>7454</v>
      </c>
      <c r="C2168" s="202" t="s">
        <v>7455</v>
      </c>
      <c r="D2168" s="154">
        <v>921987984</v>
      </c>
      <c r="E2168" s="154" t="s">
        <v>1281</v>
      </c>
      <c r="F2168" s="180"/>
    </row>
    <row r="2169" customHeight="1" spans="1:6">
      <c r="A2169" s="9" t="s">
        <v>7456</v>
      </c>
      <c r="B2169" s="195" t="s">
        <v>7457</v>
      </c>
      <c r="C2169" s="202" t="s">
        <v>7458</v>
      </c>
      <c r="D2169" s="158"/>
      <c r="E2169" s="154" t="s">
        <v>202</v>
      </c>
      <c r="F2169" s="180"/>
    </row>
    <row r="2170" customHeight="1" spans="1:6">
      <c r="A2170" s="9" t="s">
        <v>7459</v>
      </c>
      <c r="B2170" s="219" t="s">
        <v>7460</v>
      </c>
      <c r="C2170" s="219" t="s">
        <v>7461</v>
      </c>
      <c r="D2170" s="194"/>
      <c r="E2170" s="204" t="s">
        <v>92</v>
      </c>
      <c r="F2170" s="204"/>
    </row>
    <row r="2171" customHeight="1" spans="1:6">
      <c r="A2171" s="9" t="s">
        <v>7462</v>
      </c>
      <c r="B2171" s="223" t="s">
        <v>7463</v>
      </c>
      <c r="C2171" s="223" t="s">
        <v>7464</v>
      </c>
      <c r="D2171" s="204" t="s">
        <v>7465</v>
      </c>
      <c r="E2171" s="204" t="s">
        <v>92</v>
      </c>
      <c r="F2171" s="204"/>
    </row>
    <row r="2172" customHeight="1" spans="1:6">
      <c r="A2172" s="9" t="s">
        <v>7466</v>
      </c>
      <c r="B2172" s="160" t="s">
        <v>7467</v>
      </c>
      <c r="C2172" s="160" t="s">
        <v>7468</v>
      </c>
      <c r="D2172" s="204" t="s">
        <v>7469</v>
      </c>
      <c r="E2172" s="204" t="s">
        <v>92</v>
      </c>
      <c r="F2172" s="204"/>
    </row>
    <row r="2173" customHeight="1" spans="1:6">
      <c r="A2173" s="9" t="s">
        <v>7466</v>
      </c>
      <c r="B2173" s="205" t="s">
        <v>7467</v>
      </c>
      <c r="C2173" s="205" t="s">
        <v>7468</v>
      </c>
      <c r="D2173" s="206" t="s">
        <v>7470</v>
      </c>
      <c r="E2173" s="193" t="s">
        <v>120</v>
      </c>
      <c r="F2173" s="221"/>
    </row>
    <row r="2174" customHeight="1" spans="1:6">
      <c r="A2174" s="9" t="s">
        <v>7471</v>
      </c>
      <c r="B2174" s="214" t="s">
        <v>7472</v>
      </c>
      <c r="C2174" s="214" t="s">
        <v>7473</v>
      </c>
      <c r="D2174" s="194"/>
      <c r="E2174" s="204" t="s">
        <v>92</v>
      </c>
      <c r="F2174" s="204"/>
    </row>
    <row r="2175" customHeight="1" spans="1:6">
      <c r="A2175" s="9" t="s">
        <v>7474</v>
      </c>
      <c r="B2175" s="215" t="s">
        <v>7475</v>
      </c>
      <c r="C2175" s="205" t="s">
        <v>7476</v>
      </c>
      <c r="D2175" s="206" t="s">
        <v>7477</v>
      </c>
      <c r="E2175" s="193" t="s">
        <v>120</v>
      </c>
      <c r="F2175" s="221"/>
    </row>
    <row r="2176" customHeight="1" spans="1:6">
      <c r="A2176" s="9" t="s">
        <v>7478</v>
      </c>
      <c r="B2176" s="200" t="s">
        <v>7479</v>
      </c>
      <c r="C2176" s="202" t="s">
        <v>7480</v>
      </c>
      <c r="D2176" s="152"/>
      <c r="E2176" s="154"/>
      <c r="F2176" s="180"/>
    </row>
    <row r="2177" customHeight="1" spans="1:6">
      <c r="A2177" s="9" t="s">
        <v>7481</v>
      </c>
      <c r="B2177" s="201" t="s">
        <v>7482</v>
      </c>
      <c r="C2177" s="202" t="s">
        <v>7483</v>
      </c>
      <c r="D2177" s="154" t="s">
        <v>7484</v>
      </c>
      <c r="E2177" s="154" t="s">
        <v>243</v>
      </c>
      <c r="F2177" s="180"/>
    </row>
    <row r="2178" customHeight="1" spans="1:6">
      <c r="A2178" s="9" t="s">
        <v>7485</v>
      </c>
      <c r="B2178" s="195" t="s">
        <v>7486</v>
      </c>
      <c r="C2178" s="202" t="s">
        <v>7487</v>
      </c>
      <c r="D2178" s="152"/>
      <c r="E2178" s="154" t="s">
        <v>232</v>
      </c>
      <c r="F2178" s="180"/>
    </row>
    <row r="2179" customHeight="1" spans="1:6">
      <c r="A2179" s="9" t="s">
        <v>7488</v>
      </c>
      <c r="B2179" s="195" t="s">
        <v>7489</v>
      </c>
      <c r="C2179" s="196" t="s">
        <v>7490</v>
      </c>
      <c r="D2179" s="197"/>
      <c r="E2179" s="198" t="s">
        <v>202</v>
      </c>
      <c r="F2179" s="199"/>
    </row>
    <row r="2180" customHeight="1" spans="1:6">
      <c r="A2180" s="9" t="s">
        <v>7491</v>
      </c>
      <c r="B2180" s="223" t="s">
        <v>7492</v>
      </c>
      <c r="C2180" s="223" t="s">
        <v>7493</v>
      </c>
      <c r="D2180" s="204" t="s">
        <v>7494</v>
      </c>
      <c r="E2180" s="204" t="s">
        <v>92</v>
      </c>
      <c r="F2180" s="204"/>
    </row>
    <row r="2181" customHeight="1" spans="1:6">
      <c r="A2181" s="9" t="s">
        <v>7495</v>
      </c>
      <c r="B2181" s="201" t="s">
        <v>7496</v>
      </c>
      <c r="C2181" s="202" t="s">
        <v>7497</v>
      </c>
      <c r="D2181" s="154"/>
      <c r="E2181" s="154" t="s">
        <v>58</v>
      </c>
      <c r="F2181" s="180"/>
    </row>
    <row r="2182" customHeight="1" spans="1:6">
      <c r="A2182" s="9" t="s">
        <v>7498</v>
      </c>
      <c r="B2182" s="197" t="s">
        <v>7499</v>
      </c>
      <c r="C2182" s="203" t="s">
        <v>7500</v>
      </c>
      <c r="D2182" s="158"/>
      <c r="E2182" s="158" t="s">
        <v>216</v>
      </c>
      <c r="F2182" s="158"/>
    </row>
    <row r="2183" customHeight="1" spans="1:6">
      <c r="A2183" s="9" t="s">
        <v>7501</v>
      </c>
      <c r="B2183" s="201" t="s">
        <v>7502</v>
      </c>
      <c r="C2183" s="202" t="s">
        <v>7503</v>
      </c>
      <c r="D2183" s="154"/>
      <c r="E2183" s="154" t="s">
        <v>58</v>
      </c>
      <c r="F2183" s="180"/>
    </row>
    <row r="2184" customHeight="1" spans="1:6">
      <c r="A2184" s="9" t="s">
        <v>7504</v>
      </c>
      <c r="B2184" s="195" t="s">
        <v>7505</v>
      </c>
      <c r="C2184" s="202" t="s">
        <v>7506</v>
      </c>
      <c r="D2184" s="152" t="s">
        <v>7507</v>
      </c>
      <c r="E2184" s="154" t="s">
        <v>58</v>
      </c>
      <c r="F2184" s="180"/>
    </row>
    <row r="2185" customHeight="1" spans="1:6">
      <c r="A2185" s="9" t="s">
        <v>7508</v>
      </c>
      <c r="B2185" s="276" t="str">
        <f>IFERROR(__xludf.DUMMYFUNCTION("""COMPUTED_VALUE"""),"Andualem Alemayehu Dejene")</f>
        <v>Andualem Alemayehu Dejene</v>
      </c>
      <c r="C2185" s="276"/>
      <c r="D2185" s="276" t="str">
        <f>IFERROR(__xludf.DUMMYFUNCTION("""COMPUTED_VALUE"""),"0911-336039")</f>
        <v>0911-336039</v>
      </c>
      <c r="E2185" s="276" t="str">
        <f>IFERROR(__xludf.DUMMYFUNCTION("""COMPUTED_VALUE"""),"Addis Ababa")</f>
        <v>Addis Ababa</v>
      </c>
      <c r="F2185" s="276" t="str">
        <f>IFERROR(__xludf.DUMMYFUNCTION("""COMPUTED_VALUE"""),"fndualemalex@yahoo.com")</f>
        <v>fndualemalex@yahoo.com</v>
      </c>
    </row>
    <row r="2186" customHeight="1" spans="1:6">
      <c r="A2186" s="9" t="s">
        <v>7509</v>
      </c>
      <c r="B2186" s="153" t="s">
        <v>7510</v>
      </c>
      <c r="C2186" s="202" t="s">
        <v>7511</v>
      </c>
      <c r="D2186" s="154">
        <v>978767600</v>
      </c>
      <c r="E2186" s="154" t="s">
        <v>104</v>
      </c>
      <c r="F2186" s="180"/>
    </row>
    <row r="2187" customHeight="1" spans="1:6">
      <c r="A2187" s="9" t="s">
        <v>7512</v>
      </c>
      <c r="B2187" s="160" t="s">
        <v>7513</v>
      </c>
      <c r="C2187" s="160" t="s">
        <v>7514</v>
      </c>
      <c r="D2187" s="204" t="s">
        <v>7515</v>
      </c>
      <c r="E2187" s="204" t="s">
        <v>92</v>
      </c>
      <c r="F2187" s="204"/>
    </row>
    <row r="2188" customHeight="1" spans="1:6">
      <c r="A2188" s="9" t="s">
        <v>7516</v>
      </c>
      <c r="B2188" s="195" t="s">
        <v>7517</v>
      </c>
      <c r="C2188" s="196" t="s">
        <v>7518</v>
      </c>
      <c r="D2188" s="197"/>
      <c r="E2188" s="198" t="s">
        <v>202</v>
      </c>
      <c r="F2188" s="199"/>
    </row>
    <row r="2189" customHeight="1" spans="1:6">
      <c r="A2189" s="9" t="s">
        <v>7519</v>
      </c>
      <c r="B2189" s="200" t="s">
        <v>7520</v>
      </c>
      <c r="C2189" s="202" t="s">
        <v>7521</v>
      </c>
      <c r="D2189" s="158" t="s">
        <v>7522</v>
      </c>
      <c r="E2189" s="154" t="s">
        <v>202</v>
      </c>
      <c r="F2189" s="180"/>
    </row>
    <row r="2190" customHeight="1" spans="1:6">
      <c r="A2190" s="9" t="s">
        <v>7523</v>
      </c>
      <c r="B2190" s="222" t="str">
        <f>IFERROR(__xludf.DUMMYFUNCTION("""COMPUTED_VALUE"""),"Andualem Bekele Asfaw")</f>
        <v>Andualem Bekele Asfaw</v>
      </c>
      <c r="C2190" s="222" t="str">
        <f>IFERROR(__xludf.DUMMYFUNCTION("""COMPUTED_VALUE"""),"አንዱአለም በቀለ አስፋው")</f>
        <v>አንዱአለም በቀለ አስፋው</v>
      </c>
      <c r="D2190" s="222" t="str">
        <f>IFERROR(__xludf.DUMMYFUNCTION("""COMPUTED_VALUE"""),"0932-279527")</f>
        <v>0932-279527</v>
      </c>
      <c r="E2190" s="222" t="str">
        <f>IFERROR(__xludf.DUMMYFUNCTION("""COMPUTED_VALUE"""),"Addis Ababa")</f>
        <v>Addis Ababa</v>
      </c>
      <c r="F2190" s="222"/>
    </row>
    <row r="2191" customHeight="1" spans="1:6">
      <c r="A2191" s="9" t="s">
        <v>7524</v>
      </c>
      <c r="B2191" s="200" t="s">
        <v>7525</v>
      </c>
      <c r="C2191" s="202" t="s">
        <v>7526</v>
      </c>
      <c r="D2191" s="158" t="s">
        <v>7527</v>
      </c>
      <c r="E2191" s="154" t="s">
        <v>202</v>
      </c>
      <c r="F2191" s="180"/>
    </row>
    <row r="2192" customHeight="1" spans="1:6">
      <c r="A2192" s="9" t="s">
        <v>7528</v>
      </c>
      <c r="B2192" s="200" t="s">
        <v>7529</v>
      </c>
      <c r="C2192" s="202" t="s">
        <v>7530</v>
      </c>
      <c r="D2192" s="152" t="s">
        <v>7531</v>
      </c>
      <c r="E2192" s="154"/>
      <c r="F2192" s="180"/>
    </row>
    <row r="2193" customHeight="1" spans="1:6">
      <c r="A2193" s="9" t="s">
        <v>7532</v>
      </c>
      <c r="B2193" s="200" t="s">
        <v>7533</v>
      </c>
      <c r="C2193" s="202" t="s">
        <v>7534</v>
      </c>
      <c r="D2193" s="158"/>
      <c r="E2193" s="154" t="s">
        <v>253</v>
      </c>
      <c r="F2193" s="180"/>
    </row>
    <row r="2194" customHeight="1" spans="1:6">
      <c r="A2194" s="9" t="s">
        <v>7535</v>
      </c>
      <c r="B2194" s="234" t="s">
        <v>7536</v>
      </c>
      <c r="C2194" s="235" t="s">
        <v>7537</v>
      </c>
      <c r="D2194" s="36">
        <v>913530424</v>
      </c>
      <c r="E2194" s="45" t="s">
        <v>691</v>
      </c>
      <c r="F2194" s="268" t="s">
        <v>2642</v>
      </c>
    </row>
    <row r="2195" customHeight="1" spans="1:6">
      <c r="A2195" s="9" t="s">
        <v>7538</v>
      </c>
      <c r="B2195" s="195" t="s">
        <v>7539</v>
      </c>
      <c r="C2195" s="202" t="s">
        <v>7540</v>
      </c>
      <c r="D2195" s="152"/>
      <c r="E2195" s="154" t="s">
        <v>232</v>
      </c>
      <c r="F2195" s="180"/>
    </row>
    <row r="2196" customHeight="1" spans="1:6">
      <c r="A2196" s="9" t="s">
        <v>7541</v>
      </c>
      <c r="B2196" s="200" t="s">
        <v>7542</v>
      </c>
      <c r="C2196" s="202" t="s">
        <v>7543</v>
      </c>
      <c r="D2196" s="152" t="s">
        <v>7544</v>
      </c>
      <c r="E2196" s="154" t="s">
        <v>58</v>
      </c>
      <c r="F2196" s="180"/>
    </row>
    <row r="2197" customHeight="1" spans="1:6">
      <c r="A2197" s="9" t="s">
        <v>7545</v>
      </c>
      <c r="B2197" s="214" t="s">
        <v>7546</v>
      </c>
      <c r="C2197" s="214" t="s">
        <v>7547</v>
      </c>
      <c r="D2197" s="194"/>
      <c r="E2197" s="204" t="s">
        <v>92</v>
      </c>
      <c r="F2197" s="204"/>
    </row>
    <row r="2198" customHeight="1" spans="1:6">
      <c r="A2198" s="9" t="s">
        <v>7548</v>
      </c>
      <c r="B2198" s="223" t="s">
        <v>7549</v>
      </c>
      <c r="C2198" s="223" t="s">
        <v>7550</v>
      </c>
      <c r="D2198" s="204" t="s">
        <v>7551</v>
      </c>
      <c r="E2198" s="204" t="s">
        <v>92</v>
      </c>
      <c r="F2198" s="204"/>
    </row>
    <row r="2199" customHeight="1" spans="1:6">
      <c r="A2199" s="9" t="s">
        <v>7552</v>
      </c>
      <c r="B2199" s="197" t="s">
        <v>7553</v>
      </c>
      <c r="C2199" s="254" t="s">
        <v>7554</v>
      </c>
      <c r="D2199" s="197"/>
      <c r="E2199" s="197" t="s">
        <v>202</v>
      </c>
      <c r="F2199" s="197"/>
    </row>
    <row r="2200" customHeight="1" spans="1:6">
      <c r="A2200" s="9" t="s">
        <v>7555</v>
      </c>
      <c r="B2200" s="158" t="s">
        <v>7556</v>
      </c>
      <c r="C2200" s="202" t="s">
        <v>7557</v>
      </c>
      <c r="D2200" s="158">
        <v>934589791</v>
      </c>
      <c r="E2200" s="154" t="s">
        <v>104</v>
      </c>
      <c r="F2200" s="180"/>
    </row>
    <row r="2201" customHeight="1" spans="1:6">
      <c r="A2201" s="9" t="s">
        <v>7558</v>
      </c>
      <c r="B2201" s="200" t="s">
        <v>7559</v>
      </c>
      <c r="C2201" s="202" t="s">
        <v>7560</v>
      </c>
      <c r="D2201" s="152" t="s">
        <v>7561</v>
      </c>
      <c r="E2201" s="154" t="s">
        <v>232</v>
      </c>
      <c r="F2201" s="180"/>
    </row>
    <row r="2202" customHeight="1" spans="1:6">
      <c r="A2202" s="9" t="s">
        <v>7562</v>
      </c>
      <c r="B2202" s="224" t="s">
        <v>7563</v>
      </c>
      <c r="C2202" s="225" t="s">
        <v>7564</v>
      </c>
      <c r="D2202" s="226" t="s">
        <v>7565</v>
      </c>
      <c r="E2202" s="29" t="s">
        <v>92</v>
      </c>
      <c r="F2202" s="29"/>
    </row>
    <row r="2203" customHeight="1" spans="1:6">
      <c r="A2203" s="9" t="s">
        <v>7566</v>
      </c>
      <c r="B2203" s="201" t="s">
        <v>7567</v>
      </c>
      <c r="C2203" s="202" t="s">
        <v>7568</v>
      </c>
      <c r="D2203" s="154"/>
      <c r="E2203" s="154" t="s">
        <v>58</v>
      </c>
      <c r="F2203" s="180"/>
    </row>
    <row r="2204" customHeight="1" spans="1:6">
      <c r="A2204" s="9" t="s">
        <v>7569</v>
      </c>
      <c r="B2204" s="205" t="s">
        <v>7570</v>
      </c>
      <c r="C2204" s="205" t="s">
        <v>7571</v>
      </c>
      <c r="D2204" s="206" t="s">
        <v>7572</v>
      </c>
      <c r="E2204" s="193" t="s">
        <v>120</v>
      </c>
      <c r="F2204" s="221" t="s">
        <v>7573</v>
      </c>
    </row>
    <row r="2205" customHeight="1" spans="1:6">
      <c r="A2205" s="9" t="s">
        <v>7574</v>
      </c>
      <c r="B2205" s="205" t="s">
        <v>7575</v>
      </c>
      <c r="C2205" s="205" t="s">
        <v>7576</v>
      </c>
      <c r="D2205" s="206" t="s">
        <v>7577</v>
      </c>
      <c r="E2205" s="193" t="s">
        <v>120</v>
      </c>
      <c r="F2205" s="221"/>
    </row>
    <row r="2206" customHeight="1" spans="1:6">
      <c r="A2206" s="9" t="s">
        <v>7578</v>
      </c>
      <c r="B2206" s="215" t="s">
        <v>7579</v>
      </c>
      <c r="C2206" s="205" t="s">
        <v>7580</v>
      </c>
      <c r="D2206" s="227" t="s">
        <v>7581</v>
      </c>
      <c r="E2206" s="193" t="s">
        <v>120</v>
      </c>
      <c r="F2206" s="216" t="s">
        <v>7582</v>
      </c>
    </row>
    <row r="2207" customHeight="1" spans="1:6">
      <c r="A2207" s="9" t="s">
        <v>7583</v>
      </c>
      <c r="B2207" s="195" t="s">
        <v>7584</v>
      </c>
      <c r="C2207" s="202" t="s">
        <v>7585</v>
      </c>
      <c r="D2207" s="152" t="s">
        <v>7586</v>
      </c>
      <c r="E2207" s="154"/>
      <c r="F2207" s="180"/>
    </row>
    <row r="2208" customHeight="1" spans="1:6">
      <c r="A2208" s="9" t="s">
        <v>7587</v>
      </c>
      <c r="B2208" s="223" t="s">
        <v>7588</v>
      </c>
      <c r="C2208" s="223" t="s">
        <v>7589</v>
      </c>
      <c r="D2208" s="204" t="s">
        <v>7590</v>
      </c>
      <c r="E2208" s="173" t="s">
        <v>92</v>
      </c>
      <c r="F2208" s="234"/>
    </row>
    <row r="2209" customHeight="1" spans="1:6">
      <c r="A2209" s="9" t="s">
        <v>7591</v>
      </c>
      <c r="B2209" s="160" t="s">
        <v>7592</v>
      </c>
      <c r="C2209" s="160" t="s">
        <v>7593</v>
      </c>
      <c r="D2209" s="204" t="s">
        <v>7594</v>
      </c>
      <c r="E2209" s="204" t="s">
        <v>92</v>
      </c>
      <c r="F2209" s="204"/>
    </row>
    <row r="2210" customHeight="1" spans="1:6">
      <c r="A2210" s="9" t="s">
        <v>7595</v>
      </c>
      <c r="B2210" s="223" t="s">
        <v>7596</v>
      </c>
      <c r="C2210" s="223" t="s">
        <v>7597</v>
      </c>
      <c r="D2210" s="204" t="s">
        <v>7598</v>
      </c>
      <c r="E2210" s="204" t="s">
        <v>92</v>
      </c>
      <c r="F2210" s="204"/>
    </row>
    <row r="2211" customHeight="1" spans="1:6">
      <c r="A2211" s="9" t="s">
        <v>7599</v>
      </c>
      <c r="B2211" s="200" t="s">
        <v>7600</v>
      </c>
      <c r="C2211" s="202" t="s">
        <v>7601</v>
      </c>
      <c r="D2211" s="152"/>
      <c r="E2211" s="154" t="s">
        <v>232</v>
      </c>
      <c r="F2211" s="180"/>
    </row>
    <row r="2212" customHeight="1" spans="1:6">
      <c r="A2212" s="9" t="s">
        <v>7602</v>
      </c>
      <c r="B2212" s="220" t="str">
        <f>IFERROR(__xludf.DUMMYFUNCTION("""COMPUTED_VALUE"""),"Andualem Zewdie Belayneh")</f>
        <v>Andualem Zewdie Belayneh</v>
      </c>
      <c r="C2212" s="220" t="str">
        <f>IFERROR(__xludf.DUMMYFUNCTION("""COMPUTED_VALUE"""),"አንዷለም ዘውዴ በላይነህ")</f>
        <v>አንዷለም ዘውዴ በላይነህ</v>
      </c>
      <c r="D2212" s="220" t="str">
        <f>IFERROR(__xludf.DUMMYFUNCTION("""COMPUTED_VALUE"""),"935418854")</f>
        <v>935418854</v>
      </c>
      <c r="E2212" s="220" t="str">
        <f>IFERROR(__xludf.DUMMYFUNCTION("""COMPUTED_VALUE"""),"A A")</f>
        <v>A A</v>
      </c>
      <c r="F2212" s="220" t="str">
        <f>IFERROR(__xludf.DUMMYFUNCTION("""COMPUTED_VALUE"""),"andualemzewdie@Yahoo.com")</f>
        <v>andualemzewdie@Yahoo.com</v>
      </c>
    </row>
    <row r="2213" customHeight="1" spans="1:6">
      <c r="A2213" s="9" t="s">
        <v>7603</v>
      </c>
      <c r="B2213" s="200" t="s">
        <v>7604</v>
      </c>
      <c r="C2213" s="202" t="s">
        <v>7605</v>
      </c>
      <c r="D2213" s="152" t="s">
        <v>7606</v>
      </c>
      <c r="E2213" s="154" t="s">
        <v>232</v>
      </c>
      <c r="F2213" s="180"/>
    </row>
    <row r="2214" customHeight="1" spans="1:6">
      <c r="A2214" s="9" t="s">
        <v>7607</v>
      </c>
      <c r="B2214" s="200" t="s">
        <v>7608</v>
      </c>
      <c r="C2214" s="202" t="s">
        <v>7609</v>
      </c>
      <c r="D2214" s="154"/>
      <c r="E2214" s="154" t="s">
        <v>104</v>
      </c>
      <c r="F2214" s="180"/>
    </row>
    <row r="2215" customHeight="1" spans="1:6">
      <c r="A2215" s="9" t="s">
        <v>7610</v>
      </c>
      <c r="B2215" s="200" t="s">
        <v>7611</v>
      </c>
      <c r="C2215" s="203" t="s">
        <v>7612</v>
      </c>
      <c r="D2215" s="194"/>
      <c r="E2215" s="194" t="s">
        <v>273</v>
      </c>
      <c r="F2215" s="194"/>
    </row>
    <row r="2216" customHeight="1" spans="1:6">
      <c r="A2216" s="9" t="s">
        <v>7613</v>
      </c>
      <c r="B2216" s="200" t="s">
        <v>7614</v>
      </c>
      <c r="C2216" s="192" t="s">
        <v>7615</v>
      </c>
      <c r="D2216" s="194" t="s">
        <v>7616</v>
      </c>
      <c r="E2216" s="194" t="s">
        <v>273</v>
      </c>
      <c r="F2216" s="194"/>
    </row>
    <row r="2217" customHeight="1" spans="1:6">
      <c r="A2217" s="9" t="s">
        <v>7617</v>
      </c>
      <c r="B2217" s="199" t="s">
        <v>7618</v>
      </c>
      <c r="C2217" s="196" t="s">
        <v>7619</v>
      </c>
      <c r="D2217" s="198" t="s">
        <v>7620</v>
      </c>
      <c r="E2217" s="197" t="s">
        <v>1281</v>
      </c>
      <c r="F2217" s="197"/>
    </row>
    <row r="2218" customHeight="1" spans="1:6">
      <c r="A2218" s="9" t="s">
        <v>7621</v>
      </c>
      <c r="B2218" s="200" t="s">
        <v>7622</v>
      </c>
      <c r="C2218" s="203" t="s">
        <v>7623</v>
      </c>
      <c r="D2218" s="194"/>
      <c r="E2218" s="194" t="s">
        <v>273</v>
      </c>
      <c r="F2218" s="194"/>
    </row>
    <row r="2219" customHeight="1" spans="1:6">
      <c r="A2219" s="9" t="s">
        <v>7624</v>
      </c>
      <c r="B2219" s="195" t="s">
        <v>7625</v>
      </c>
      <c r="C2219" s="196" t="s">
        <v>7626</v>
      </c>
      <c r="D2219" s="197"/>
      <c r="E2219" s="198" t="s">
        <v>351</v>
      </c>
      <c r="F2219" s="199"/>
    </row>
    <row r="2220" customHeight="1" spans="1:6">
      <c r="A2220" s="9" t="s">
        <v>7627</v>
      </c>
      <c r="B2220" s="195" t="s">
        <v>7628</v>
      </c>
      <c r="C2220" s="203" t="s">
        <v>7629</v>
      </c>
      <c r="D2220" s="197" t="s">
        <v>7630</v>
      </c>
      <c r="E2220" s="197" t="s">
        <v>273</v>
      </c>
      <c r="F2220" s="197"/>
    </row>
    <row r="2221" customHeight="1" spans="1:6">
      <c r="A2221" s="9" t="s">
        <v>7631</v>
      </c>
      <c r="B2221" s="194" t="s">
        <v>7632</v>
      </c>
      <c r="C2221" s="203" t="s">
        <v>7633</v>
      </c>
      <c r="D2221" s="197"/>
      <c r="E2221" s="197" t="s">
        <v>253</v>
      </c>
      <c r="F2221" s="197"/>
    </row>
    <row r="2222" customHeight="1" spans="1:6">
      <c r="A2222" s="9" t="s">
        <v>7634</v>
      </c>
      <c r="B2222" s="153" t="s">
        <v>7635</v>
      </c>
      <c r="C2222" s="202" t="s">
        <v>7636</v>
      </c>
      <c r="D2222" s="154"/>
      <c r="E2222" s="154" t="s">
        <v>104</v>
      </c>
      <c r="F2222" s="180"/>
    </row>
    <row r="2223" customHeight="1" spans="1:6">
      <c r="A2223" s="9" t="s">
        <v>7637</v>
      </c>
      <c r="B2223" s="153" t="s">
        <v>7638</v>
      </c>
      <c r="C2223" s="202" t="s">
        <v>7639</v>
      </c>
      <c r="D2223" s="154" t="s">
        <v>7640</v>
      </c>
      <c r="E2223" s="154" t="s">
        <v>202</v>
      </c>
      <c r="F2223" s="180"/>
    </row>
    <row r="2224" customHeight="1" spans="1:6">
      <c r="A2224" s="9" t="s">
        <v>7641</v>
      </c>
      <c r="B2224" s="201" t="s">
        <v>7642</v>
      </c>
      <c r="C2224" s="202" t="s">
        <v>7643</v>
      </c>
      <c r="D2224" s="153"/>
      <c r="E2224" s="180" t="s">
        <v>216</v>
      </c>
      <c r="F2224" s="180"/>
    </row>
    <row r="2225" customHeight="1" spans="1:6">
      <c r="A2225" s="9" t="s">
        <v>7644</v>
      </c>
      <c r="B2225" s="195" t="s">
        <v>7645</v>
      </c>
      <c r="C2225" s="196" t="s">
        <v>7646</v>
      </c>
      <c r="D2225" s="197"/>
      <c r="E2225" s="197" t="s">
        <v>273</v>
      </c>
      <c r="F2225" s="197"/>
    </row>
    <row r="2226" customHeight="1" spans="1:6">
      <c r="A2226" s="9" t="s">
        <v>7647</v>
      </c>
      <c r="B2226" s="195" t="s">
        <v>7648</v>
      </c>
      <c r="C2226" s="196" t="s">
        <v>7649</v>
      </c>
      <c r="D2226" s="197"/>
      <c r="E2226" s="197" t="s">
        <v>273</v>
      </c>
      <c r="F2226" s="197"/>
    </row>
    <row r="2227" customHeight="1" spans="1:6">
      <c r="A2227" s="9" t="s">
        <v>7650</v>
      </c>
      <c r="B2227" s="195" t="s">
        <v>7651</v>
      </c>
      <c r="C2227" s="196" t="s">
        <v>7652</v>
      </c>
      <c r="D2227" s="197"/>
      <c r="E2227" s="197" t="s">
        <v>273</v>
      </c>
      <c r="F2227" s="197"/>
    </row>
    <row r="2228" customHeight="1" spans="1:6">
      <c r="A2228" s="9" t="s">
        <v>7653</v>
      </c>
      <c r="B2228" s="214" t="s">
        <v>7654</v>
      </c>
      <c r="C2228" s="214" t="s">
        <v>7655</v>
      </c>
      <c r="D2228" s="194"/>
      <c r="E2228" s="204" t="s">
        <v>92</v>
      </c>
      <c r="F2228" s="204"/>
    </row>
    <row r="2229" customHeight="1" spans="1:6">
      <c r="A2229" s="9" t="s">
        <v>7656</v>
      </c>
      <c r="B2229" s="276" t="str">
        <f>IFERROR(__xludf.DUMMYFUNCTION("""COMPUTED_VALUE"""),"Anewar Iberahim Ahemed")</f>
        <v>Anewar Iberahim Ahemed</v>
      </c>
      <c r="C2229" s="276" t="str">
        <f>IFERROR(__xludf.DUMMYFUNCTION("""COMPUTED_VALUE"""),"አንዋር ኢብራሂም አህመድ")</f>
        <v>አንዋር ኢብራሂም አህመድ</v>
      </c>
      <c r="D2229" s="276" t="str">
        <f>IFERROR(__xludf.DUMMYFUNCTION("""COMPUTED_VALUE"""),"911533059")</f>
        <v>911533059</v>
      </c>
      <c r="E2229" s="276" t="str">
        <f>IFERROR(__xludf.DUMMYFUNCTION("""COMPUTED_VALUE"""),"gambela")</f>
        <v>gambela</v>
      </c>
      <c r="F2229" s="276"/>
    </row>
    <row r="2230" customHeight="1" spans="1:6">
      <c r="A2230" s="9" t="s">
        <v>7657</v>
      </c>
      <c r="B2230" s="197" t="s">
        <v>7658</v>
      </c>
      <c r="C2230" s="196" t="s">
        <v>7659</v>
      </c>
      <c r="D2230" s="197"/>
      <c r="E2230" s="197" t="s">
        <v>243</v>
      </c>
      <c r="F2230" s="197"/>
    </row>
    <row r="2231" customHeight="1" spans="1:6">
      <c r="A2231" s="9" t="s">
        <v>7660</v>
      </c>
      <c r="B2231" s="200" t="s">
        <v>7661</v>
      </c>
      <c r="C2231" s="192" t="s">
        <v>7662</v>
      </c>
      <c r="D2231" s="194"/>
      <c r="E2231" s="193" t="s">
        <v>1958</v>
      </c>
      <c r="F2231" s="191"/>
    </row>
    <row r="2232" customHeight="1" spans="1:6">
      <c r="A2232" s="9" t="s">
        <v>7663</v>
      </c>
      <c r="B2232" s="201" t="s">
        <v>7664</v>
      </c>
      <c r="C2232" s="202" t="s">
        <v>7665</v>
      </c>
      <c r="D2232" s="154"/>
      <c r="E2232" s="154"/>
      <c r="F2232" s="180"/>
    </row>
    <row r="2233" customHeight="1" spans="1:6">
      <c r="A2233" s="9" t="s">
        <v>7666</v>
      </c>
      <c r="B2233" s="153" t="s">
        <v>7667</v>
      </c>
      <c r="C2233" s="202" t="s">
        <v>7668</v>
      </c>
      <c r="D2233" s="154"/>
      <c r="E2233" s="154" t="s">
        <v>104</v>
      </c>
      <c r="F2233" s="180"/>
    </row>
    <row r="2234" customHeight="1" spans="1:6">
      <c r="A2234" s="9" t="s">
        <v>7669</v>
      </c>
      <c r="B2234" s="194" t="s">
        <v>7670</v>
      </c>
      <c r="C2234" s="202" t="s">
        <v>7671</v>
      </c>
      <c r="D2234" s="158">
        <v>946236352</v>
      </c>
      <c r="E2234" s="154" t="s">
        <v>104</v>
      </c>
      <c r="F2234" s="180"/>
    </row>
    <row r="2235" customHeight="1" spans="1:6">
      <c r="A2235" s="9" t="s">
        <v>7672</v>
      </c>
      <c r="B2235" s="201" t="s">
        <v>7673</v>
      </c>
      <c r="C2235" s="202" t="s">
        <v>7674</v>
      </c>
      <c r="D2235" s="154"/>
      <c r="E2235" s="154" t="s">
        <v>58</v>
      </c>
      <c r="F2235" s="180"/>
    </row>
    <row r="2236" customHeight="1" spans="1:6">
      <c r="A2236" s="9" t="s">
        <v>7675</v>
      </c>
      <c r="B2236" s="201" t="s">
        <v>7676</v>
      </c>
      <c r="C2236" s="202" t="s">
        <v>7677</v>
      </c>
      <c r="D2236" s="153"/>
      <c r="E2236" s="180" t="s">
        <v>104</v>
      </c>
      <c r="F2236" s="180"/>
    </row>
    <row r="2237" customHeight="1" spans="1:6">
      <c r="A2237" s="9" t="s">
        <v>7678</v>
      </c>
      <c r="B2237" s="201" t="s">
        <v>7679</v>
      </c>
      <c r="C2237" s="202" t="s">
        <v>7680</v>
      </c>
      <c r="D2237" s="154" t="s">
        <v>7681</v>
      </c>
      <c r="E2237" s="154"/>
      <c r="F2237" s="180"/>
    </row>
    <row r="2238" customHeight="1" spans="1:6">
      <c r="A2238" s="9" t="s">
        <v>7682</v>
      </c>
      <c r="B2238" s="238" t="s">
        <v>7683</v>
      </c>
      <c r="C2238" s="202" t="s">
        <v>7684</v>
      </c>
      <c r="D2238" s="153"/>
      <c r="E2238" s="180" t="s">
        <v>216</v>
      </c>
      <c r="F2238" s="180"/>
    </row>
    <row r="2239" customHeight="1" spans="1:6">
      <c r="A2239" s="9" t="s">
        <v>7685</v>
      </c>
      <c r="B2239" s="153" t="s">
        <v>7686</v>
      </c>
      <c r="C2239" s="202" t="s">
        <v>7687</v>
      </c>
      <c r="D2239" s="154"/>
      <c r="E2239" s="154" t="s">
        <v>104</v>
      </c>
      <c r="F2239" s="180"/>
    </row>
    <row r="2240" customHeight="1" spans="1:6">
      <c r="A2240" s="9" t="s">
        <v>7688</v>
      </c>
      <c r="B2240" s="195" t="s">
        <v>7689</v>
      </c>
      <c r="C2240" s="202" t="s">
        <v>7690</v>
      </c>
      <c r="D2240" s="152"/>
      <c r="E2240" s="210" t="s">
        <v>104</v>
      </c>
      <c r="F2240" s="180"/>
    </row>
    <row r="2241" customHeight="1" spans="1:6">
      <c r="A2241" s="9" t="s">
        <v>7691</v>
      </c>
      <c r="B2241" s="201" t="s">
        <v>7692</v>
      </c>
      <c r="C2241" s="202" t="s">
        <v>7693</v>
      </c>
      <c r="D2241" s="153"/>
      <c r="E2241" s="180" t="s">
        <v>104</v>
      </c>
      <c r="F2241" s="180"/>
    </row>
    <row r="2242" customHeight="1" spans="1:6">
      <c r="A2242" s="9" t="s">
        <v>7694</v>
      </c>
      <c r="B2242" s="200" t="s">
        <v>7695</v>
      </c>
      <c r="C2242" s="202" t="s">
        <v>7696</v>
      </c>
      <c r="D2242" s="152"/>
      <c r="E2242" s="154"/>
      <c r="F2242" s="180"/>
    </row>
    <row r="2243" customHeight="1" spans="1:6">
      <c r="A2243" s="9" t="s">
        <v>7697</v>
      </c>
      <c r="B2243" s="195" t="s">
        <v>7698</v>
      </c>
      <c r="C2243" s="202" t="s">
        <v>7699</v>
      </c>
      <c r="D2243" s="152" t="s">
        <v>7700</v>
      </c>
      <c r="E2243" s="154" t="s">
        <v>232</v>
      </c>
      <c r="F2243" s="180"/>
    </row>
    <row r="2244" customHeight="1" spans="1:6">
      <c r="A2244" s="9" t="s">
        <v>7701</v>
      </c>
      <c r="B2244" s="195" t="s">
        <v>7702</v>
      </c>
      <c r="C2244" s="202" t="s">
        <v>7703</v>
      </c>
      <c r="D2244" s="152" t="s">
        <v>7704</v>
      </c>
      <c r="E2244" s="154" t="s">
        <v>104</v>
      </c>
      <c r="F2244" s="180"/>
    </row>
    <row r="2245" customHeight="1" spans="1:6">
      <c r="A2245" s="9" t="s">
        <v>7705</v>
      </c>
      <c r="B2245" s="195" t="s">
        <v>7706</v>
      </c>
      <c r="C2245" s="202" t="s">
        <v>7707</v>
      </c>
      <c r="D2245" s="152" t="s">
        <v>7708</v>
      </c>
      <c r="E2245" s="154"/>
      <c r="F2245" s="180"/>
    </row>
    <row r="2246" customHeight="1" spans="1:6">
      <c r="A2246" s="9" t="s">
        <v>7709</v>
      </c>
      <c r="B2246" s="153" t="s">
        <v>7710</v>
      </c>
      <c r="C2246" s="202" t="s">
        <v>7711</v>
      </c>
      <c r="D2246" s="158"/>
      <c r="E2246" s="158" t="s">
        <v>104</v>
      </c>
      <c r="F2246" s="153"/>
    </row>
    <row r="2247" customHeight="1" spans="1:6">
      <c r="A2247" s="9" t="s">
        <v>7712</v>
      </c>
      <c r="B2247" s="195" t="s">
        <v>7713</v>
      </c>
      <c r="C2247" s="254" t="s">
        <v>7714</v>
      </c>
      <c r="D2247" s="197"/>
      <c r="E2247" s="197" t="s">
        <v>202</v>
      </c>
      <c r="F2247" s="197"/>
    </row>
    <row r="2248" customHeight="1" spans="1:6">
      <c r="A2248" s="9" t="s">
        <v>7715</v>
      </c>
      <c r="B2248" s="195" t="s">
        <v>7716</v>
      </c>
      <c r="C2248" s="202" t="s">
        <v>7717</v>
      </c>
      <c r="D2248" s="154">
        <v>901726551</v>
      </c>
      <c r="E2248" s="154" t="s">
        <v>104</v>
      </c>
      <c r="F2248" s="180"/>
    </row>
    <row r="2249" customHeight="1" spans="1:6">
      <c r="A2249" s="9" t="s">
        <v>7718</v>
      </c>
      <c r="B2249" s="153" t="s">
        <v>7719</v>
      </c>
      <c r="C2249" s="202" t="s">
        <v>7720</v>
      </c>
      <c r="D2249" s="154">
        <v>938462376</v>
      </c>
      <c r="E2249" s="154" t="s">
        <v>104</v>
      </c>
      <c r="F2249" s="180"/>
    </row>
    <row r="2250" customHeight="1" spans="1:6">
      <c r="A2250" s="9" t="s">
        <v>7721</v>
      </c>
      <c r="B2250" s="200" t="s">
        <v>7722</v>
      </c>
      <c r="C2250" s="202" t="s">
        <v>7723</v>
      </c>
      <c r="D2250" s="158" t="s">
        <v>7724</v>
      </c>
      <c r="E2250" s="154" t="s">
        <v>202</v>
      </c>
      <c r="F2250" s="180"/>
    </row>
    <row r="2251" customHeight="1" spans="1:6">
      <c r="A2251" s="9" t="s">
        <v>7725</v>
      </c>
      <c r="B2251" s="158" t="s">
        <v>7726</v>
      </c>
      <c r="C2251" s="202" t="s">
        <v>7727</v>
      </c>
      <c r="D2251" s="154"/>
      <c r="E2251" s="154" t="s">
        <v>104</v>
      </c>
      <c r="F2251" s="180"/>
    </row>
    <row r="2252" customHeight="1" spans="1:6">
      <c r="A2252" s="9" t="s">
        <v>7728</v>
      </c>
      <c r="B2252" s="160" t="s">
        <v>7729</v>
      </c>
      <c r="C2252" s="160" t="s">
        <v>7730</v>
      </c>
      <c r="D2252" s="204" t="s">
        <v>7731</v>
      </c>
      <c r="E2252" s="204" t="s">
        <v>92</v>
      </c>
      <c r="F2252" s="204"/>
    </row>
    <row r="2253" customHeight="1" spans="1:6">
      <c r="A2253" s="9" t="s">
        <v>7732</v>
      </c>
      <c r="B2253" s="195" t="s">
        <v>7733</v>
      </c>
      <c r="C2253" s="202" t="s">
        <v>7734</v>
      </c>
      <c r="D2253" s="152"/>
      <c r="E2253" s="154" t="s">
        <v>232</v>
      </c>
      <c r="F2253" s="180"/>
    </row>
    <row r="2254" customHeight="1" spans="1:6">
      <c r="A2254" s="9" t="s">
        <v>7735</v>
      </c>
      <c r="B2254" s="195" t="s">
        <v>7736</v>
      </c>
      <c r="C2254" s="202" t="s">
        <v>7737</v>
      </c>
      <c r="D2254" s="152"/>
      <c r="E2254" s="154" t="s">
        <v>104</v>
      </c>
      <c r="F2254" s="180"/>
    </row>
    <row r="2255" customHeight="1" spans="1:6">
      <c r="A2255" s="9" t="s">
        <v>7738</v>
      </c>
      <c r="B2255" s="201" t="s">
        <v>7739</v>
      </c>
      <c r="C2255" s="202" t="s">
        <v>7740</v>
      </c>
      <c r="D2255" s="154" t="s">
        <v>7741</v>
      </c>
      <c r="E2255" s="154" t="s">
        <v>243</v>
      </c>
      <c r="F2255" s="180"/>
    </row>
    <row r="2256" customHeight="1" spans="1:6">
      <c r="A2256" s="9" t="s">
        <v>7742</v>
      </c>
      <c r="B2256" s="200" t="s">
        <v>7743</v>
      </c>
      <c r="C2256" s="202" t="s">
        <v>7744</v>
      </c>
      <c r="D2256" s="152" t="s">
        <v>7745</v>
      </c>
      <c r="E2256" s="154" t="s">
        <v>181</v>
      </c>
      <c r="F2256" s="180"/>
    </row>
    <row r="2257" customHeight="1" spans="1:6">
      <c r="A2257" s="9" t="s">
        <v>7746</v>
      </c>
      <c r="B2257" s="200" t="s">
        <v>7747</v>
      </c>
      <c r="C2257" s="192" t="s">
        <v>7748</v>
      </c>
      <c r="D2257" s="194"/>
      <c r="E2257" s="194" t="s">
        <v>125</v>
      </c>
      <c r="F2257" s="194"/>
    </row>
    <row r="2258" customHeight="1" spans="1:6">
      <c r="A2258" s="9" t="s">
        <v>7749</v>
      </c>
      <c r="B2258" s="195" t="s">
        <v>7750</v>
      </c>
      <c r="C2258" s="202" t="s">
        <v>7751</v>
      </c>
      <c r="D2258" s="152"/>
      <c r="E2258" s="154" t="s">
        <v>232</v>
      </c>
      <c r="F2258" s="180"/>
    </row>
    <row r="2259" customHeight="1" spans="1:6">
      <c r="A2259" s="9" t="s">
        <v>7752</v>
      </c>
      <c r="B2259" s="195" t="s">
        <v>7753</v>
      </c>
      <c r="C2259" s="196" t="s">
        <v>7754</v>
      </c>
      <c r="D2259" s="197"/>
      <c r="E2259" s="197" t="s">
        <v>202</v>
      </c>
      <c r="F2259" s="197"/>
    </row>
    <row r="2260" customHeight="1" spans="1:6">
      <c r="A2260" s="9" t="s">
        <v>7755</v>
      </c>
      <c r="B2260" s="158" t="s">
        <v>7756</v>
      </c>
      <c r="C2260" s="203" t="s">
        <v>7757</v>
      </c>
      <c r="D2260" s="193"/>
      <c r="E2260" s="158" t="s">
        <v>216</v>
      </c>
      <c r="F2260" s="158"/>
    </row>
    <row r="2261" customHeight="1" spans="1:6">
      <c r="A2261" s="9" t="s">
        <v>7758</v>
      </c>
      <c r="B2261" s="214" t="s">
        <v>7759</v>
      </c>
      <c r="C2261" s="214" t="s">
        <v>7760</v>
      </c>
      <c r="D2261" s="194"/>
      <c r="E2261" s="204"/>
      <c r="F2261" s="204"/>
    </row>
    <row r="2262" customHeight="1" spans="1:6">
      <c r="A2262" s="9" t="s">
        <v>7761</v>
      </c>
      <c r="B2262" s="220" t="str">
        <f>IFERROR(__xludf.DUMMYFUNCTION("""COMPUTED_VALUE"""),"Anmut Teshome /Ato// and/or Finot Tefera /W/o/")</f>
        <v>Anmut Teshome /Ato// and/or Finot Tefera /W/o/</v>
      </c>
      <c r="C2262" s="220" t="str">
        <f>IFERROR(__xludf.DUMMYFUNCTION("""COMPUTED_VALUE"""),"አንሙት ተሾመ /አቶ/ እና/ወይም")</f>
        <v>አንሙት ተሾመ /አቶ/ እና/ወይም</v>
      </c>
      <c r="D2262" s="220" t="str">
        <f>IFERROR(__xludf.DUMMYFUNCTION("""COMPUTED_VALUE"""),"0913342538
0991555128")</f>
        <v>0913342538
0991555128</v>
      </c>
      <c r="E2262" s="220" t="str">
        <f>IFERROR(__xludf.DUMMYFUNCTION("""COMPUTED_VALUE"""),"Addis Ababa")</f>
        <v>Addis Ababa</v>
      </c>
      <c r="F2262" s="220"/>
    </row>
    <row r="2263" customHeight="1" spans="1:6">
      <c r="A2263" s="9" t="s">
        <v>7762</v>
      </c>
      <c r="B2263" s="200" t="s">
        <v>7763</v>
      </c>
      <c r="C2263" s="202" t="s">
        <v>7764</v>
      </c>
      <c r="D2263" s="152" t="s">
        <v>7765</v>
      </c>
      <c r="E2263" s="154" t="s">
        <v>104</v>
      </c>
      <c r="F2263" s="180"/>
    </row>
    <row r="2264" customHeight="1" spans="1:6">
      <c r="A2264" s="9" t="s">
        <v>7766</v>
      </c>
      <c r="B2264" s="223" t="s">
        <v>7767</v>
      </c>
      <c r="C2264" s="223" t="s">
        <v>7768</v>
      </c>
      <c r="D2264" s="204" t="s">
        <v>7769</v>
      </c>
      <c r="E2264" s="204" t="s">
        <v>92</v>
      </c>
      <c r="F2264" s="204"/>
    </row>
    <row r="2265" customHeight="1" spans="1:6">
      <c r="A2265" s="9" t="s">
        <v>7770</v>
      </c>
      <c r="B2265" s="201" t="s">
        <v>7771</v>
      </c>
      <c r="C2265" s="202" t="s">
        <v>7772</v>
      </c>
      <c r="D2265" s="154" t="s">
        <v>7773</v>
      </c>
      <c r="E2265" s="154" t="s">
        <v>243</v>
      </c>
      <c r="F2265" s="180"/>
    </row>
    <row r="2266" customHeight="1" spans="1:6">
      <c r="A2266" s="9" t="s">
        <v>7774</v>
      </c>
      <c r="B2266" s="194" t="s">
        <v>7775</v>
      </c>
      <c r="C2266" s="192" t="s">
        <v>7776</v>
      </c>
      <c r="D2266" s="194"/>
      <c r="E2266" s="194" t="s">
        <v>243</v>
      </c>
      <c r="F2266" s="194"/>
    </row>
    <row r="2267" customHeight="1" spans="1:6">
      <c r="A2267" s="9" t="s">
        <v>7777</v>
      </c>
      <c r="B2267" s="214" t="s">
        <v>7778</v>
      </c>
      <c r="C2267" s="214" t="s">
        <v>7779</v>
      </c>
      <c r="D2267" s="194"/>
      <c r="E2267" s="204" t="s">
        <v>92</v>
      </c>
      <c r="F2267" s="204"/>
    </row>
    <row r="2268" customHeight="1" spans="1:6">
      <c r="A2268" s="9" t="s">
        <v>7780</v>
      </c>
      <c r="B2268" s="214" t="s">
        <v>7781</v>
      </c>
      <c r="C2268" s="214" t="s">
        <v>7782</v>
      </c>
      <c r="D2268" s="194"/>
      <c r="E2268" s="204" t="s">
        <v>92</v>
      </c>
      <c r="F2268" s="204"/>
    </row>
    <row r="2269" customHeight="1" spans="1:6">
      <c r="A2269" s="9" t="s">
        <v>7783</v>
      </c>
      <c r="B2269" s="195" t="s">
        <v>7784</v>
      </c>
      <c r="C2269" s="196" t="s">
        <v>7785</v>
      </c>
      <c r="D2269" s="197"/>
      <c r="E2269" s="198" t="s">
        <v>202</v>
      </c>
      <c r="F2269" s="199"/>
    </row>
    <row r="2270" customHeight="1" spans="1:6">
      <c r="A2270" s="9" t="s">
        <v>7786</v>
      </c>
      <c r="B2270" s="153" t="s">
        <v>7787</v>
      </c>
      <c r="C2270" s="192" t="s">
        <v>7788</v>
      </c>
      <c r="D2270" s="194"/>
      <c r="E2270" s="193" t="s">
        <v>216</v>
      </c>
      <c r="F2270" s="191"/>
    </row>
    <row r="2271" customHeight="1" spans="1:6">
      <c r="A2271" s="9" t="s">
        <v>7789</v>
      </c>
      <c r="B2271" s="197" t="s">
        <v>7790</v>
      </c>
      <c r="C2271" s="196" t="s">
        <v>7791</v>
      </c>
      <c r="D2271" s="197"/>
      <c r="E2271" s="197" t="s">
        <v>202</v>
      </c>
      <c r="F2271" s="197"/>
    </row>
    <row r="2272" customHeight="1" spans="1:6">
      <c r="A2272" s="9" t="s">
        <v>7792</v>
      </c>
      <c r="B2272" s="214" t="s">
        <v>7793</v>
      </c>
      <c r="C2272" s="214" t="s">
        <v>7794</v>
      </c>
      <c r="D2272" s="194"/>
      <c r="E2272" s="204" t="s">
        <v>92</v>
      </c>
      <c r="F2272" s="204"/>
    </row>
    <row r="2273" customHeight="1" spans="1:6">
      <c r="A2273" s="9" t="s">
        <v>7795</v>
      </c>
      <c r="B2273" s="222" t="str">
        <f>IFERROR(__xludf.DUMMYFUNCTION("""COMPUTED_VALUE"""),"Anteneh Abebe Suriw /Ato/")</f>
        <v>Anteneh Abebe Suriw /Ato/</v>
      </c>
      <c r="C2273" s="222" t="str">
        <f>IFERROR(__xludf.DUMMYFUNCTION("""COMPUTED_VALUE"""),"አንተነህ አበበ ሱሪው /አቶ/")</f>
        <v>አንተነህ አበበ ሱሪው /አቶ/</v>
      </c>
      <c r="D2273" s="222" t="str">
        <f>IFERROR(__xludf.DUMMYFUNCTION("""COMPUTED_VALUE"""),"994416006")</f>
        <v>994416006</v>
      </c>
      <c r="E2273" s="222" t="str">
        <f>IFERROR(__xludf.DUMMYFUNCTION("""COMPUTED_VALUE"""),"Addis Ababa")</f>
        <v>Addis Ababa</v>
      </c>
      <c r="F2273" s="222"/>
    </row>
    <row r="2274" customHeight="1" spans="1:6">
      <c r="A2274" s="9" t="s">
        <v>7796</v>
      </c>
      <c r="B2274" s="223" t="s">
        <v>7797</v>
      </c>
      <c r="C2274" s="223" t="s">
        <v>7798</v>
      </c>
      <c r="D2274" s="204" t="s">
        <v>7799</v>
      </c>
      <c r="E2274" s="204" t="s">
        <v>92</v>
      </c>
      <c r="F2274" s="204"/>
    </row>
    <row r="2275" customHeight="1" spans="1:6">
      <c r="A2275" s="9" t="s">
        <v>7800</v>
      </c>
      <c r="B2275" s="223" t="s">
        <v>7801</v>
      </c>
      <c r="C2275" s="223" t="s">
        <v>7802</v>
      </c>
      <c r="D2275" s="204" t="s">
        <v>7803</v>
      </c>
      <c r="E2275" s="204" t="s">
        <v>92</v>
      </c>
      <c r="F2275" s="204"/>
    </row>
    <row r="2276" customHeight="1" spans="1:6">
      <c r="A2276" s="9" t="s">
        <v>7804</v>
      </c>
      <c r="B2276" s="223" t="s">
        <v>7805</v>
      </c>
      <c r="C2276" s="223" t="s">
        <v>7806</v>
      </c>
      <c r="D2276" s="204" t="s">
        <v>7807</v>
      </c>
      <c r="E2276" s="204" t="s">
        <v>92</v>
      </c>
      <c r="F2276" s="204"/>
    </row>
    <row r="2277" customHeight="1" spans="1:6">
      <c r="A2277" s="9" t="s">
        <v>7808</v>
      </c>
      <c r="B2277" s="214" t="s">
        <v>7809</v>
      </c>
      <c r="C2277" s="214" t="s">
        <v>7810</v>
      </c>
      <c r="D2277" s="194"/>
      <c r="E2277" s="204" t="s">
        <v>92</v>
      </c>
      <c r="F2277" s="204"/>
    </row>
    <row r="2278" customHeight="1" spans="1:6">
      <c r="A2278" s="9" t="s">
        <v>7811</v>
      </c>
      <c r="B2278" s="255" t="s">
        <v>7812</v>
      </c>
      <c r="C2278" s="255" t="s">
        <v>7813</v>
      </c>
      <c r="D2278" s="256" t="s">
        <v>7814</v>
      </c>
      <c r="E2278" s="26" t="s">
        <v>1701</v>
      </c>
      <c r="F2278" s="290" t="s">
        <v>7815</v>
      </c>
    </row>
    <row r="2279" customHeight="1" spans="1:6">
      <c r="A2279" s="9" t="s">
        <v>7816</v>
      </c>
      <c r="B2279" s="223" t="s">
        <v>7817</v>
      </c>
      <c r="C2279" s="223" t="s">
        <v>7818</v>
      </c>
      <c r="D2279" s="204" t="s">
        <v>7819</v>
      </c>
      <c r="E2279" s="204" t="s">
        <v>92</v>
      </c>
      <c r="F2279" s="204"/>
    </row>
    <row r="2280" customHeight="1" spans="1:6">
      <c r="A2280" s="9" t="s">
        <v>7820</v>
      </c>
      <c r="B2280" s="223" t="s">
        <v>7821</v>
      </c>
      <c r="C2280" s="223" t="s">
        <v>7822</v>
      </c>
      <c r="D2280" s="204" t="s">
        <v>7823</v>
      </c>
      <c r="E2280" s="204" t="s">
        <v>92</v>
      </c>
      <c r="F2280" s="204"/>
    </row>
    <row r="2281" customHeight="1" spans="1:6">
      <c r="A2281" s="9" t="s">
        <v>7824</v>
      </c>
      <c r="B2281" s="153" t="s">
        <v>7825</v>
      </c>
      <c r="C2281" s="202" t="s">
        <v>7826</v>
      </c>
      <c r="D2281" s="154"/>
      <c r="E2281" s="154" t="s">
        <v>104</v>
      </c>
      <c r="F2281" s="180"/>
    </row>
    <row r="2282" customHeight="1" spans="1:6">
      <c r="A2282" s="9" t="s">
        <v>7827</v>
      </c>
      <c r="B2282" s="195" t="s">
        <v>7828</v>
      </c>
      <c r="C2282" s="202" t="s">
        <v>7829</v>
      </c>
      <c r="D2282" s="152"/>
      <c r="E2282" s="154" t="s">
        <v>104</v>
      </c>
      <c r="F2282" s="180"/>
    </row>
    <row r="2283" customHeight="1" spans="1:6">
      <c r="A2283" s="9" t="s">
        <v>7830</v>
      </c>
      <c r="B2283" s="222" t="str">
        <f>IFERROR(__xludf.DUMMYFUNCTION("""COMPUTED_VALUE"""),"Anteneh Damtew /Ato/ For Amen Anteneh and Yeabsra Anteneh and Natan Anteneh and Eyobed Anteneh
 /Mionr/")</f>
        <v>Anteneh Damtew /Ato/ For Amen Anteneh and Yeabsra Anteneh and Natan Anteneh and Eyobed Anteneh
 /Mionr/</v>
      </c>
      <c r="C2283" s="222" t="str">
        <f>IFERROR(__xludf.DUMMYFUNCTION("""COMPUTED_VALUE"""),"አነተነህ ዳምጠው ለአሜን አንተነህ፣ ለየአብስራ አንተነህ፣ ለናታን አንተነህ፣ ለእዮቤድ አንተነህ")</f>
        <v>አነተነህ ዳምጠው ለአሜን አንተነህ፣ ለየአብስራ አንተነህ፣ ለናታን አንተነህ፣ ለእዮቤድ አንተነህ</v>
      </c>
      <c r="D2283" s="222" t="str">
        <f>IFERROR(__xludf.DUMMYFUNCTION("""COMPUTED_VALUE"""),"0911-625217")</f>
        <v>0911-625217</v>
      </c>
      <c r="E2283" s="222" t="str">
        <f>IFERROR(__xludf.DUMMYFUNCTION("""COMPUTED_VALUE"""),"Addis Ababa")</f>
        <v>Addis Ababa</v>
      </c>
      <c r="F2283" s="222"/>
    </row>
    <row r="2284" customHeight="1" spans="1:6">
      <c r="A2284" s="9" t="s">
        <v>7831</v>
      </c>
      <c r="B2284" s="233" t="s">
        <v>7832</v>
      </c>
      <c r="C2284" s="233" t="s">
        <v>7833</v>
      </c>
      <c r="D2284" s="204" t="s">
        <v>7834</v>
      </c>
      <c r="E2284" s="204" t="s">
        <v>605</v>
      </c>
      <c r="F2284" s="204" t="s">
        <v>7835</v>
      </c>
    </row>
    <row r="2285" customHeight="1" spans="1:6">
      <c r="A2285" s="9" t="s">
        <v>7836</v>
      </c>
      <c r="B2285" s="217" t="s">
        <v>7837</v>
      </c>
      <c r="C2285" s="218" t="s">
        <v>7838</v>
      </c>
      <c r="D2285" s="155" t="s">
        <v>3166</v>
      </c>
      <c r="E2285" s="154" t="s">
        <v>104</v>
      </c>
      <c r="F2285" s="314"/>
    </row>
    <row r="2286" customHeight="1" spans="1:6">
      <c r="A2286" s="9" t="s">
        <v>7839</v>
      </c>
      <c r="B2286" s="260" t="s">
        <v>7840</v>
      </c>
      <c r="C2286" s="243" t="s">
        <v>7841</v>
      </c>
      <c r="D2286" s="154">
        <v>913887319</v>
      </c>
      <c r="E2286" s="158" t="s">
        <v>243</v>
      </c>
      <c r="F2286" s="153"/>
    </row>
    <row r="2287" customHeight="1" spans="1:6">
      <c r="A2287" s="9" t="s">
        <v>7842</v>
      </c>
      <c r="B2287" s="214" t="s">
        <v>7843</v>
      </c>
      <c r="C2287" s="214" t="s">
        <v>7844</v>
      </c>
      <c r="D2287" s="194"/>
      <c r="E2287" s="204" t="s">
        <v>92</v>
      </c>
      <c r="F2287" s="204"/>
    </row>
    <row r="2288" customHeight="1" spans="1:6">
      <c r="A2288" s="9" t="s">
        <v>7845</v>
      </c>
      <c r="B2288" s="214" t="s">
        <v>7846</v>
      </c>
      <c r="C2288" s="214" t="s">
        <v>7847</v>
      </c>
      <c r="D2288" s="194"/>
      <c r="E2288" s="204" t="s">
        <v>92</v>
      </c>
      <c r="F2288" s="204"/>
    </row>
    <row r="2289" customHeight="1" spans="1:6">
      <c r="A2289" s="9" t="s">
        <v>7848</v>
      </c>
      <c r="B2289" s="219" t="s">
        <v>7849</v>
      </c>
      <c r="C2289" s="219" t="s">
        <v>7850</v>
      </c>
      <c r="D2289" s="194"/>
      <c r="E2289" s="204" t="s">
        <v>92</v>
      </c>
      <c r="F2289" s="204"/>
    </row>
    <row r="2290" customHeight="1" spans="1:6">
      <c r="A2290" s="9" t="s">
        <v>7851</v>
      </c>
      <c r="B2290" s="201" t="s">
        <v>7852</v>
      </c>
      <c r="C2290" s="202" t="s">
        <v>7853</v>
      </c>
      <c r="D2290" s="154" t="s">
        <v>7854</v>
      </c>
      <c r="E2290" s="154"/>
      <c r="F2290" s="180"/>
    </row>
    <row r="2291" customHeight="1" spans="1:6">
      <c r="A2291" s="9" t="s">
        <v>7855</v>
      </c>
      <c r="B2291" s="201" t="s">
        <v>7856</v>
      </c>
      <c r="C2291" s="202" t="s">
        <v>7857</v>
      </c>
      <c r="D2291" s="153"/>
      <c r="E2291" s="180" t="s">
        <v>104</v>
      </c>
      <c r="F2291" s="180"/>
    </row>
    <row r="2292" customHeight="1" spans="1:6">
      <c r="A2292" s="9" t="s">
        <v>7858</v>
      </c>
      <c r="B2292" s="214" t="s">
        <v>7859</v>
      </c>
      <c r="C2292" s="214" t="s">
        <v>7860</v>
      </c>
      <c r="D2292" s="194"/>
      <c r="E2292" s="204" t="s">
        <v>92</v>
      </c>
      <c r="F2292" s="204"/>
    </row>
    <row r="2293" customHeight="1" spans="1:6">
      <c r="A2293" s="9" t="s">
        <v>7861</v>
      </c>
      <c r="B2293" s="160" t="s">
        <v>7862</v>
      </c>
      <c r="C2293" s="160" t="s">
        <v>7863</v>
      </c>
      <c r="D2293" s="204" t="s">
        <v>7864</v>
      </c>
      <c r="E2293" s="204" t="s">
        <v>92</v>
      </c>
      <c r="F2293" s="204"/>
    </row>
    <row r="2294" customHeight="1" spans="1:6">
      <c r="A2294" s="9" t="s">
        <v>7865</v>
      </c>
      <c r="B2294" s="200" t="s">
        <v>7866</v>
      </c>
      <c r="C2294" s="202" t="s">
        <v>7867</v>
      </c>
      <c r="D2294" s="158" t="s">
        <v>7868</v>
      </c>
      <c r="E2294" s="154"/>
      <c r="F2294" s="180"/>
    </row>
    <row r="2295" customHeight="1" spans="1:6">
      <c r="A2295" s="9" t="s">
        <v>7869</v>
      </c>
      <c r="B2295" s="160" t="s">
        <v>7870</v>
      </c>
      <c r="C2295" s="160" t="s">
        <v>7871</v>
      </c>
      <c r="D2295" s="204" t="s">
        <v>7872</v>
      </c>
      <c r="E2295" s="204" t="s">
        <v>92</v>
      </c>
      <c r="F2295" s="204"/>
    </row>
    <row r="2296" customHeight="1" spans="1:6">
      <c r="A2296" s="9" t="s">
        <v>7873</v>
      </c>
      <c r="B2296" s="223" t="s">
        <v>7874</v>
      </c>
      <c r="C2296" s="223" t="s">
        <v>7875</v>
      </c>
      <c r="D2296" s="204" t="s">
        <v>7876</v>
      </c>
      <c r="E2296" s="204" t="s">
        <v>92</v>
      </c>
      <c r="F2296" s="204"/>
    </row>
    <row r="2297" customHeight="1" spans="1:6">
      <c r="A2297" s="9" t="s">
        <v>7877</v>
      </c>
      <c r="B2297" s="223" t="s">
        <v>7878</v>
      </c>
      <c r="C2297" s="223" t="s">
        <v>7879</v>
      </c>
      <c r="D2297" s="204"/>
      <c r="E2297" s="204" t="s">
        <v>92</v>
      </c>
      <c r="F2297" s="204"/>
    </row>
    <row r="2298" customHeight="1" spans="1:6">
      <c r="A2298" s="9" t="s">
        <v>7880</v>
      </c>
      <c r="B2298" s="208" t="s">
        <v>7881</v>
      </c>
      <c r="C2298" s="208" t="s">
        <v>7882</v>
      </c>
      <c r="D2298" s="194"/>
      <c r="E2298" s="204" t="s">
        <v>92</v>
      </c>
      <c r="F2298" s="204"/>
    </row>
    <row r="2299" customHeight="1" spans="1:6">
      <c r="A2299" s="9" t="s">
        <v>7883</v>
      </c>
      <c r="B2299" s="160" t="s">
        <v>7884</v>
      </c>
      <c r="C2299" s="160" t="s">
        <v>7885</v>
      </c>
      <c r="D2299" s="204" t="s">
        <v>7886</v>
      </c>
      <c r="E2299" s="204" t="s">
        <v>92</v>
      </c>
      <c r="F2299" s="204"/>
    </row>
    <row r="2300" customHeight="1" spans="1:6">
      <c r="A2300" s="9" t="s">
        <v>7887</v>
      </c>
      <c r="B2300" s="160" t="s">
        <v>7888</v>
      </c>
      <c r="C2300" s="160" t="s">
        <v>7889</v>
      </c>
      <c r="D2300" s="204" t="s">
        <v>7890</v>
      </c>
      <c r="E2300" s="204" t="s">
        <v>92</v>
      </c>
      <c r="F2300" s="204"/>
    </row>
    <row r="2301" customHeight="1" spans="1:6">
      <c r="A2301" s="9" t="s">
        <v>7891</v>
      </c>
      <c r="B2301" s="302" t="s">
        <v>7892</v>
      </c>
      <c r="C2301" s="302" t="s">
        <v>7893</v>
      </c>
      <c r="D2301" s="204" t="s">
        <v>7894</v>
      </c>
      <c r="E2301" s="204" t="s">
        <v>92</v>
      </c>
      <c r="F2301" s="204"/>
    </row>
    <row r="2302" customHeight="1" spans="1:6">
      <c r="A2302" s="9" t="s">
        <v>7895</v>
      </c>
      <c r="B2302" s="160" t="s">
        <v>7896</v>
      </c>
      <c r="C2302" s="160" t="s">
        <v>7897</v>
      </c>
      <c r="D2302" s="204" t="s">
        <v>7898</v>
      </c>
      <c r="E2302" s="204" t="s">
        <v>92</v>
      </c>
      <c r="F2302" s="204"/>
    </row>
    <row r="2303" customHeight="1" spans="1:6">
      <c r="A2303" s="9" t="s">
        <v>7899</v>
      </c>
      <c r="B2303" s="158" t="s">
        <v>7900</v>
      </c>
      <c r="C2303" s="203" t="s">
        <v>7901</v>
      </c>
      <c r="D2303" s="158"/>
      <c r="E2303" s="158" t="s">
        <v>216</v>
      </c>
      <c r="F2303" s="158"/>
    </row>
    <row r="2304" customHeight="1" spans="1:6">
      <c r="A2304" s="9" t="s">
        <v>7902</v>
      </c>
      <c r="B2304" s="205" t="s">
        <v>7903</v>
      </c>
      <c r="C2304" s="205" t="s">
        <v>7904</v>
      </c>
      <c r="D2304" s="206" t="s">
        <v>7905</v>
      </c>
      <c r="E2304" s="193" t="s">
        <v>120</v>
      </c>
      <c r="F2304" s="221" t="s">
        <v>7906</v>
      </c>
    </row>
    <row r="2305" customHeight="1" spans="1:6">
      <c r="A2305" s="9" t="s">
        <v>7907</v>
      </c>
      <c r="B2305" s="200" t="s">
        <v>7908</v>
      </c>
      <c r="C2305" s="203" t="s">
        <v>7909</v>
      </c>
      <c r="D2305" s="194"/>
      <c r="E2305" s="194" t="s">
        <v>273</v>
      </c>
      <c r="F2305" s="194"/>
    </row>
    <row r="2306" customHeight="1" spans="1:6">
      <c r="A2306" s="9" t="s">
        <v>7910</v>
      </c>
      <c r="B2306" s="201" t="s">
        <v>7911</v>
      </c>
      <c r="C2306" s="202" t="s">
        <v>7912</v>
      </c>
      <c r="D2306" s="154" t="s">
        <v>7913</v>
      </c>
      <c r="E2306" s="154" t="s">
        <v>243</v>
      </c>
      <c r="F2306" s="180"/>
    </row>
    <row r="2307" customHeight="1" spans="1:6">
      <c r="A2307" s="9" t="s">
        <v>7914</v>
      </c>
      <c r="B2307" s="201" t="s">
        <v>7915</v>
      </c>
      <c r="C2307" s="202" t="s">
        <v>7916</v>
      </c>
      <c r="D2307" s="154"/>
      <c r="E2307" s="154" t="s">
        <v>84</v>
      </c>
      <c r="F2307" s="180"/>
    </row>
    <row r="2308" customHeight="1" spans="1:6">
      <c r="A2308" s="9" t="s">
        <v>7917</v>
      </c>
      <c r="B2308" s="199" t="s">
        <v>7918</v>
      </c>
      <c r="C2308" s="196" t="s">
        <v>7919</v>
      </c>
      <c r="D2308" s="198"/>
      <c r="E2308" s="197" t="s">
        <v>9</v>
      </c>
      <c r="F2308" s="199"/>
    </row>
    <row r="2309" customHeight="1" spans="1:6">
      <c r="A2309" s="9" t="s">
        <v>7920</v>
      </c>
      <c r="B2309" s="153" t="s">
        <v>7921</v>
      </c>
      <c r="C2309" s="202" t="s">
        <v>7922</v>
      </c>
      <c r="D2309" s="158">
        <v>979975312</v>
      </c>
      <c r="E2309" s="158" t="s">
        <v>32</v>
      </c>
      <c r="F2309" s="153"/>
    </row>
    <row r="2310" customHeight="1" spans="1:6">
      <c r="A2310" s="9" t="s">
        <v>7923</v>
      </c>
      <c r="B2310" s="160" t="s">
        <v>7924</v>
      </c>
      <c r="C2310" s="160" t="s">
        <v>7925</v>
      </c>
      <c r="D2310" s="204" t="s">
        <v>7926</v>
      </c>
      <c r="E2310" s="204" t="s">
        <v>92</v>
      </c>
      <c r="F2310" s="204"/>
    </row>
    <row r="2311" customHeight="1" spans="1:6">
      <c r="A2311" s="9" t="s">
        <v>7927</v>
      </c>
      <c r="B2311" s="160" t="s">
        <v>7928</v>
      </c>
      <c r="C2311" s="160" t="s">
        <v>7929</v>
      </c>
      <c r="D2311" s="204" t="s">
        <v>7930</v>
      </c>
      <c r="E2311" s="204" t="s">
        <v>92</v>
      </c>
      <c r="F2311" s="204"/>
    </row>
    <row r="2312" customHeight="1" spans="1:6">
      <c r="A2312" s="9" t="s">
        <v>7931</v>
      </c>
      <c r="B2312" s="215" t="s">
        <v>7928</v>
      </c>
      <c r="C2312" s="205" t="s">
        <v>7932</v>
      </c>
      <c r="D2312" s="342" t="s">
        <v>7933</v>
      </c>
      <c r="E2312" s="193" t="s">
        <v>120</v>
      </c>
      <c r="F2312" s="216"/>
    </row>
    <row r="2313" customHeight="1" spans="1:6">
      <c r="A2313" s="9" t="s">
        <v>7934</v>
      </c>
      <c r="B2313" s="205" t="s">
        <v>7935</v>
      </c>
      <c r="C2313" s="205" t="s">
        <v>7936</v>
      </c>
      <c r="D2313" s="206" t="s">
        <v>7937</v>
      </c>
      <c r="E2313" s="193" t="s">
        <v>120</v>
      </c>
      <c r="F2313" s="221" t="s">
        <v>7938</v>
      </c>
    </row>
    <row r="2314" customHeight="1" spans="1:6">
      <c r="A2314" s="9" t="s">
        <v>7939</v>
      </c>
      <c r="B2314" s="201" t="s">
        <v>7940</v>
      </c>
      <c r="C2314" s="202" t="s">
        <v>7941</v>
      </c>
      <c r="D2314" s="154"/>
      <c r="E2314" s="154" t="s">
        <v>58</v>
      </c>
      <c r="F2314" s="180"/>
    </row>
    <row r="2315" customHeight="1" spans="1:6">
      <c r="A2315" s="9" t="s">
        <v>7942</v>
      </c>
      <c r="B2315" s="194" t="s">
        <v>7943</v>
      </c>
      <c r="C2315" s="203" t="s">
        <v>7944</v>
      </c>
      <c r="D2315" s="197"/>
      <c r="E2315" s="197" t="s">
        <v>253</v>
      </c>
      <c r="F2315" s="197"/>
    </row>
    <row r="2316" customHeight="1" spans="1:6">
      <c r="A2316" s="9" t="s">
        <v>7945</v>
      </c>
      <c r="B2316" s="195" t="s">
        <v>7946</v>
      </c>
      <c r="C2316" s="203" t="s">
        <v>7947</v>
      </c>
      <c r="D2316" s="197"/>
      <c r="E2316" s="197" t="s">
        <v>104</v>
      </c>
      <c r="F2316" s="197"/>
    </row>
    <row r="2317" customHeight="1" spans="1:6">
      <c r="A2317" s="9" t="s">
        <v>7948</v>
      </c>
      <c r="B2317" s="195" t="s">
        <v>7949</v>
      </c>
      <c r="C2317" s="202" t="s">
        <v>7950</v>
      </c>
      <c r="D2317" s="152"/>
      <c r="E2317" s="154" t="s">
        <v>232</v>
      </c>
      <c r="F2317" s="180"/>
    </row>
    <row r="2318" customHeight="1" spans="1:6">
      <c r="A2318" s="9" t="s">
        <v>7951</v>
      </c>
      <c r="B2318" s="153" t="s">
        <v>7952</v>
      </c>
      <c r="C2318" s="196" t="s">
        <v>7953</v>
      </c>
      <c r="D2318" s="197"/>
      <c r="E2318" s="198" t="s">
        <v>216</v>
      </c>
      <c r="F2318" s="199"/>
    </row>
    <row r="2319" customHeight="1" spans="1:6">
      <c r="A2319" s="9" t="s">
        <v>7954</v>
      </c>
      <c r="B2319" s="197" t="s">
        <v>7955</v>
      </c>
      <c r="C2319" s="202" t="s">
        <v>7956</v>
      </c>
      <c r="D2319" s="248" t="s">
        <v>7957</v>
      </c>
      <c r="E2319" s="154" t="s">
        <v>104</v>
      </c>
      <c r="F2319" s="180"/>
    </row>
    <row r="2320" customHeight="1" spans="1:6">
      <c r="A2320" s="9" t="s">
        <v>7958</v>
      </c>
      <c r="B2320" s="195" t="s">
        <v>7959</v>
      </c>
      <c r="C2320" s="202" t="s">
        <v>7960</v>
      </c>
      <c r="D2320" s="158" t="s">
        <v>7961</v>
      </c>
      <c r="E2320" s="154" t="s">
        <v>253</v>
      </c>
      <c r="F2320" s="180"/>
    </row>
    <row r="2321" customHeight="1" spans="1:6">
      <c r="A2321" s="9" t="s">
        <v>7962</v>
      </c>
      <c r="B2321" s="197" t="s">
        <v>7963</v>
      </c>
      <c r="C2321" s="196" t="s">
        <v>7964</v>
      </c>
      <c r="D2321" s="315" t="s">
        <v>7965</v>
      </c>
      <c r="E2321" s="197" t="s">
        <v>58</v>
      </c>
      <c r="F2321" s="197"/>
    </row>
    <row r="2322" customHeight="1" spans="1:6">
      <c r="A2322" s="9" t="s">
        <v>7966</v>
      </c>
      <c r="B2322" s="316" t="s">
        <v>7967</v>
      </c>
      <c r="C2322" s="316" t="s">
        <v>7968</v>
      </c>
      <c r="D2322" s="206" t="s">
        <v>7969</v>
      </c>
      <c r="E2322" s="193" t="s">
        <v>120</v>
      </c>
      <c r="F2322" s="207" t="s">
        <v>7970</v>
      </c>
    </row>
    <row r="2323" customHeight="1" spans="1:6">
      <c r="A2323" s="9" t="s">
        <v>7971</v>
      </c>
      <c r="B2323" s="200" t="s">
        <v>7972</v>
      </c>
      <c r="C2323" s="236" t="s">
        <v>7973</v>
      </c>
      <c r="D2323" s="194"/>
      <c r="E2323" s="193" t="s">
        <v>202</v>
      </c>
      <c r="F2323" s="191"/>
    </row>
    <row r="2324" customHeight="1" spans="1:6">
      <c r="A2324" s="9" t="s">
        <v>7974</v>
      </c>
      <c r="B2324" s="201" t="s">
        <v>7975</v>
      </c>
      <c r="C2324" s="202" t="s">
        <v>7976</v>
      </c>
      <c r="D2324" s="154"/>
      <c r="E2324" s="154" t="s">
        <v>243</v>
      </c>
      <c r="F2324" s="180"/>
    </row>
    <row r="2325" customHeight="1" spans="1:6">
      <c r="A2325" s="9" t="s">
        <v>7977</v>
      </c>
      <c r="B2325" s="166" t="str">
        <f>IFERROR(__xludf.DUMMYFUNCTION("""COMPUTED_VALUE"""),"Arefat Abubeker Abdurahman /W/o/")</f>
        <v>Arefat Abubeker Abdurahman /W/o/</v>
      </c>
      <c r="C2325" s="166" t="str">
        <f>IFERROR(__xludf.DUMMYFUNCTION("""COMPUTED_VALUE"""),"አረፋት አቡበከር አብዱራህማን /አቶ/")</f>
        <v>አረፋት አቡበከር አብዱራህማን /አቶ/</v>
      </c>
      <c r="D2325" s="166" t="str">
        <f>IFERROR(__xludf.DUMMYFUNCTION("""COMPUTED_VALUE"""),"911215222")</f>
        <v>911215222</v>
      </c>
      <c r="E2325" s="166" t="str">
        <f>IFERROR(__xludf.DUMMYFUNCTION("""COMPUTED_VALUE"""),"Addis Ababa")</f>
        <v>Addis Ababa</v>
      </c>
      <c r="F2325" s="166"/>
    </row>
    <row r="2326" customHeight="1" spans="1:6">
      <c r="A2326" s="9" t="s">
        <v>7978</v>
      </c>
      <c r="B2326" s="158" t="s">
        <v>7979</v>
      </c>
      <c r="C2326" s="202" t="s">
        <v>7980</v>
      </c>
      <c r="D2326" s="158"/>
      <c r="E2326" s="154" t="s">
        <v>104</v>
      </c>
      <c r="F2326" s="180"/>
    </row>
    <row r="2327" customHeight="1" spans="1:6">
      <c r="A2327" s="9" t="s">
        <v>7981</v>
      </c>
      <c r="B2327" s="195" t="s">
        <v>7982</v>
      </c>
      <c r="C2327" s="202" t="s">
        <v>7983</v>
      </c>
      <c r="D2327" s="158"/>
      <c r="E2327" s="154" t="s">
        <v>202</v>
      </c>
      <c r="F2327" s="180"/>
    </row>
    <row r="2328" customHeight="1" spans="1:6">
      <c r="A2328" s="9" t="s">
        <v>7984</v>
      </c>
      <c r="B2328" s="195" t="s">
        <v>7985</v>
      </c>
      <c r="C2328" s="202" t="s">
        <v>7986</v>
      </c>
      <c r="D2328" s="152"/>
      <c r="E2328" s="154" t="s">
        <v>104</v>
      </c>
      <c r="F2328" s="180"/>
    </row>
    <row r="2329" customHeight="1" spans="1:6">
      <c r="A2329" s="9" t="s">
        <v>7987</v>
      </c>
      <c r="B2329" s="200" t="s">
        <v>7988</v>
      </c>
      <c r="C2329" s="202" t="s">
        <v>7989</v>
      </c>
      <c r="D2329" s="152" t="s">
        <v>7990</v>
      </c>
      <c r="E2329" s="154" t="s">
        <v>232</v>
      </c>
      <c r="F2329" s="180"/>
    </row>
    <row r="2330" customHeight="1" spans="1:6">
      <c r="A2330" s="9" t="s">
        <v>7991</v>
      </c>
      <c r="B2330" s="201" t="s">
        <v>7992</v>
      </c>
      <c r="C2330" s="202" t="s">
        <v>7993</v>
      </c>
      <c r="D2330" s="154" t="s">
        <v>7994</v>
      </c>
      <c r="E2330" s="154"/>
      <c r="F2330" s="180"/>
    </row>
    <row r="2331" customHeight="1" spans="1:6">
      <c r="A2331" s="9" t="s">
        <v>7995</v>
      </c>
      <c r="B2331" s="201" t="s">
        <v>7996</v>
      </c>
      <c r="C2331" s="202" t="s">
        <v>7997</v>
      </c>
      <c r="D2331" s="154" t="s">
        <v>7998</v>
      </c>
      <c r="E2331" s="154"/>
      <c r="F2331" s="180"/>
    </row>
    <row r="2332" customHeight="1" spans="1:6">
      <c r="A2332" s="9" t="s">
        <v>7999</v>
      </c>
      <c r="B2332" s="195" t="s">
        <v>8000</v>
      </c>
      <c r="C2332" s="202" t="s">
        <v>8001</v>
      </c>
      <c r="D2332" s="152" t="s">
        <v>8002</v>
      </c>
      <c r="E2332" s="154" t="s">
        <v>232</v>
      </c>
      <c r="F2332" s="180"/>
    </row>
    <row r="2333" customHeight="1" spans="1:6">
      <c r="A2333" s="9" t="s">
        <v>8003</v>
      </c>
      <c r="B2333" s="200" t="s">
        <v>8004</v>
      </c>
      <c r="C2333" s="202" t="s">
        <v>8005</v>
      </c>
      <c r="D2333" s="152"/>
      <c r="E2333" s="154" t="s">
        <v>232</v>
      </c>
      <c r="F2333" s="180"/>
    </row>
    <row r="2334" customHeight="1" spans="1:6">
      <c r="A2334" s="9" t="s">
        <v>8006</v>
      </c>
      <c r="B2334" s="197" t="s">
        <v>8007</v>
      </c>
      <c r="C2334" s="203" t="s">
        <v>8008</v>
      </c>
      <c r="D2334" s="197"/>
      <c r="E2334" s="197" t="s">
        <v>253</v>
      </c>
      <c r="F2334" s="197"/>
    </row>
    <row r="2335" customHeight="1" spans="1:6">
      <c r="A2335" s="9" t="s">
        <v>8009</v>
      </c>
      <c r="B2335" s="195" t="s">
        <v>8010</v>
      </c>
      <c r="C2335" s="202" t="s">
        <v>8011</v>
      </c>
      <c r="D2335" s="158" t="s">
        <v>8012</v>
      </c>
      <c r="E2335" s="154"/>
      <c r="F2335" s="180"/>
    </row>
    <row r="2336" customHeight="1" spans="1:6">
      <c r="A2336" s="9" t="s">
        <v>8013</v>
      </c>
      <c r="B2336" s="195" t="s">
        <v>8014</v>
      </c>
      <c r="C2336" s="196" t="s">
        <v>8015</v>
      </c>
      <c r="D2336" s="197" t="s">
        <v>8016</v>
      </c>
      <c r="E2336" s="198" t="s">
        <v>216</v>
      </c>
      <c r="F2336" s="199"/>
    </row>
    <row r="2337" customHeight="1" spans="1:6">
      <c r="A2337" s="9" t="s">
        <v>8017</v>
      </c>
      <c r="B2337" s="317" t="s">
        <v>8018</v>
      </c>
      <c r="C2337" s="202" t="s">
        <v>8019</v>
      </c>
      <c r="D2337" s="154"/>
      <c r="E2337" s="210" t="s">
        <v>104</v>
      </c>
      <c r="F2337" s="211"/>
    </row>
    <row r="2338" customHeight="1" spans="1:6">
      <c r="A2338" s="9" t="s">
        <v>8020</v>
      </c>
      <c r="B2338" s="200" t="s">
        <v>8021</v>
      </c>
      <c r="C2338" s="202" t="s">
        <v>8022</v>
      </c>
      <c r="D2338" s="154" t="s">
        <v>8023</v>
      </c>
      <c r="E2338" s="154" t="s">
        <v>253</v>
      </c>
      <c r="F2338" s="180"/>
    </row>
    <row r="2339" customHeight="1" spans="1:6">
      <c r="A2339" s="9" t="s">
        <v>8024</v>
      </c>
      <c r="B2339" s="214" t="s">
        <v>8025</v>
      </c>
      <c r="C2339" s="214" t="s">
        <v>8026</v>
      </c>
      <c r="D2339" s="194"/>
      <c r="E2339" s="204" t="s">
        <v>92</v>
      </c>
      <c r="F2339" s="204"/>
    </row>
    <row r="2340" customHeight="1" spans="1:6">
      <c r="A2340" s="9" t="s">
        <v>8027</v>
      </c>
      <c r="B2340" s="201" t="s">
        <v>8028</v>
      </c>
      <c r="C2340" s="202" t="s">
        <v>8029</v>
      </c>
      <c r="D2340" s="154" t="s">
        <v>8030</v>
      </c>
      <c r="E2340" s="154" t="s">
        <v>243</v>
      </c>
      <c r="F2340" s="180"/>
    </row>
    <row r="2341" customHeight="1" spans="1:6">
      <c r="A2341" s="9" t="s">
        <v>8031</v>
      </c>
      <c r="B2341" s="160" t="s">
        <v>8032</v>
      </c>
      <c r="C2341" s="160" t="s">
        <v>8033</v>
      </c>
      <c r="D2341" s="204" t="s">
        <v>8034</v>
      </c>
      <c r="E2341" s="204" t="s">
        <v>92</v>
      </c>
      <c r="F2341" s="204"/>
    </row>
    <row r="2342" customHeight="1" spans="1:6">
      <c r="A2342" s="9" t="s">
        <v>8035</v>
      </c>
      <c r="B2342" s="200" t="s">
        <v>8036</v>
      </c>
      <c r="C2342" s="202" t="s">
        <v>8037</v>
      </c>
      <c r="D2342" s="154"/>
      <c r="E2342" s="154" t="s">
        <v>310</v>
      </c>
      <c r="F2342" s="180"/>
    </row>
    <row r="2343" customHeight="1" spans="1:6">
      <c r="A2343" s="9" t="s">
        <v>8038</v>
      </c>
      <c r="B2343" s="195" t="s">
        <v>8039</v>
      </c>
      <c r="C2343" s="196" t="s">
        <v>8040</v>
      </c>
      <c r="D2343" s="197"/>
      <c r="E2343" s="197" t="s">
        <v>310</v>
      </c>
      <c r="F2343" s="197"/>
    </row>
    <row r="2344" customHeight="1" spans="1:6">
      <c r="A2344" s="9" t="s">
        <v>8041</v>
      </c>
      <c r="B2344" s="194" t="s">
        <v>8042</v>
      </c>
      <c r="C2344" s="264" t="s">
        <v>8043</v>
      </c>
      <c r="D2344" s="194"/>
      <c r="E2344" s="158" t="s">
        <v>216</v>
      </c>
      <c r="F2344" s="158"/>
    </row>
    <row r="2345" customHeight="1" spans="1:6">
      <c r="A2345" s="9" t="s">
        <v>8044</v>
      </c>
      <c r="B2345" s="197" t="s">
        <v>8045</v>
      </c>
      <c r="C2345" s="196" t="s">
        <v>8046</v>
      </c>
      <c r="D2345" s="197"/>
      <c r="E2345" s="197" t="s">
        <v>310</v>
      </c>
      <c r="F2345" s="197"/>
    </row>
    <row r="2346" customHeight="1" spans="1:6">
      <c r="A2346" s="9" t="s">
        <v>8047</v>
      </c>
      <c r="B2346" s="153" t="s">
        <v>8048</v>
      </c>
      <c r="C2346" s="202" t="s">
        <v>8049</v>
      </c>
      <c r="D2346" s="154"/>
      <c r="E2346" s="210" t="s">
        <v>211</v>
      </c>
      <c r="F2346" s="211"/>
    </row>
    <row r="2347" customHeight="1" spans="1:6">
      <c r="A2347" s="9" t="s">
        <v>8050</v>
      </c>
      <c r="B2347" s="200" t="s">
        <v>8051</v>
      </c>
      <c r="C2347" s="202" t="s">
        <v>8052</v>
      </c>
      <c r="D2347" s="158" t="s">
        <v>8053</v>
      </c>
      <c r="E2347" s="154" t="s">
        <v>202</v>
      </c>
      <c r="F2347" s="180"/>
    </row>
    <row r="2348" customHeight="1" spans="1:6">
      <c r="A2348" s="9" t="s">
        <v>8054</v>
      </c>
      <c r="B2348" s="200" t="s">
        <v>8055</v>
      </c>
      <c r="C2348" s="202" t="s">
        <v>8056</v>
      </c>
      <c r="D2348" s="152" t="s">
        <v>8057</v>
      </c>
      <c r="E2348" s="154"/>
      <c r="F2348" s="180"/>
    </row>
    <row r="2349" customHeight="1" spans="1:6">
      <c r="A2349" s="9" t="s">
        <v>8058</v>
      </c>
      <c r="B2349" s="223" t="s">
        <v>8059</v>
      </c>
      <c r="C2349" s="223" t="s">
        <v>8060</v>
      </c>
      <c r="D2349" s="204" t="s">
        <v>8061</v>
      </c>
      <c r="E2349" s="204" t="s">
        <v>92</v>
      </c>
      <c r="F2349" s="204"/>
    </row>
    <row r="2350" customHeight="1" spans="1:6">
      <c r="A2350" s="9" t="s">
        <v>8062</v>
      </c>
      <c r="B2350" s="214" t="s">
        <v>8063</v>
      </c>
      <c r="C2350" s="214" t="s">
        <v>8064</v>
      </c>
      <c r="D2350" s="204">
        <v>911421261</v>
      </c>
      <c r="E2350" s="204" t="s">
        <v>92</v>
      </c>
      <c r="F2350" s="204"/>
    </row>
    <row r="2351" customHeight="1" spans="1:6">
      <c r="A2351" s="9" t="s">
        <v>8065</v>
      </c>
      <c r="B2351" s="195" t="s">
        <v>8066</v>
      </c>
      <c r="C2351" s="213" t="s">
        <v>8067</v>
      </c>
      <c r="D2351" s="197" t="s">
        <v>8068</v>
      </c>
      <c r="E2351" s="197" t="s">
        <v>243</v>
      </c>
      <c r="F2351" s="197"/>
    </row>
    <row r="2352" customHeight="1" spans="1:6">
      <c r="A2352" s="9" t="s">
        <v>8069</v>
      </c>
      <c r="B2352" s="205" t="s">
        <v>8070</v>
      </c>
      <c r="C2352" s="205" t="s">
        <v>8071</v>
      </c>
      <c r="D2352" s="206" t="s">
        <v>8072</v>
      </c>
      <c r="E2352" s="193" t="s">
        <v>120</v>
      </c>
      <c r="F2352" s="267"/>
    </row>
    <row r="2353" customHeight="1" spans="1:6">
      <c r="A2353" s="9" t="s">
        <v>8073</v>
      </c>
      <c r="B2353" s="200" t="s">
        <v>8074</v>
      </c>
      <c r="C2353" s="202" t="s">
        <v>8075</v>
      </c>
      <c r="D2353" s="152"/>
      <c r="E2353" s="154" t="s">
        <v>232</v>
      </c>
      <c r="F2353" s="180"/>
    </row>
    <row r="2354" customHeight="1" spans="1:6">
      <c r="A2354" s="9" t="s">
        <v>8076</v>
      </c>
      <c r="B2354" s="200" t="s">
        <v>8077</v>
      </c>
      <c r="C2354" s="192" t="s">
        <v>8078</v>
      </c>
      <c r="D2354" s="194"/>
      <c r="E2354" s="193" t="s">
        <v>1958</v>
      </c>
      <c r="F2354" s="191"/>
    </row>
    <row r="2355" customHeight="1" spans="1:6">
      <c r="A2355" s="9" t="s">
        <v>8079</v>
      </c>
      <c r="B2355" s="161" t="s">
        <v>8080</v>
      </c>
      <c r="C2355" s="161" t="s">
        <v>8081</v>
      </c>
      <c r="D2355" s="194"/>
      <c r="E2355" s="204" t="s">
        <v>92</v>
      </c>
      <c r="F2355" s="204"/>
    </row>
    <row r="2356" customHeight="1" spans="1:6">
      <c r="A2356" s="9" t="s">
        <v>8082</v>
      </c>
      <c r="B2356" s="200" t="s">
        <v>8083</v>
      </c>
      <c r="C2356" s="246" t="s">
        <v>8084</v>
      </c>
      <c r="D2356" s="194">
        <v>922687229</v>
      </c>
      <c r="E2356" s="194" t="s">
        <v>1852</v>
      </c>
      <c r="F2356" s="194"/>
    </row>
    <row r="2357" customHeight="1" spans="1:6">
      <c r="A2357" s="9" t="s">
        <v>8085</v>
      </c>
      <c r="B2357" s="201" t="s">
        <v>8086</v>
      </c>
      <c r="C2357" s="202" t="s">
        <v>8087</v>
      </c>
      <c r="D2357" s="154"/>
      <c r="E2357" s="154" t="s">
        <v>186</v>
      </c>
      <c r="F2357" s="180"/>
    </row>
    <row r="2358" customHeight="1" spans="1:6">
      <c r="A2358" s="9" t="s">
        <v>8088</v>
      </c>
      <c r="B2358" s="200" t="s">
        <v>8089</v>
      </c>
      <c r="C2358" s="202" t="s">
        <v>8090</v>
      </c>
      <c r="D2358" s="152"/>
      <c r="E2358" s="154"/>
      <c r="F2358" s="180"/>
    </row>
    <row r="2359" customHeight="1" spans="1:6">
      <c r="A2359" s="9" t="s">
        <v>8091</v>
      </c>
      <c r="B2359" s="195" t="s">
        <v>8092</v>
      </c>
      <c r="C2359" s="202" t="s">
        <v>8093</v>
      </c>
      <c r="D2359" s="152"/>
      <c r="E2359" s="154" t="s">
        <v>211</v>
      </c>
      <c r="F2359" s="180"/>
    </row>
    <row r="2360" customHeight="1" spans="1:6">
      <c r="A2360" s="9" t="s">
        <v>8094</v>
      </c>
      <c r="B2360" s="215" t="s">
        <v>8095</v>
      </c>
      <c r="C2360" s="205" t="s">
        <v>8096</v>
      </c>
      <c r="D2360" s="227" t="s">
        <v>8097</v>
      </c>
      <c r="E2360" s="193" t="s">
        <v>120</v>
      </c>
      <c r="F2360" s="216" t="s">
        <v>8098</v>
      </c>
    </row>
    <row r="2361" customHeight="1" spans="1:6">
      <c r="A2361" s="9" t="s">
        <v>8099</v>
      </c>
      <c r="B2361" s="205" t="s">
        <v>8100</v>
      </c>
      <c r="C2361" s="205" t="s">
        <v>8101</v>
      </c>
      <c r="D2361" s="206" t="s">
        <v>8102</v>
      </c>
      <c r="E2361" s="193" t="s">
        <v>120</v>
      </c>
      <c r="F2361" s="221" t="s">
        <v>8103</v>
      </c>
    </row>
    <row r="2362" customHeight="1" spans="1:6">
      <c r="A2362" s="9" t="s">
        <v>8104</v>
      </c>
      <c r="B2362" s="195" t="s">
        <v>8105</v>
      </c>
      <c r="C2362" s="213" t="s">
        <v>8106</v>
      </c>
      <c r="D2362" s="197" t="s">
        <v>8107</v>
      </c>
      <c r="E2362" s="197" t="s">
        <v>243</v>
      </c>
      <c r="F2362" s="197"/>
    </row>
    <row r="2363" customHeight="1" spans="1:6">
      <c r="A2363" s="9" t="s">
        <v>8108</v>
      </c>
      <c r="B2363" s="200" t="s">
        <v>8109</v>
      </c>
      <c r="C2363" s="202" t="s">
        <v>8110</v>
      </c>
      <c r="D2363" s="158">
        <v>925666181</v>
      </c>
      <c r="E2363" s="154" t="s">
        <v>3024</v>
      </c>
      <c r="F2363" s="180"/>
    </row>
    <row r="2364" customHeight="1" spans="1:6">
      <c r="A2364" s="9" t="s">
        <v>8111</v>
      </c>
      <c r="B2364" s="195" t="s">
        <v>8112</v>
      </c>
      <c r="C2364" s="202" t="s">
        <v>8113</v>
      </c>
      <c r="D2364" s="152"/>
      <c r="E2364" s="154"/>
      <c r="F2364" s="180"/>
    </row>
    <row r="2365" customHeight="1" spans="1:6">
      <c r="A2365" s="9" t="s">
        <v>8114</v>
      </c>
      <c r="B2365" s="200" t="s">
        <v>8115</v>
      </c>
      <c r="C2365" s="202" t="s">
        <v>8116</v>
      </c>
      <c r="D2365" s="248"/>
      <c r="E2365" s="158" t="s">
        <v>243</v>
      </c>
      <c r="F2365" s="153"/>
    </row>
    <row r="2366" customHeight="1" spans="1:6">
      <c r="A2366" s="9" t="s">
        <v>8117</v>
      </c>
      <c r="B2366" s="153" t="s">
        <v>8118</v>
      </c>
      <c r="C2366" s="202" t="s">
        <v>8119</v>
      </c>
      <c r="D2366" s="154">
        <v>916301087</v>
      </c>
      <c r="E2366" s="154"/>
      <c r="F2366" s="180"/>
    </row>
    <row r="2367" customHeight="1" spans="1:6">
      <c r="A2367" s="9" t="s">
        <v>8120</v>
      </c>
      <c r="B2367" s="201" t="s">
        <v>8121</v>
      </c>
      <c r="C2367" s="202" t="s">
        <v>8122</v>
      </c>
      <c r="D2367" s="154"/>
      <c r="E2367" s="154" t="s">
        <v>243</v>
      </c>
      <c r="F2367" s="180"/>
    </row>
    <row r="2368" customHeight="1" spans="1:6">
      <c r="A2368" s="9" t="s">
        <v>8123</v>
      </c>
      <c r="B2368" s="201" t="s">
        <v>8124</v>
      </c>
      <c r="C2368" s="202" t="s">
        <v>8125</v>
      </c>
      <c r="D2368" s="154"/>
      <c r="E2368" s="154" t="s">
        <v>211</v>
      </c>
      <c r="F2368" s="180"/>
    </row>
    <row r="2369" customHeight="1" spans="1:6">
      <c r="A2369" s="9" t="s">
        <v>8126</v>
      </c>
      <c r="B2369" s="220" t="s">
        <v>8127</v>
      </c>
      <c r="C2369" s="220" t="s">
        <v>8128</v>
      </c>
      <c r="D2369" s="220"/>
      <c r="E2369" s="220" t="str">
        <f>IFERROR(__xludf.DUMMYFUNCTION("""COMPUTED_VALUE"""),"A A")</f>
        <v>A A</v>
      </c>
      <c r="F2369" s="220"/>
    </row>
    <row r="2370" customHeight="1" spans="1:6">
      <c r="A2370" s="9" t="s">
        <v>8129</v>
      </c>
      <c r="B2370" s="233" t="s">
        <v>8130</v>
      </c>
      <c r="C2370" s="233" t="s">
        <v>8131</v>
      </c>
      <c r="D2370" s="204" t="s">
        <v>8132</v>
      </c>
      <c r="E2370" s="204" t="s">
        <v>4922</v>
      </c>
      <c r="F2370" s="204" t="s">
        <v>8133</v>
      </c>
    </row>
    <row r="2371" customHeight="1" spans="1:6">
      <c r="A2371" s="9" t="s">
        <v>8134</v>
      </c>
      <c r="B2371" s="259" t="s">
        <v>8135</v>
      </c>
      <c r="C2371" s="259" t="s">
        <v>8136</v>
      </c>
      <c r="D2371" s="220" t="s">
        <v>8137</v>
      </c>
      <c r="E2371" s="204" t="s">
        <v>92</v>
      </c>
      <c r="F2371" s="204"/>
    </row>
    <row r="2372" customHeight="1" spans="1:6">
      <c r="A2372" s="9" t="s">
        <v>8138</v>
      </c>
      <c r="B2372" s="160" t="s">
        <v>8139</v>
      </c>
      <c r="C2372" s="160" t="s">
        <v>8140</v>
      </c>
      <c r="D2372" s="204" t="s">
        <v>8141</v>
      </c>
      <c r="E2372" s="204" t="s">
        <v>92</v>
      </c>
      <c r="F2372" s="204"/>
    </row>
    <row r="2373" customHeight="1" spans="1:6">
      <c r="A2373" s="9" t="s">
        <v>8142</v>
      </c>
      <c r="B2373" s="214" t="s">
        <v>8143</v>
      </c>
      <c r="C2373" s="214" t="s">
        <v>8144</v>
      </c>
      <c r="D2373" s="194"/>
      <c r="E2373" s="204" t="s">
        <v>92</v>
      </c>
      <c r="F2373" s="204"/>
    </row>
    <row r="2374" customHeight="1" spans="1:6">
      <c r="A2374" s="9" t="s">
        <v>8145</v>
      </c>
      <c r="B2374" s="194" t="s">
        <v>8146</v>
      </c>
      <c r="C2374" s="192" t="s">
        <v>8147</v>
      </c>
      <c r="D2374" s="194" t="s">
        <v>7152</v>
      </c>
      <c r="E2374" s="194" t="s">
        <v>8148</v>
      </c>
      <c r="F2374" s="194"/>
    </row>
    <row r="2375" customHeight="1" spans="1:6">
      <c r="A2375" s="9" t="s">
        <v>8149</v>
      </c>
      <c r="B2375" s="223" t="s">
        <v>8150</v>
      </c>
      <c r="C2375" s="223" t="s">
        <v>8151</v>
      </c>
      <c r="D2375" s="204" t="s">
        <v>8152</v>
      </c>
      <c r="E2375" s="204" t="s">
        <v>92</v>
      </c>
      <c r="F2375" s="204"/>
    </row>
    <row r="2376" customHeight="1" spans="1:6">
      <c r="A2376" s="9" t="s">
        <v>8153</v>
      </c>
      <c r="B2376" s="194" t="s">
        <v>8154</v>
      </c>
      <c r="C2376" s="192" t="s">
        <v>8155</v>
      </c>
      <c r="D2376" s="194" t="s">
        <v>8156</v>
      </c>
      <c r="E2376" s="194" t="s">
        <v>7153</v>
      </c>
      <c r="F2376" s="194"/>
    </row>
    <row r="2377" customHeight="1" spans="1:6">
      <c r="A2377" s="9" t="s">
        <v>8157</v>
      </c>
      <c r="B2377" s="201" t="s">
        <v>8158</v>
      </c>
      <c r="C2377" s="202" t="s">
        <v>8159</v>
      </c>
      <c r="D2377" s="154" t="s">
        <v>8160</v>
      </c>
      <c r="E2377" s="154" t="s">
        <v>1395</v>
      </c>
      <c r="F2377" s="180"/>
    </row>
    <row r="2378" customHeight="1" spans="1:6">
      <c r="A2378" s="9" t="s">
        <v>8161</v>
      </c>
      <c r="B2378" s="197" t="s">
        <v>8162</v>
      </c>
      <c r="C2378" s="196" t="s">
        <v>8163</v>
      </c>
      <c r="D2378" s="197" t="s">
        <v>8164</v>
      </c>
      <c r="E2378" s="197" t="s">
        <v>561</v>
      </c>
      <c r="F2378" s="197"/>
    </row>
    <row r="2379" customHeight="1" spans="1:6">
      <c r="A2379" s="9" t="s">
        <v>8165</v>
      </c>
      <c r="B2379" s="195" t="s">
        <v>8166</v>
      </c>
      <c r="C2379" s="202" t="s">
        <v>8167</v>
      </c>
      <c r="D2379" s="152" t="s">
        <v>8168</v>
      </c>
      <c r="E2379" s="154"/>
      <c r="F2379" s="180"/>
    </row>
    <row r="2380" customHeight="1" spans="1:6">
      <c r="A2380" s="9" t="s">
        <v>8169</v>
      </c>
      <c r="B2380" s="200" t="s">
        <v>8170</v>
      </c>
      <c r="C2380" s="202" t="s">
        <v>8171</v>
      </c>
      <c r="D2380" s="152"/>
      <c r="E2380" s="154" t="s">
        <v>181</v>
      </c>
      <c r="F2380" s="180"/>
    </row>
    <row r="2381" customHeight="1" spans="1:6">
      <c r="A2381" s="9" t="s">
        <v>8172</v>
      </c>
      <c r="B2381" s="200" t="s">
        <v>8173</v>
      </c>
      <c r="C2381" s="202" t="s">
        <v>8174</v>
      </c>
      <c r="D2381" s="154"/>
      <c r="E2381" s="154" t="s">
        <v>1281</v>
      </c>
      <c r="F2381" s="180"/>
    </row>
    <row r="2382" customHeight="1" spans="1:6">
      <c r="A2382" s="9" t="s">
        <v>8175</v>
      </c>
      <c r="B2382" s="158" t="s">
        <v>8176</v>
      </c>
      <c r="C2382" s="202" t="s">
        <v>8177</v>
      </c>
      <c r="D2382" s="158" t="s">
        <v>8178</v>
      </c>
      <c r="E2382" s="154" t="s">
        <v>211</v>
      </c>
      <c r="F2382" s="180"/>
    </row>
    <row r="2383" customHeight="1" spans="1:6">
      <c r="A2383" s="9" t="s">
        <v>8179</v>
      </c>
      <c r="B2383" s="194" t="s">
        <v>8180</v>
      </c>
      <c r="C2383" s="192" t="s">
        <v>8181</v>
      </c>
      <c r="D2383" s="194"/>
      <c r="E2383" s="194" t="s">
        <v>243</v>
      </c>
      <c r="F2383" s="194"/>
    </row>
    <row r="2384" customHeight="1" spans="1:6">
      <c r="A2384" s="9" t="s">
        <v>8182</v>
      </c>
      <c r="B2384" s="201" t="s">
        <v>8183</v>
      </c>
      <c r="C2384" s="202" t="s">
        <v>8184</v>
      </c>
      <c r="D2384" s="154"/>
      <c r="E2384" s="154" t="s">
        <v>243</v>
      </c>
      <c r="F2384" s="180"/>
    </row>
    <row r="2385" customHeight="1" spans="1:6">
      <c r="A2385" s="9" t="s">
        <v>8185</v>
      </c>
      <c r="B2385" s="195" t="s">
        <v>8186</v>
      </c>
      <c r="C2385" s="202" t="s">
        <v>8187</v>
      </c>
      <c r="D2385" s="152" t="s">
        <v>8188</v>
      </c>
      <c r="E2385" s="154" t="s">
        <v>181</v>
      </c>
      <c r="F2385" s="180"/>
    </row>
    <row r="2386" customHeight="1" spans="1:6">
      <c r="A2386" s="9" t="s">
        <v>8189</v>
      </c>
      <c r="B2386" s="195" t="s">
        <v>8190</v>
      </c>
      <c r="C2386" s="212" t="s">
        <v>8191</v>
      </c>
      <c r="D2386" s="197"/>
      <c r="E2386" s="154" t="s">
        <v>104</v>
      </c>
      <c r="F2386" s="199"/>
    </row>
    <row r="2387" customHeight="1" spans="1:6">
      <c r="A2387" s="9" t="s">
        <v>8192</v>
      </c>
      <c r="B2387" s="195" t="s">
        <v>8193</v>
      </c>
      <c r="C2387" s="212" t="s">
        <v>8194</v>
      </c>
      <c r="D2387" s="197"/>
      <c r="E2387" s="154" t="s">
        <v>104</v>
      </c>
      <c r="F2387" s="199"/>
    </row>
    <row r="2388" customHeight="1" spans="1:6">
      <c r="A2388" s="9" t="s">
        <v>8195</v>
      </c>
      <c r="B2388" s="194" t="s">
        <v>8196</v>
      </c>
      <c r="C2388" s="203" t="s">
        <v>8197</v>
      </c>
      <c r="D2388" s="197"/>
      <c r="E2388" s="197" t="s">
        <v>253</v>
      </c>
      <c r="F2388" s="197"/>
    </row>
    <row r="2389" customHeight="1" spans="1:6">
      <c r="A2389" s="9" t="s">
        <v>8198</v>
      </c>
      <c r="B2389" s="223" t="s">
        <v>8199</v>
      </c>
      <c r="C2389" s="223" t="s">
        <v>8200</v>
      </c>
      <c r="D2389" s="204" t="s">
        <v>8201</v>
      </c>
      <c r="E2389" s="204" t="s">
        <v>92</v>
      </c>
      <c r="F2389" s="204"/>
    </row>
    <row r="2390" customHeight="1" spans="1:6">
      <c r="A2390" s="9" t="s">
        <v>8202</v>
      </c>
      <c r="B2390" s="201" t="s">
        <v>8203</v>
      </c>
      <c r="C2390" s="202" t="s">
        <v>8204</v>
      </c>
      <c r="D2390" s="154" t="s">
        <v>8205</v>
      </c>
      <c r="E2390" s="154" t="s">
        <v>243</v>
      </c>
      <c r="F2390" s="180"/>
    </row>
    <row r="2391" customHeight="1" spans="1:6">
      <c r="A2391" s="9" t="s">
        <v>8206</v>
      </c>
      <c r="B2391" s="201" t="s">
        <v>8207</v>
      </c>
      <c r="C2391" s="202" t="s">
        <v>8208</v>
      </c>
      <c r="D2391" s="154"/>
      <c r="E2391" s="154" t="s">
        <v>211</v>
      </c>
      <c r="F2391" s="180"/>
    </row>
    <row r="2392" customHeight="1" spans="1:6">
      <c r="A2392" s="9" t="s">
        <v>8209</v>
      </c>
      <c r="B2392" s="195" t="s">
        <v>8210</v>
      </c>
      <c r="C2392" s="213" t="s">
        <v>8211</v>
      </c>
      <c r="D2392" s="197"/>
      <c r="E2392" s="197" t="s">
        <v>1852</v>
      </c>
      <c r="F2392" s="197"/>
    </row>
    <row r="2393" customHeight="1" spans="1:6">
      <c r="A2393" s="9" t="s">
        <v>8212</v>
      </c>
      <c r="B2393" s="260" t="s">
        <v>8213</v>
      </c>
      <c r="C2393" s="243" t="s">
        <v>8214</v>
      </c>
      <c r="D2393" s="154">
        <v>916472033</v>
      </c>
      <c r="E2393" s="158" t="s">
        <v>243</v>
      </c>
      <c r="F2393" s="153"/>
    </row>
    <row r="2394" customHeight="1" spans="1:6">
      <c r="A2394" s="9" t="s">
        <v>8215</v>
      </c>
      <c r="B2394" s="195" t="s">
        <v>8216</v>
      </c>
      <c r="C2394" s="212" t="s">
        <v>8217</v>
      </c>
      <c r="D2394" s="197"/>
      <c r="E2394" s="197" t="s">
        <v>3811</v>
      </c>
      <c r="F2394" s="197"/>
    </row>
    <row r="2395" customHeight="1" spans="1:6">
      <c r="A2395" s="9" t="s">
        <v>8218</v>
      </c>
      <c r="B2395" s="200" t="s">
        <v>8219</v>
      </c>
      <c r="C2395" s="202" t="s">
        <v>8220</v>
      </c>
      <c r="D2395" s="152"/>
      <c r="E2395" s="154" t="s">
        <v>232</v>
      </c>
      <c r="F2395" s="180"/>
    </row>
    <row r="2396" customHeight="1" spans="1:6">
      <c r="A2396" s="9" t="s">
        <v>8221</v>
      </c>
      <c r="B2396" s="200" t="s">
        <v>8222</v>
      </c>
      <c r="C2396" s="202" t="s">
        <v>8223</v>
      </c>
      <c r="D2396" s="152"/>
      <c r="E2396" s="154" t="s">
        <v>232</v>
      </c>
      <c r="F2396" s="180"/>
    </row>
    <row r="2397" customHeight="1" spans="1:6">
      <c r="A2397" s="9" t="s">
        <v>8224</v>
      </c>
      <c r="B2397" s="200" t="s">
        <v>8225</v>
      </c>
      <c r="C2397" s="192" t="s">
        <v>8226</v>
      </c>
      <c r="D2397" s="194" t="s">
        <v>8227</v>
      </c>
      <c r="E2397" s="193" t="s">
        <v>216</v>
      </c>
      <c r="F2397" s="191"/>
    </row>
    <row r="2398" customHeight="1" spans="1:6">
      <c r="A2398" s="9" t="s">
        <v>8228</v>
      </c>
      <c r="B2398" s="153" t="s">
        <v>8229</v>
      </c>
      <c r="C2398" s="202" t="s">
        <v>8230</v>
      </c>
      <c r="D2398" s="152"/>
      <c r="E2398" s="154" t="s">
        <v>104</v>
      </c>
      <c r="F2398" s="180"/>
    </row>
    <row r="2399" customHeight="1" spans="1:6">
      <c r="A2399" s="9" t="s">
        <v>8231</v>
      </c>
      <c r="B2399" s="200" t="s">
        <v>8232</v>
      </c>
      <c r="C2399" s="202" t="s">
        <v>8233</v>
      </c>
      <c r="D2399" s="158" t="s">
        <v>8234</v>
      </c>
      <c r="E2399" s="154" t="s">
        <v>202</v>
      </c>
      <c r="F2399" s="180"/>
    </row>
    <row r="2400" customHeight="1" spans="1:6">
      <c r="A2400" s="9" t="s">
        <v>8235</v>
      </c>
      <c r="B2400" s="195" t="s">
        <v>8236</v>
      </c>
      <c r="C2400" s="202" t="s">
        <v>8237</v>
      </c>
      <c r="D2400" s="152" t="s">
        <v>8238</v>
      </c>
      <c r="E2400" s="154" t="s">
        <v>232</v>
      </c>
      <c r="F2400" s="180"/>
    </row>
    <row r="2401" customHeight="1" spans="1:6">
      <c r="A2401" s="9" t="s">
        <v>8239</v>
      </c>
      <c r="B2401" s="153" t="s">
        <v>8240</v>
      </c>
      <c r="C2401" s="202" t="s">
        <v>8241</v>
      </c>
      <c r="D2401" s="154">
        <v>948825752</v>
      </c>
      <c r="E2401" s="154" t="s">
        <v>104</v>
      </c>
      <c r="F2401" s="180"/>
    </row>
    <row r="2402" customHeight="1" spans="1:6">
      <c r="A2402" s="9" t="s">
        <v>8242</v>
      </c>
      <c r="B2402" s="160" t="s">
        <v>8243</v>
      </c>
      <c r="C2402" s="160" t="s">
        <v>8244</v>
      </c>
      <c r="D2402" s="204" t="s">
        <v>6729</v>
      </c>
      <c r="E2402" s="204" t="s">
        <v>92</v>
      </c>
      <c r="F2402" s="204"/>
    </row>
    <row r="2403" customHeight="1" spans="1:6">
      <c r="A2403" s="9" t="s">
        <v>8245</v>
      </c>
      <c r="B2403" s="214" t="s">
        <v>8246</v>
      </c>
      <c r="C2403" s="214" t="s">
        <v>8247</v>
      </c>
      <c r="D2403" s="204">
        <v>943193692</v>
      </c>
      <c r="E2403" s="204" t="s">
        <v>92</v>
      </c>
      <c r="F2403" s="204"/>
    </row>
    <row r="2404" customHeight="1" spans="1:6">
      <c r="A2404" s="9" t="s">
        <v>8248</v>
      </c>
      <c r="B2404" s="214" t="s">
        <v>8249</v>
      </c>
      <c r="C2404" s="214" t="s">
        <v>8250</v>
      </c>
      <c r="D2404" s="194"/>
      <c r="E2404" s="204" t="s">
        <v>92</v>
      </c>
      <c r="F2404" s="204"/>
    </row>
    <row r="2405" customHeight="1" spans="1:6">
      <c r="A2405" s="9" t="s">
        <v>8251</v>
      </c>
      <c r="B2405" s="201" t="s">
        <v>8252</v>
      </c>
      <c r="C2405" s="202" t="s">
        <v>8253</v>
      </c>
      <c r="D2405" s="154"/>
      <c r="E2405" s="154" t="s">
        <v>58</v>
      </c>
      <c r="F2405" s="180"/>
    </row>
    <row r="2406" customHeight="1" spans="1:6">
      <c r="A2406" s="9" t="s">
        <v>8254</v>
      </c>
      <c r="B2406" s="200" t="s">
        <v>8255</v>
      </c>
      <c r="C2406" s="202" t="s">
        <v>8256</v>
      </c>
      <c r="D2406" s="158"/>
      <c r="E2406" s="154" t="s">
        <v>253</v>
      </c>
      <c r="F2406" s="180"/>
    </row>
    <row r="2407" customHeight="1" spans="1:6">
      <c r="A2407" s="9" t="s">
        <v>8257</v>
      </c>
      <c r="B2407" s="194" t="s">
        <v>8258</v>
      </c>
      <c r="C2407" s="264" t="s">
        <v>8259</v>
      </c>
      <c r="D2407" s="194" t="s">
        <v>8260</v>
      </c>
      <c r="E2407" s="194" t="s">
        <v>202</v>
      </c>
      <c r="F2407" s="194"/>
    </row>
    <row r="2408" customHeight="1" spans="1:6">
      <c r="A2408" s="9" t="s">
        <v>8261</v>
      </c>
      <c r="B2408" s="200" t="s">
        <v>8262</v>
      </c>
      <c r="C2408" s="192" t="s">
        <v>8263</v>
      </c>
      <c r="D2408" s="194" t="s">
        <v>8264</v>
      </c>
      <c r="E2408" s="193" t="s">
        <v>216</v>
      </c>
      <c r="F2408" s="191"/>
    </row>
    <row r="2409" customHeight="1" spans="1:6">
      <c r="A2409" s="9" t="s">
        <v>8265</v>
      </c>
      <c r="B2409" s="200" t="s">
        <v>8266</v>
      </c>
      <c r="C2409" s="202" t="s">
        <v>8267</v>
      </c>
      <c r="D2409" s="152"/>
      <c r="E2409" s="154" t="s">
        <v>232</v>
      </c>
      <c r="F2409" s="180"/>
    </row>
    <row r="2410" customHeight="1" spans="1:6">
      <c r="A2410" s="9" t="s">
        <v>8268</v>
      </c>
      <c r="B2410" s="153" t="s">
        <v>8269</v>
      </c>
      <c r="C2410" s="202" t="s">
        <v>8270</v>
      </c>
      <c r="D2410" s="154">
        <v>985106530</v>
      </c>
      <c r="E2410" s="154" t="s">
        <v>310</v>
      </c>
      <c r="F2410" s="153"/>
    </row>
    <row r="2411" customHeight="1" spans="1:6">
      <c r="A2411" s="9" t="s">
        <v>8271</v>
      </c>
      <c r="B2411" s="223" t="s">
        <v>8272</v>
      </c>
      <c r="C2411" s="223" t="s">
        <v>8273</v>
      </c>
      <c r="D2411" s="204" t="s">
        <v>8274</v>
      </c>
      <c r="E2411" s="204" t="s">
        <v>92</v>
      </c>
      <c r="F2411" s="204"/>
    </row>
    <row r="2412" customHeight="1" spans="1:6">
      <c r="A2412" s="9" t="s">
        <v>8275</v>
      </c>
      <c r="B2412" s="205" t="s">
        <v>8272</v>
      </c>
      <c r="C2412" s="205" t="s">
        <v>8273</v>
      </c>
      <c r="D2412" s="206" t="s">
        <v>8276</v>
      </c>
      <c r="E2412" s="193" t="s">
        <v>120</v>
      </c>
      <c r="F2412" s="221" t="s">
        <v>8277</v>
      </c>
    </row>
    <row r="2413" customHeight="1" spans="1:6">
      <c r="A2413" s="9" t="s">
        <v>8278</v>
      </c>
      <c r="B2413" s="153" t="s">
        <v>8279</v>
      </c>
      <c r="C2413" s="202" t="s">
        <v>8280</v>
      </c>
      <c r="D2413" s="154">
        <v>916041628</v>
      </c>
      <c r="E2413" s="154" t="s">
        <v>211</v>
      </c>
      <c r="F2413" s="180"/>
    </row>
    <row r="2414" customHeight="1" spans="1:6">
      <c r="A2414" s="9" t="s">
        <v>8281</v>
      </c>
      <c r="B2414" s="177" t="str">
        <f>IFERROR(__xludf.DUMMYFUNCTION("""COMPUTED_VALUE"""),"Aschalew Asrat Tekle")</f>
        <v>Aschalew Asrat Tekle</v>
      </c>
      <c r="C2414" s="177" t="str">
        <f>IFERROR(__xludf.DUMMYFUNCTION("""COMPUTED_VALUE"""),"አስቻለው አስራት ተክሌ")</f>
        <v>አስቻለው አስራት ተክሌ</v>
      </c>
      <c r="D2414" s="177"/>
      <c r="E2414" s="177" t="str">
        <f>IFERROR(__xludf.DUMMYFUNCTION("""COMPUTED_VALUE"""),"OROMIYA ")</f>
        <v>OROMIYA </v>
      </c>
      <c r="F2414" s="177"/>
    </row>
    <row r="2415" customHeight="1" spans="1:6">
      <c r="A2415" s="9" t="s">
        <v>8282</v>
      </c>
      <c r="B2415" s="201" t="s">
        <v>8283</v>
      </c>
      <c r="C2415" s="202" t="s">
        <v>8284</v>
      </c>
      <c r="D2415" s="154" t="s">
        <v>8285</v>
      </c>
      <c r="E2415" s="154" t="s">
        <v>211</v>
      </c>
      <c r="F2415" s="180"/>
    </row>
    <row r="2416" customHeight="1" spans="1:6">
      <c r="A2416" s="9" t="s">
        <v>8286</v>
      </c>
      <c r="B2416" s="194" t="s">
        <v>8287</v>
      </c>
      <c r="C2416" s="264" t="s">
        <v>8288</v>
      </c>
      <c r="D2416" s="194"/>
      <c r="E2416" s="158" t="s">
        <v>216</v>
      </c>
      <c r="F2416" s="158"/>
    </row>
    <row r="2417" customHeight="1" spans="1:6">
      <c r="A2417" s="9" t="s">
        <v>8289</v>
      </c>
      <c r="B2417" s="233" t="s">
        <v>8290</v>
      </c>
      <c r="C2417" s="233" t="s">
        <v>8291</v>
      </c>
      <c r="D2417" s="204" t="s">
        <v>8292</v>
      </c>
      <c r="E2417" s="204" t="s">
        <v>605</v>
      </c>
      <c r="F2417" s="204" t="s">
        <v>8293</v>
      </c>
    </row>
    <row r="2418" customHeight="1" spans="1:6">
      <c r="A2418" s="9" t="s">
        <v>8294</v>
      </c>
      <c r="B2418" s="201" t="s">
        <v>8295</v>
      </c>
      <c r="C2418" s="202" t="s">
        <v>8296</v>
      </c>
      <c r="D2418" s="154" t="s">
        <v>8297</v>
      </c>
      <c r="E2418" s="154"/>
      <c r="F2418" s="180"/>
    </row>
    <row r="2419" customHeight="1" spans="1:6">
      <c r="A2419" s="9" t="s">
        <v>8298</v>
      </c>
      <c r="B2419" s="205" t="s">
        <v>8299</v>
      </c>
      <c r="C2419" s="205" t="s">
        <v>8300</v>
      </c>
      <c r="D2419" s="206" t="s">
        <v>8301</v>
      </c>
      <c r="E2419" s="193" t="s">
        <v>120</v>
      </c>
      <c r="F2419" s="221" t="s">
        <v>8302</v>
      </c>
    </row>
    <row r="2420" customHeight="1" spans="1:6">
      <c r="A2420" s="9" t="s">
        <v>8303</v>
      </c>
      <c r="B2420" s="195" t="s">
        <v>8304</v>
      </c>
      <c r="C2420" s="202" t="s">
        <v>8305</v>
      </c>
      <c r="D2420" s="152" t="s">
        <v>8306</v>
      </c>
      <c r="E2420" s="154" t="s">
        <v>243</v>
      </c>
      <c r="F2420" s="180"/>
    </row>
    <row r="2421" customHeight="1" spans="1:6">
      <c r="A2421" s="9" t="s">
        <v>8307</v>
      </c>
      <c r="B2421" s="200" t="s">
        <v>8308</v>
      </c>
      <c r="C2421" s="202" t="s">
        <v>8309</v>
      </c>
      <c r="D2421" s="158"/>
      <c r="E2421" s="154" t="s">
        <v>310</v>
      </c>
      <c r="F2421" s="180"/>
    </row>
    <row r="2422" customHeight="1" spans="1:6">
      <c r="A2422" s="9" t="s">
        <v>8310</v>
      </c>
      <c r="B2422" s="276" t="str">
        <f>IFERROR(__xludf.DUMMYFUNCTION("""COMPUTED_VALUE"""),"Aschalew Dessie Gebremariyam")</f>
        <v>Aschalew Dessie Gebremariyam</v>
      </c>
      <c r="C2422" s="276" t="str">
        <f>IFERROR(__xludf.DUMMYFUNCTION("""COMPUTED_VALUE"""),"አስቻለው ደሴ ገ/ማሪያም")</f>
        <v>አስቻለው ደሴ ገ/ማሪያም</v>
      </c>
      <c r="D2422" s="276" t="str">
        <f>IFERROR(__xludf.DUMMYFUNCTION("""COMPUTED_VALUE"""),"0911-527956")</f>
        <v>0911-527956</v>
      </c>
      <c r="E2422" s="276" t="str">
        <f>IFERROR(__xludf.DUMMYFUNCTION("""COMPUTED_VALUE"""),"Addis Ababa")</f>
        <v>Addis Ababa</v>
      </c>
      <c r="F2422" s="276" t="str">
        <f>IFERROR(__xludf.DUMMYFUNCTION("""COMPUTED_VALUE"""),"asche.dessie1877@gmail.com")</f>
        <v>asche.dessie1877@gmail.com</v>
      </c>
    </row>
    <row r="2423" customHeight="1" spans="1:6">
      <c r="A2423" s="9" t="s">
        <v>8311</v>
      </c>
      <c r="B2423" s="234" t="s">
        <v>8312</v>
      </c>
      <c r="C2423" s="235" t="s">
        <v>8313</v>
      </c>
      <c r="D2423" s="36">
        <v>922113123</v>
      </c>
      <c r="E2423" s="45" t="s">
        <v>691</v>
      </c>
      <c r="F2423" s="288" t="s">
        <v>8314</v>
      </c>
    </row>
    <row r="2424" customHeight="1" spans="1:6">
      <c r="A2424" s="9" t="s">
        <v>8315</v>
      </c>
      <c r="B2424" s="214" t="s">
        <v>8316</v>
      </c>
      <c r="C2424" s="214" t="s">
        <v>8317</v>
      </c>
      <c r="D2424" s="204">
        <v>953912587</v>
      </c>
      <c r="E2424" s="204" t="s">
        <v>92</v>
      </c>
      <c r="F2424" s="204"/>
    </row>
    <row r="2425" customHeight="1" spans="1:6">
      <c r="A2425" s="9" t="s">
        <v>8318</v>
      </c>
      <c r="B2425" s="214" t="s">
        <v>8319</v>
      </c>
      <c r="C2425" s="214" t="s">
        <v>8320</v>
      </c>
      <c r="D2425" s="194"/>
      <c r="E2425" s="204" t="s">
        <v>92</v>
      </c>
      <c r="F2425" s="204"/>
    </row>
    <row r="2426" customHeight="1" spans="1:6">
      <c r="A2426" s="9" t="s">
        <v>8321</v>
      </c>
      <c r="B2426" s="214" t="s">
        <v>8322</v>
      </c>
      <c r="C2426" s="214" t="s">
        <v>8323</v>
      </c>
      <c r="D2426" s="194"/>
      <c r="E2426" s="204" t="s">
        <v>92</v>
      </c>
      <c r="F2426" s="204"/>
    </row>
    <row r="2427" customHeight="1" spans="1:6">
      <c r="A2427" s="9" t="s">
        <v>8324</v>
      </c>
      <c r="B2427" s="197" t="s">
        <v>8325</v>
      </c>
      <c r="C2427" s="203" t="s">
        <v>8326</v>
      </c>
      <c r="D2427" s="197"/>
      <c r="E2427" s="197" t="s">
        <v>253</v>
      </c>
      <c r="F2427" s="197"/>
    </row>
    <row r="2428" customHeight="1" spans="1:6">
      <c r="A2428" s="9" t="s">
        <v>8327</v>
      </c>
      <c r="B2428" s="200" t="s">
        <v>8328</v>
      </c>
      <c r="C2428" s="202" t="s">
        <v>8329</v>
      </c>
      <c r="D2428" s="248"/>
      <c r="E2428" s="158" t="s">
        <v>1395</v>
      </c>
      <c r="F2428" s="153"/>
    </row>
    <row r="2429" customHeight="1" spans="1:6">
      <c r="A2429" s="9" t="s">
        <v>8330</v>
      </c>
      <c r="B2429" s="158" t="s">
        <v>8331</v>
      </c>
      <c r="C2429" s="203" t="s">
        <v>8332</v>
      </c>
      <c r="D2429" s="158"/>
      <c r="E2429" s="158" t="s">
        <v>216</v>
      </c>
      <c r="F2429" s="158"/>
    </row>
    <row r="2430" customHeight="1" spans="1:6">
      <c r="A2430" s="9" t="s">
        <v>8333</v>
      </c>
      <c r="B2430" s="153" t="s">
        <v>8334</v>
      </c>
      <c r="C2430" s="202" t="s">
        <v>8335</v>
      </c>
      <c r="D2430" s="154">
        <v>932183038</v>
      </c>
      <c r="E2430" s="154" t="s">
        <v>104</v>
      </c>
      <c r="F2430" s="180"/>
    </row>
    <row r="2431" customHeight="1" spans="1:6">
      <c r="A2431" s="9" t="s">
        <v>8336</v>
      </c>
      <c r="B2431" s="200" t="s">
        <v>8337</v>
      </c>
      <c r="C2431" s="192" t="s">
        <v>8338</v>
      </c>
      <c r="D2431" s="194"/>
      <c r="E2431" s="193" t="s">
        <v>216</v>
      </c>
      <c r="F2431" s="191"/>
    </row>
    <row r="2432" customHeight="1" spans="1:6">
      <c r="A2432" s="6" t="s">
        <v>8339</v>
      </c>
      <c r="B2432" s="160" t="s">
        <v>8340</v>
      </c>
      <c r="C2432" s="160" t="s">
        <v>8341</v>
      </c>
      <c r="D2432" s="164" t="s">
        <v>8342</v>
      </c>
      <c r="E2432" s="164" t="s">
        <v>92</v>
      </c>
      <c r="F2432" s="164"/>
    </row>
    <row r="2433" customHeight="1" spans="1:6">
      <c r="A2433" s="9" t="s">
        <v>8343</v>
      </c>
      <c r="B2433" s="201" t="s">
        <v>8344</v>
      </c>
      <c r="C2433" s="202" t="s">
        <v>8345</v>
      </c>
      <c r="D2433" s="158">
        <v>968764035</v>
      </c>
      <c r="E2433" s="158" t="s">
        <v>211</v>
      </c>
      <c r="F2433" s="153"/>
    </row>
    <row r="2434" customHeight="1" spans="1:6">
      <c r="A2434" s="9" t="s">
        <v>8346</v>
      </c>
      <c r="B2434" s="195" t="s">
        <v>8347</v>
      </c>
      <c r="C2434" s="202" t="s">
        <v>8348</v>
      </c>
      <c r="D2434" s="152" t="s">
        <v>8349</v>
      </c>
      <c r="E2434" s="154"/>
      <c r="F2434" s="180"/>
    </row>
    <row r="2435" customHeight="1" spans="1:6">
      <c r="A2435" s="9" t="s">
        <v>8350</v>
      </c>
      <c r="B2435" s="180" t="s">
        <v>8351</v>
      </c>
      <c r="C2435" s="192" t="s">
        <v>8352</v>
      </c>
      <c r="D2435" s="193" t="s">
        <v>8353</v>
      </c>
      <c r="E2435" s="194" t="s">
        <v>202</v>
      </c>
      <c r="F2435" s="194"/>
    </row>
    <row r="2436" customHeight="1" spans="1:6">
      <c r="A2436" s="9" t="s">
        <v>8354</v>
      </c>
      <c r="B2436" s="195" t="s">
        <v>8355</v>
      </c>
      <c r="C2436" s="212" t="s">
        <v>8356</v>
      </c>
      <c r="D2436" s="197" t="s">
        <v>8357</v>
      </c>
      <c r="E2436" s="154" t="s">
        <v>104</v>
      </c>
      <c r="F2436" s="199"/>
    </row>
    <row r="2437" customHeight="1" spans="1:6">
      <c r="A2437" s="9" t="s">
        <v>8354</v>
      </c>
      <c r="B2437" s="238" t="s">
        <v>8358</v>
      </c>
      <c r="C2437" s="202" t="s">
        <v>8359</v>
      </c>
      <c r="D2437" s="153"/>
      <c r="E2437" s="180" t="s">
        <v>104</v>
      </c>
      <c r="F2437" s="180"/>
    </row>
    <row r="2438" customHeight="1" spans="1:6">
      <c r="A2438" s="9" t="s">
        <v>8354</v>
      </c>
      <c r="B2438" s="201" t="s">
        <v>8360</v>
      </c>
      <c r="C2438" s="202" t="s">
        <v>8361</v>
      </c>
      <c r="D2438" s="154"/>
      <c r="E2438" s="154"/>
      <c r="F2438" s="180"/>
    </row>
    <row r="2439" customHeight="1" spans="1:6">
      <c r="A2439" s="9" t="s">
        <v>8354</v>
      </c>
      <c r="B2439" s="201" t="s">
        <v>8362</v>
      </c>
      <c r="C2439" s="202" t="s">
        <v>8363</v>
      </c>
      <c r="D2439" s="154"/>
      <c r="E2439" s="154" t="s">
        <v>58</v>
      </c>
      <c r="F2439" s="180"/>
    </row>
    <row r="2440" customHeight="1" spans="1:6">
      <c r="A2440" s="9" t="s">
        <v>8354</v>
      </c>
      <c r="B2440" s="195" t="s">
        <v>8364</v>
      </c>
      <c r="C2440" s="196" t="s">
        <v>8365</v>
      </c>
      <c r="D2440" s="197" t="s">
        <v>8366</v>
      </c>
      <c r="E2440" s="197" t="s">
        <v>58</v>
      </c>
      <c r="F2440" s="197"/>
    </row>
    <row r="2441" customHeight="1" spans="1:6">
      <c r="A2441" s="9" t="s">
        <v>8367</v>
      </c>
      <c r="B2441" s="195" t="s">
        <v>8368</v>
      </c>
      <c r="C2441" s="196" t="s">
        <v>8369</v>
      </c>
      <c r="D2441" s="197"/>
      <c r="E2441" s="197" t="s">
        <v>273</v>
      </c>
      <c r="F2441" s="197"/>
    </row>
    <row r="2442" customHeight="1" spans="1:6">
      <c r="A2442" s="9" t="s">
        <v>8370</v>
      </c>
      <c r="B2442" s="197" t="s">
        <v>8371</v>
      </c>
      <c r="C2442" s="202" t="s">
        <v>8372</v>
      </c>
      <c r="D2442" s="158"/>
      <c r="E2442" s="158" t="s">
        <v>216</v>
      </c>
      <c r="F2442" s="153"/>
    </row>
    <row r="2443" customHeight="1" spans="1:6">
      <c r="A2443" s="9" t="s">
        <v>8373</v>
      </c>
      <c r="B2443" s="194" t="s">
        <v>8374</v>
      </c>
      <c r="C2443" s="192" t="s">
        <v>8375</v>
      </c>
      <c r="D2443" s="197" t="s">
        <v>8376</v>
      </c>
      <c r="E2443" s="197" t="s">
        <v>273</v>
      </c>
      <c r="F2443" s="197"/>
    </row>
    <row r="2444" customHeight="1" spans="1:6">
      <c r="A2444" s="9" t="s">
        <v>8377</v>
      </c>
      <c r="B2444" s="200" t="s">
        <v>8378</v>
      </c>
      <c r="C2444" s="192" t="s">
        <v>8379</v>
      </c>
      <c r="D2444" s="194"/>
      <c r="E2444" s="194" t="s">
        <v>273</v>
      </c>
      <c r="F2444" s="194"/>
    </row>
    <row r="2445" customHeight="1" spans="1:6">
      <c r="A2445" s="9" t="s">
        <v>8380</v>
      </c>
      <c r="B2445" s="296" t="s">
        <v>8381</v>
      </c>
      <c r="C2445" s="196" t="s">
        <v>8382</v>
      </c>
      <c r="D2445" s="198"/>
      <c r="E2445" s="197" t="s">
        <v>181</v>
      </c>
      <c r="F2445" s="197"/>
    </row>
    <row r="2446" customHeight="1" spans="1:6">
      <c r="A2446" s="9" t="s">
        <v>8383</v>
      </c>
      <c r="B2446" s="195" t="s">
        <v>8384</v>
      </c>
      <c r="C2446" s="203" t="s">
        <v>8385</v>
      </c>
      <c r="D2446" s="197"/>
      <c r="E2446" s="197" t="s">
        <v>273</v>
      </c>
      <c r="F2446" s="197"/>
    </row>
    <row r="2447" customHeight="1" spans="1:6">
      <c r="A2447" s="9" t="s">
        <v>8386</v>
      </c>
      <c r="B2447" s="195" t="s">
        <v>8387</v>
      </c>
      <c r="C2447" s="196" t="s">
        <v>8388</v>
      </c>
      <c r="D2447" s="197"/>
      <c r="E2447" s="198" t="s">
        <v>202</v>
      </c>
      <c r="F2447" s="199"/>
    </row>
    <row r="2448" customHeight="1" spans="1:6">
      <c r="A2448" s="9" t="s">
        <v>8389</v>
      </c>
      <c r="B2448" s="260" t="s">
        <v>8390</v>
      </c>
      <c r="C2448" s="243" t="s">
        <v>8391</v>
      </c>
      <c r="D2448" s="154">
        <v>927041926</v>
      </c>
      <c r="E2448" s="158" t="s">
        <v>243</v>
      </c>
      <c r="F2448" s="153"/>
    </row>
    <row r="2449" customHeight="1" spans="1:6">
      <c r="A2449" s="9" t="s">
        <v>8392</v>
      </c>
      <c r="B2449" s="160" t="s">
        <v>8393</v>
      </c>
      <c r="C2449" s="160" t="s">
        <v>8394</v>
      </c>
      <c r="D2449" s="204" t="s">
        <v>8395</v>
      </c>
      <c r="E2449" s="204" t="s">
        <v>92</v>
      </c>
      <c r="F2449" s="204"/>
    </row>
    <row r="2450" customHeight="1" spans="1:6">
      <c r="A2450" s="9" t="s">
        <v>8396</v>
      </c>
      <c r="B2450" s="195" t="s">
        <v>8397</v>
      </c>
      <c r="C2450" s="202" t="s">
        <v>8398</v>
      </c>
      <c r="D2450" s="152"/>
      <c r="E2450" s="154" t="s">
        <v>243</v>
      </c>
      <c r="F2450" s="180"/>
    </row>
    <row r="2451" customHeight="1" spans="1:6">
      <c r="A2451" s="9" t="s">
        <v>8399</v>
      </c>
      <c r="B2451" s="201" t="s">
        <v>8400</v>
      </c>
      <c r="C2451" s="202" t="s">
        <v>8401</v>
      </c>
      <c r="D2451" s="154" t="s">
        <v>8402</v>
      </c>
      <c r="E2451" s="154" t="s">
        <v>243</v>
      </c>
      <c r="F2451" s="180"/>
    </row>
    <row r="2452" customHeight="1" spans="1:6">
      <c r="A2452" s="9" t="s">
        <v>8403</v>
      </c>
      <c r="B2452" s="153" t="s">
        <v>8404</v>
      </c>
      <c r="C2452" s="202" t="s">
        <v>8405</v>
      </c>
      <c r="D2452" s="154">
        <v>916734099</v>
      </c>
      <c r="E2452" s="154"/>
      <c r="F2452" s="180"/>
    </row>
    <row r="2453" customHeight="1" spans="1:6">
      <c r="A2453" s="9" t="s">
        <v>8406</v>
      </c>
      <c r="B2453" s="195" t="s">
        <v>8407</v>
      </c>
      <c r="C2453" s="202" t="s">
        <v>8408</v>
      </c>
      <c r="D2453" s="248"/>
      <c r="E2453" s="158" t="s">
        <v>243</v>
      </c>
      <c r="F2453" s="153"/>
    </row>
    <row r="2454" customHeight="1" spans="1:6">
      <c r="A2454" s="9" t="s">
        <v>8409</v>
      </c>
      <c r="B2454" s="201" t="s">
        <v>8410</v>
      </c>
      <c r="C2454" s="202" t="s">
        <v>8411</v>
      </c>
      <c r="D2454" s="154"/>
      <c r="E2454" s="154"/>
      <c r="F2454" s="180"/>
    </row>
    <row r="2455" customHeight="1" spans="1:6">
      <c r="A2455" s="9" t="s">
        <v>8412</v>
      </c>
      <c r="B2455" s="201" t="s">
        <v>8413</v>
      </c>
      <c r="C2455" s="202" t="s">
        <v>8414</v>
      </c>
      <c r="D2455" s="154"/>
      <c r="E2455" s="154"/>
      <c r="F2455" s="180"/>
    </row>
    <row r="2456" customHeight="1" spans="1:6">
      <c r="A2456" s="9" t="s">
        <v>8415</v>
      </c>
      <c r="B2456" s="195" t="s">
        <v>8416</v>
      </c>
      <c r="C2456" s="202" t="s">
        <v>8417</v>
      </c>
      <c r="D2456" s="152" t="s">
        <v>8418</v>
      </c>
      <c r="E2456" s="154" t="s">
        <v>181</v>
      </c>
      <c r="F2456" s="180"/>
    </row>
    <row r="2457" customHeight="1" spans="1:6">
      <c r="A2457" s="9" t="s">
        <v>8419</v>
      </c>
      <c r="B2457" s="195" t="s">
        <v>8420</v>
      </c>
      <c r="C2457" s="202" t="s">
        <v>8421</v>
      </c>
      <c r="D2457" s="152" t="s">
        <v>8422</v>
      </c>
      <c r="E2457" s="154"/>
      <c r="F2457" s="180"/>
    </row>
    <row r="2458" customHeight="1" spans="1:6">
      <c r="A2458" s="9" t="s">
        <v>8423</v>
      </c>
      <c r="B2458" s="201" t="s">
        <v>8424</v>
      </c>
      <c r="C2458" s="202" t="s">
        <v>8425</v>
      </c>
      <c r="D2458" s="154" t="s">
        <v>8426</v>
      </c>
      <c r="E2458" s="154" t="s">
        <v>1395</v>
      </c>
      <c r="F2458" s="180"/>
    </row>
    <row r="2459" customHeight="1" spans="1:6">
      <c r="A2459" s="9" t="s">
        <v>8427</v>
      </c>
      <c r="B2459" s="180" t="s">
        <v>8428</v>
      </c>
      <c r="C2459" s="243" t="s">
        <v>8429</v>
      </c>
      <c r="D2459" s="154"/>
      <c r="E2459" s="158" t="s">
        <v>243</v>
      </c>
      <c r="F2459" s="153"/>
    </row>
    <row r="2460" customHeight="1" spans="1:6">
      <c r="A2460" s="9" t="s">
        <v>8430</v>
      </c>
      <c r="B2460" s="224" t="s">
        <v>8431</v>
      </c>
      <c r="C2460" s="225" t="s">
        <v>8432</v>
      </c>
      <c r="D2460" s="228" t="s">
        <v>8433</v>
      </c>
      <c r="E2460" s="229" t="s">
        <v>120</v>
      </c>
      <c r="F2460" s="230"/>
    </row>
    <row r="2461" customHeight="1" spans="1:6">
      <c r="A2461" s="9" t="s">
        <v>8434</v>
      </c>
      <c r="B2461" s="200" t="s">
        <v>8435</v>
      </c>
      <c r="C2461" s="202" t="s">
        <v>8436</v>
      </c>
      <c r="D2461" s="152"/>
      <c r="E2461" s="154" t="s">
        <v>232</v>
      </c>
      <c r="F2461" s="180"/>
    </row>
    <row r="2462" customHeight="1" spans="1:6">
      <c r="A2462" s="9" t="s">
        <v>8437</v>
      </c>
      <c r="B2462" s="197" t="s">
        <v>8438</v>
      </c>
      <c r="C2462" s="202" t="s">
        <v>8439</v>
      </c>
      <c r="D2462" s="158"/>
      <c r="E2462" s="154" t="s">
        <v>104</v>
      </c>
      <c r="F2462" s="180"/>
    </row>
    <row r="2463" customHeight="1" spans="1:6">
      <c r="A2463" s="9" t="s">
        <v>8440</v>
      </c>
      <c r="B2463" s="200" t="s">
        <v>8441</v>
      </c>
      <c r="C2463" s="192" t="s">
        <v>8442</v>
      </c>
      <c r="D2463" s="194"/>
      <c r="E2463" s="193" t="s">
        <v>202</v>
      </c>
      <c r="F2463" s="191"/>
    </row>
    <row r="2464" customHeight="1" spans="1:6">
      <c r="A2464" s="9" t="s">
        <v>8443</v>
      </c>
      <c r="B2464" s="201" t="s">
        <v>8444</v>
      </c>
      <c r="C2464" s="202" t="s">
        <v>8445</v>
      </c>
      <c r="D2464" s="154" t="s">
        <v>8446</v>
      </c>
      <c r="E2464" s="154" t="s">
        <v>1395</v>
      </c>
      <c r="F2464" s="180"/>
    </row>
    <row r="2465" customHeight="1" spans="1:6">
      <c r="A2465" s="9" t="s">
        <v>8447</v>
      </c>
      <c r="B2465" s="195" t="s">
        <v>8448</v>
      </c>
      <c r="C2465" s="202" t="s">
        <v>8449</v>
      </c>
      <c r="D2465" s="152" t="s">
        <v>8450</v>
      </c>
      <c r="E2465" s="154" t="s">
        <v>181</v>
      </c>
      <c r="F2465" s="180"/>
    </row>
    <row r="2466" customHeight="1" spans="1:6">
      <c r="A2466" s="9" t="s">
        <v>8451</v>
      </c>
      <c r="B2466" s="195" t="s">
        <v>8452</v>
      </c>
      <c r="C2466" s="212" t="s">
        <v>8453</v>
      </c>
      <c r="D2466" s="197"/>
      <c r="E2466" s="197" t="s">
        <v>3811</v>
      </c>
      <c r="F2466" s="197"/>
    </row>
    <row r="2467" customHeight="1" spans="1:6">
      <c r="A2467" s="9" t="s">
        <v>8454</v>
      </c>
      <c r="B2467" s="200" t="s">
        <v>8455</v>
      </c>
      <c r="C2467" s="202" t="s">
        <v>8456</v>
      </c>
      <c r="D2467" s="158"/>
      <c r="E2467" s="154" t="s">
        <v>202</v>
      </c>
      <c r="F2467" s="180"/>
    </row>
    <row r="2468" customHeight="1" spans="1:6">
      <c r="A2468" s="9" t="s">
        <v>8457</v>
      </c>
      <c r="B2468" s="197" t="s">
        <v>8458</v>
      </c>
      <c r="C2468" s="203" t="s">
        <v>8459</v>
      </c>
      <c r="D2468" s="197"/>
      <c r="E2468" s="197" t="s">
        <v>253</v>
      </c>
      <c r="F2468" s="197"/>
    </row>
    <row r="2469" customHeight="1" spans="1:6">
      <c r="A2469" s="9" t="s">
        <v>8460</v>
      </c>
      <c r="B2469" s="194" t="s">
        <v>8461</v>
      </c>
      <c r="C2469" s="203" t="s">
        <v>8462</v>
      </c>
      <c r="D2469" s="197"/>
      <c r="E2469" s="197" t="s">
        <v>253</v>
      </c>
      <c r="F2469" s="197"/>
    </row>
    <row r="2470" customHeight="1" spans="1:6">
      <c r="A2470" s="9" t="s">
        <v>8463</v>
      </c>
      <c r="B2470" s="200" t="s">
        <v>8464</v>
      </c>
      <c r="C2470" s="246" t="s">
        <v>8465</v>
      </c>
      <c r="D2470" s="194"/>
      <c r="E2470" s="194" t="s">
        <v>1852</v>
      </c>
      <c r="F2470" s="194"/>
    </row>
    <row r="2471" customHeight="1" spans="1:6">
      <c r="A2471" s="9" t="s">
        <v>8466</v>
      </c>
      <c r="B2471" s="201" t="s">
        <v>8467</v>
      </c>
      <c r="C2471" s="202" t="s">
        <v>8468</v>
      </c>
      <c r="D2471" s="154" t="s">
        <v>8469</v>
      </c>
      <c r="E2471" s="154" t="s">
        <v>58</v>
      </c>
      <c r="F2471" s="180"/>
    </row>
    <row r="2472" customHeight="1" spans="1:6">
      <c r="A2472" s="9" t="s">
        <v>8470</v>
      </c>
      <c r="B2472" s="200" t="s">
        <v>8471</v>
      </c>
      <c r="C2472" s="192" t="s">
        <v>8472</v>
      </c>
      <c r="D2472" s="194"/>
      <c r="E2472" s="194" t="s">
        <v>310</v>
      </c>
      <c r="F2472" s="194"/>
    </row>
    <row r="2473" customHeight="1" spans="1:6">
      <c r="A2473" s="9" t="s">
        <v>8473</v>
      </c>
      <c r="B2473" s="260" t="s">
        <v>8474</v>
      </c>
      <c r="C2473" s="243" t="s">
        <v>8475</v>
      </c>
      <c r="D2473" s="154">
        <v>924706943</v>
      </c>
      <c r="E2473" s="158" t="s">
        <v>243</v>
      </c>
      <c r="F2473" s="153"/>
    </row>
    <row r="2474" customHeight="1" spans="1:6">
      <c r="A2474" s="9" t="s">
        <v>8476</v>
      </c>
      <c r="B2474" s="200" t="s">
        <v>8477</v>
      </c>
      <c r="C2474" s="202" t="s">
        <v>8478</v>
      </c>
      <c r="D2474" s="152"/>
      <c r="E2474" s="154" t="s">
        <v>232</v>
      </c>
      <c r="F2474" s="180"/>
    </row>
    <row r="2475" customHeight="1" spans="1:6">
      <c r="A2475" s="9" t="s">
        <v>8479</v>
      </c>
      <c r="B2475" s="195" t="s">
        <v>8480</v>
      </c>
      <c r="C2475" s="196" t="s">
        <v>8481</v>
      </c>
      <c r="D2475" s="197" t="s">
        <v>8482</v>
      </c>
      <c r="E2475" s="197" t="s">
        <v>273</v>
      </c>
      <c r="F2475" s="197"/>
    </row>
    <row r="2476" customHeight="1" spans="1:6">
      <c r="A2476" s="9" t="s">
        <v>8483</v>
      </c>
      <c r="B2476" s="200" t="s">
        <v>8484</v>
      </c>
      <c r="C2476" s="202" t="s">
        <v>8485</v>
      </c>
      <c r="D2476" s="152" t="s">
        <v>8486</v>
      </c>
      <c r="E2476" s="154" t="s">
        <v>211</v>
      </c>
      <c r="F2476" s="180"/>
    </row>
    <row r="2477" customHeight="1" spans="1:6">
      <c r="A2477" s="9" t="s">
        <v>8487</v>
      </c>
      <c r="B2477" s="201" t="s">
        <v>8488</v>
      </c>
      <c r="C2477" s="202" t="s">
        <v>8489</v>
      </c>
      <c r="D2477" s="154" t="s">
        <v>8490</v>
      </c>
      <c r="E2477" s="154" t="s">
        <v>1395</v>
      </c>
      <c r="F2477" s="180"/>
    </row>
    <row r="2478" customHeight="1" spans="1:6">
      <c r="A2478" s="9" t="s">
        <v>8491</v>
      </c>
      <c r="B2478" s="215" t="s">
        <v>8492</v>
      </c>
      <c r="C2478" s="205" t="s">
        <v>8493</v>
      </c>
      <c r="D2478" s="227" t="s">
        <v>8494</v>
      </c>
      <c r="E2478" s="193" t="s">
        <v>120</v>
      </c>
      <c r="F2478" s="216"/>
    </row>
    <row r="2479" customHeight="1" spans="1:6">
      <c r="A2479" s="9" t="s">
        <v>8495</v>
      </c>
      <c r="B2479" s="200" t="s">
        <v>8496</v>
      </c>
      <c r="C2479" s="192" t="s">
        <v>8497</v>
      </c>
      <c r="D2479" s="194"/>
      <c r="E2479" s="193" t="s">
        <v>202</v>
      </c>
      <c r="F2479" s="191"/>
    </row>
    <row r="2480" customHeight="1" spans="1:6">
      <c r="A2480" s="9" t="s">
        <v>8498</v>
      </c>
      <c r="B2480" s="201" t="s">
        <v>8499</v>
      </c>
      <c r="C2480" s="202" t="s">
        <v>8500</v>
      </c>
      <c r="D2480" s="153"/>
      <c r="E2480" s="180" t="s">
        <v>216</v>
      </c>
      <c r="F2480" s="180"/>
    </row>
    <row r="2481" customHeight="1" spans="1:6">
      <c r="A2481" s="9" t="s">
        <v>8501</v>
      </c>
      <c r="B2481" s="195" t="s">
        <v>8502</v>
      </c>
      <c r="C2481" s="202" t="s">
        <v>8503</v>
      </c>
      <c r="D2481" s="154">
        <v>901409382</v>
      </c>
      <c r="E2481" s="154" t="s">
        <v>104</v>
      </c>
      <c r="F2481" s="180"/>
    </row>
    <row r="2482" customHeight="1" spans="1:6">
      <c r="A2482" s="9" t="s">
        <v>8504</v>
      </c>
      <c r="B2482" s="201" t="s">
        <v>8505</v>
      </c>
      <c r="C2482" s="202" t="s">
        <v>8506</v>
      </c>
      <c r="D2482" s="154"/>
      <c r="E2482" s="154" t="s">
        <v>58</v>
      </c>
      <c r="F2482" s="180"/>
    </row>
    <row r="2483" customHeight="1" spans="1:6">
      <c r="A2483" s="9" t="s">
        <v>8507</v>
      </c>
      <c r="B2483" s="215" t="s">
        <v>8508</v>
      </c>
      <c r="C2483" s="205" t="s">
        <v>8509</v>
      </c>
      <c r="D2483" s="206" t="s">
        <v>8510</v>
      </c>
      <c r="E2483" s="193" t="s">
        <v>120</v>
      </c>
      <c r="F2483" s="221" t="s">
        <v>8511</v>
      </c>
    </row>
    <row r="2484" customHeight="1" spans="1:6">
      <c r="A2484" s="9" t="s">
        <v>8512</v>
      </c>
      <c r="B2484" s="214" t="s">
        <v>8513</v>
      </c>
      <c r="C2484" s="214" t="s">
        <v>8514</v>
      </c>
      <c r="D2484" s="194"/>
      <c r="E2484" s="204" t="s">
        <v>92</v>
      </c>
      <c r="F2484" s="204"/>
    </row>
    <row r="2485" customHeight="1" spans="1:6">
      <c r="A2485" s="9" t="s">
        <v>8515</v>
      </c>
      <c r="B2485" s="195" t="s">
        <v>8516</v>
      </c>
      <c r="C2485" s="202" t="s">
        <v>8517</v>
      </c>
      <c r="D2485" s="152"/>
      <c r="E2485" s="154"/>
      <c r="F2485" s="180"/>
    </row>
    <row r="2486" customHeight="1" spans="1:6">
      <c r="A2486" s="9" t="s">
        <v>8518</v>
      </c>
      <c r="B2486" s="201" t="s">
        <v>8519</v>
      </c>
      <c r="C2486" s="202" t="s">
        <v>8520</v>
      </c>
      <c r="D2486" s="154" t="s">
        <v>8521</v>
      </c>
      <c r="E2486" s="154" t="s">
        <v>58</v>
      </c>
      <c r="F2486" s="180"/>
    </row>
    <row r="2487" customHeight="1" spans="1:6">
      <c r="A2487" s="9" t="s">
        <v>8522</v>
      </c>
      <c r="B2487" s="153" t="s">
        <v>8523</v>
      </c>
      <c r="C2487" s="202" t="s">
        <v>8524</v>
      </c>
      <c r="D2487" s="154">
        <v>975752236</v>
      </c>
      <c r="E2487" s="154" t="s">
        <v>104</v>
      </c>
      <c r="F2487" s="180"/>
    </row>
    <row r="2488" customHeight="1" spans="1:6">
      <c r="A2488" s="9" t="s">
        <v>8525</v>
      </c>
      <c r="B2488" s="195" t="s">
        <v>8526</v>
      </c>
      <c r="C2488" s="202" t="s">
        <v>8527</v>
      </c>
      <c r="D2488" s="152"/>
      <c r="E2488" s="154" t="s">
        <v>232</v>
      </c>
      <c r="F2488" s="180"/>
    </row>
    <row r="2489" customHeight="1" spans="1:6">
      <c r="A2489" s="9" t="s">
        <v>8528</v>
      </c>
      <c r="B2489" s="214" t="s">
        <v>8529</v>
      </c>
      <c r="C2489" s="214" t="s">
        <v>8530</v>
      </c>
      <c r="D2489" s="194"/>
      <c r="E2489" s="204" t="s">
        <v>92</v>
      </c>
      <c r="F2489" s="204"/>
    </row>
    <row r="2490" customHeight="1" spans="1:6">
      <c r="A2490" s="9" t="s">
        <v>8531</v>
      </c>
      <c r="B2490" s="195" t="s">
        <v>8532</v>
      </c>
      <c r="C2490" s="213" t="s">
        <v>8533</v>
      </c>
      <c r="D2490" s="197" t="s">
        <v>8534</v>
      </c>
      <c r="E2490" s="197" t="s">
        <v>186</v>
      </c>
      <c r="F2490" s="197"/>
    </row>
    <row r="2491" customHeight="1" spans="1:6">
      <c r="A2491" s="9" t="s">
        <v>8535</v>
      </c>
      <c r="B2491" s="158" t="s">
        <v>8536</v>
      </c>
      <c r="C2491" s="202" t="s">
        <v>8537</v>
      </c>
      <c r="D2491" s="158">
        <v>910788597</v>
      </c>
      <c r="E2491" s="154" t="s">
        <v>104</v>
      </c>
      <c r="F2491" s="180"/>
    </row>
    <row r="2492" customHeight="1" spans="1:6">
      <c r="A2492" s="9" t="s">
        <v>8538</v>
      </c>
      <c r="B2492" s="195" t="s">
        <v>8539</v>
      </c>
      <c r="C2492" s="196" t="s">
        <v>8540</v>
      </c>
      <c r="D2492" s="197" t="s">
        <v>8541</v>
      </c>
      <c r="E2492" s="198" t="s">
        <v>216</v>
      </c>
      <c r="F2492" s="199"/>
    </row>
    <row r="2493" customHeight="1" spans="1:6">
      <c r="A2493" s="9" t="s">
        <v>8542</v>
      </c>
      <c r="B2493" s="200" t="s">
        <v>8543</v>
      </c>
      <c r="C2493" s="202" t="s">
        <v>8544</v>
      </c>
      <c r="D2493" s="152"/>
      <c r="E2493" s="154" t="s">
        <v>211</v>
      </c>
      <c r="F2493" s="180"/>
    </row>
    <row r="2494" customHeight="1" spans="1:6">
      <c r="A2494" s="9" t="s">
        <v>8545</v>
      </c>
      <c r="B2494" s="195" t="s">
        <v>8546</v>
      </c>
      <c r="C2494" s="196" t="s">
        <v>8547</v>
      </c>
      <c r="D2494" s="289"/>
      <c r="E2494" s="198" t="s">
        <v>1395</v>
      </c>
      <c r="F2494" s="199"/>
    </row>
    <row r="2495" customHeight="1" spans="1:6">
      <c r="A2495" s="9" t="s">
        <v>8548</v>
      </c>
      <c r="B2495" s="160" t="s">
        <v>8549</v>
      </c>
      <c r="C2495" s="160" t="s">
        <v>8550</v>
      </c>
      <c r="D2495" s="204" t="s">
        <v>8551</v>
      </c>
      <c r="E2495" s="204" t="s">
        <v>92</v>
      </c>
      <c r="F2495" s="204"/>
    </row>
    <row r="2496" customHeight="1" spans="1:6">
      <c r="A2496" s="9" t="s">
        <v>8552</v>
      </c>
      <c r="B2496" s="194" t="s">
        <v>8553</v>
      </c>
      <c r="C2496" s="192" t="s">
        <v>8554</v>
      </c>
      <c r="D2496" s="197"/>
      <c r="E2496" s="197" t="s">
        <v>310</v>
      </c>
      <c r="F2496" s="197"/>
    </row>
    <row r="2497" customHeight="1" spans="1:6">
      <c r="A2497" s="9" t="s">
        <v>8555</v>
      </c>
      <c r="B2497" s="197" t="s">
        <v>8556</v>
      </c>
      <c r="C2497" s="196" t="s">
        <v>8557</v>
      </c>
      <c r="D2497" s="197"/>
      <c r="E2497" s="197" t="s">
        <v>273</v>
      </c>
      <c r="F2497" s="197"/>
    </row>
    <row r="2498" customHeight="1" spans="1:6">
      <c r="A2498" s="9" t="s">
        <v>8558</v>
      </c>
      <c r="B2498" s="195" t="s">
        <v>8559</v>
      </c>
      <c r="C2498" s="212" t="s">
        <v>8560</v>
      </c>
      <c r="D2498" s="197" t="s">
        <v>8561</v>
      </c>
      <c r="E2498" s="198" t="s">
        <v>216</v>
      </c>
      <c r="F2498" s="199"/>
    </row>
    <row r="2499" customHeight="1" spans="1:6">
      <c r="A2499" s="9" t="s">
        <v>8562</v>
      </c>
      <c r="B2499" s="194" t="s">
        <v>8563</v>
      </c>
      <c r="C2499" s="264" t="s">
        <v>8564</v>
      </c>
      <c r="D2499" s="194"/>
      <c r="E2499" s="194" t="s">
        <v>202</v>
      </c>
      <c r="F2499" s="194"/>
    </row>
    <row r="2500" customHeight="1" spans="1:6">
      <c r="A2500" s="9" t="s">
        <v>8565</v>
      </c>
      <c r="B2500" s="215" t="s">
        <v>8566</v>
      </c>
      <c r="C2500" s="205" t="s">
        <v>8567</v>
      </c>
      <c r="D2500" s="244" t="s">
        <v>8568</v>
      </c>
      <c r="E2500" s="26" t="s">
        <v>92</v>
      </c>
      <c r="F2500" s="26" t="s">
        <v>8569</v>
      </c>
    </row>
    <row r="2501" customHeight="1" spans="1:6">
      <c r="A2501" s="9" t="s">
        <v>8570</v>
      </c>
      <c r="B2501" s="160" t="s">
        <v>8571</v>
      </c>
      <c r="C2501" s="160" t="s">
        <v>8572</v>
      </c>
      <c r="D2501" s="204" t="s">
        <v>8573</v>
      </c>
      <c r="E2501" s="204" t="s">
        <v>92</v>
      </c>
      <c r="F2501" s="204"/>
    </row>
    <row r="2502" customHeight="1" spans="1:6">
      <c r="A2502" s="9" t="s">
        <v>8574</v>
      </c>
      <c r="B2502" s="200" t="s">
        <v>8575</v>
      </c>
      <c r="C2502" s="192" t="s">
        <v>8576</v>
      </c>
      <c r="D2502" s="194" t="s">
        <v>8577</v>
      </c>
      <c r="E2502" s="194" t="s">
        <v>186</v>
      </c>
      <c r="F2502" s="194"/>
    </row>
    <row r="2503" customHeight="1" spans="1:6">
      <c r="A2503" s="9" t="s">
        <v>8578</v>
      </c>
      <c r="B2503" s="197" t="s">
        <v>8579</v>
      </c>
      <c r="C2503" s="202" t="s">
        <v>8580</v>
      </c>
      <c r="D2503" s="248"/>
      <c r="E2503" s="154" t="s">
        <v>104</v>
      </c>
      <c r="F2503" s="180"/>
    </row>
    <row r="2504" customHeight="1" spans="1:6">
      <c r="A2504" s="9" t="s">
        <v>8581</v>
      </c>
      <c r="B2504" s="158" t="s">
        <v>8582</v>
      </c>
      <c r="C2504" s="202" t="s">
        <v>8583</v>
      </c>
      <c r="D2504" s="158"/>
      <c r="E2504" s="154" t="s">
        <v>211</v>
      </c>
      <c r="F2504" s="250"/>
    </row>
    <row r="2505" customHeight="1" spans="1:6">
      <c r="A2505" s="9" t="s">
        <v>8584</v>
      </c>
      <c r="B2505" s="194" t="s">
        <v>8585</v>
      </c>
      <c r="C2505" s="202" t="s">
        <v>8586</v>
      </c>
      <c r="D2505" s="158">
        <v>918508860</v>
      </c>
      <c r="E2505" s="154" t="s">
        <v>104</v>
      </c>
      <c r="F2505" s="180"/>
    </row>
    <row r="2506" customHeight="1" spans="1:6">
      <c r="A2506" s="9" t="s">
        <v>8587</v>
      </c>
      <c r="B2506" s="201" t="s">
        <v>8588</v>
      </c>
      <c r="C2506" s="202" t="s">
        <v>8589</v>
      </c>
      <c r="D2506" s="154"/>
      <c r="E2506" s="154" t="s">
        <v>211</v>
      </c>
      <c r="F2506" s="180"/>
    </row>
    <row r="2507" customHeight="1" spans="1:6">
      <c r="A2507" s="9" t="s">
        <v>8590</v>
      </c>
      <c r="B2507" s="201" t="s">
        <v>8591</v>
      </c>
      <c r="C2507" s="202" t="s">
        <v>8592</v>
      </c>
      <c r="D2507" s="154" t="s">
        <v>8593</v>
      </c>
      <c r="E2507" s="154" t="s">
        <v>202</v>
      </c>
      <c r="F2507" s="180"/>
    </row>
    <row r="2508" customHeight="1" spans="1:6">
      <c r="A2508" s="9" t="s">
        <v>8594</v>
      </c>
      <c r="B2508" s="158" t="s">
        <v>8595</v>
      </c>
      <c r="C2508" s="202" t="s">
        <v>8596</v>
      </c>
      <c r="D2508" s="158">
        <v>916930758</v>
      </c>
      <c r="E2508" s="154" t="s">
        <v>211</v>
      </c>
      <c r="F2508" s="250"/>
    </row>
    <row r="2509" customHeight="1" spans="1:6">
      <c r="A2509" s="9" t="s">
        <v>8597</v>
      </c>
      <c r="B2509" s="200" t="s">
        <v>8598</v>
      </c>
      <c r="C2509" s="192" t="s">
        <v>8599</v>
      </c>
      <c r="D2509" s="194"/>
      <c r="E2509" s="194" t="s">
        <v>125</v>
      </c>
      <c r="F2509" s="194"/>
    </row>
    <row r="2510" customHeight="1" spans="1:6">
      <c r="A2510" s="9" t="s">
        <v>8600</v>
      </c>
      <c r="B2510" s="200" t="s">
        <v>8601</v>
      </c>
      <c r="C2510" s="202" t="s">
        <v>8602</v>
      </c>
      <c r="D2510" s="158"/>
      <c r="E2510" s="154" t="s">
        <v>253</v>
      </c>
      <c r="F2510" s="180"/>
    </row>
    <row r="2511" customHeight="1" spans="1:6">
      <c r="A2511" s="9" t="s">
        <v>8603</v>
      </c>
      <c r="B2511" s="233" t="s">
        <v>8604</v>
      </c>
      <c r="C2511" s="233" t="s">
        <v>8605</v>
      </c>
      <c r="D2511" s="204" t="s">
        <v>8606</v>
      </c>
      <c r="E2511" s="204" t="s">
        <v>605</v>
      </c>
      <c r="F2511" s="204" t="s">
        <v>8607</v>
      </c>
    </row>
    <row r="2512" customHeight="1" spans="1:6">
      <c r="A2512" s="9" t="s">
        <v>8608</v>
      </c>
      <c r="B2512" s="201" t="s">
        <v>8609</v>
      </c>
      <c r="C2512" s="202" t="s">
        <v>8610</v>
      </c>
      <c r="D2512" s="153"/>
      <c r="E2512" s="180" t="s">
        <v>104</v>
      </c>
      <c r="F2512" s="180"/>
    </row>
    <row r="2513" customHeight="1" spans="1:6">
      <c r="A2513" s="9" t="s">
        <v>8611</v>
      </c>
      <c r="B2513" s="200" t="s">
        <v>8612</v>
      </c>
      <c r="C2513" s="202" t="s">
        <v>8613</v>
      </c>
      <c r="D2513" s="152" t="s">
        <v>8614</v>
      </c>
      <c r="E2513" s="154" t="s">
        <v>181</v>
      </c>
      <c r="F2513" s="180"/>
    </row>
    <row r="2514" customHeight="1" spans="1:6">
      <c r="A2514" s="9" t="s">
        <v>8615</v>
      </c>
      <c r="B2514" s="215" t="s">
        <v>8616</v>
      </c>
      <c r="C2514" s="205" t="s">
        <v>8617</v>
      </c>
      <c r="D2514" s="206" t="s">
        <v>8618</v>
      </c>
      <c r="E2514" s="193" t="s">
        <v>120</v>
      </c>
      <c r="F2514" s="221" t="s">
        <v>8619</v>
      </c>
    </row>
    <row r="2515" customHeight="1" spans="1:6">
      <c r="A2515" s="9" t="s">
        <v>8620</v>
      </c>
      <c r="B2515" s="223" t="s">
        <v>8621</v>
      </c>
      <c r="C2515" s="223" t="s">
        <v>8622</v>
      </c>
      <c r="D2515" s="204" t="s">
        <v>8623</v>
      </c>
      <c r="E2515" s="204" t="s">
        <v>92</v>
      </c>
      <c r="F2515" s="204"/>
    </row>
    <row r="2516" customHeight="1" spans="1:6">
      <c r="A2516" s="9" t="s">
        <v>8624</v>
      </c>
      <c r="B2516" s="160" t="s">
        <v>8625</v>
      </c>
      <c r="C2516" s="160" t="s">
        <v>8626</v>
      </c>
      <c r="D2516" s="204" t="s">
        <v>8627</v>
      </c>
      <c r="E2516" s="204" t="s">
        <v>92</v>
      </c>
      <c r="F2516" s="204"/>
    </row>
    <row r="2517" customHeight="1" spans="1:6">
      <c r="A2517" s="9" t="s">
        <v>8628</v>
      </c>
      <c r="B2517" s="166" t="str">
        <f>IFERROR(__xludf.DUMMYFUNCTION("""COMPUTED_VALUE"""),"Asegid Tamene Deneke /Ato")</f>
        <v>Asegid Tamene Deneke /Ato</v>
      </c>
      <c r="C2517" s="166" t="str">
        <f>IFERROR(__xludf.DUMMYFUNCTION("""COMPUTED_VALUE"""),"አሰግድ ታመነ ደነቀ /አቶ")</f>
        <v>አሰግድ ታመነ ደነቀ /አቶ</v>
      </c>
      <c r="D2517" s="166" t="str">
        <f>IFERROR(__xludf.DUMMYFUNCTION("""COMPUTED_VALUE"""),"911615213")</f>
        <v>911615213</v>
      </c>
      <c r="E2517" s="166" t="str">
        <f>IFERROR(__xludf.DUMMYFUNCTION("""COMPUTED_VALUE"""),"A/A")</f>
        <v>A/A</v>
      </c>
      <c r="F2517" s="166" t="str">
        <f>IFERROR(__xludf.DUMMYFUNCTION("""COMPUTED_VALUE"""),"asegid.711@gmail.com")</f>
        <v>asegid.711@gmail.com</v>
      </c>
    </row>
    <row r="2518" customHeight="1" spans="1:6">
      <c r="A2518" s="9" t="s">
        <v>8629</v>
      </c>
      <c r="B2518" s="201" t="s">
        <v>8630</v>
      </c>
      <c r="C2518" s="202" t="s">
        <v>8631</v>
      </c>
      <c r="D2518" s="154"/>
      <c r="E2518" s="154" t="s">
        <v>202</v>
      </c>
      <c r="F2518" s="180"/>
    </row>
    <row r="2519" customHeight="1" spans="1:6">
      <c r="A2519" s="9" t="s">
        <v>8632</v>
      </c>
      <c r="B2519" s="201" t="s">
        <v>8633</v>
      </c>
      <c r="C2519" s="202" t="s">
        <v>8634</v>
      </c>
      <c r="D2519" s="154" t="s">
        <v>8635</v>
      </c>
      <c r="E2519" s="154" t="s">
        <v>186</v>
      </c>
      <c r="F2519" s="180"/>
    </row>
    <row r="2520" customHeight="1" spans="1:6">
      <c r="A2520" s="9" t="s">
        <v>8636</v>
      </c>
      <c r="B2520" s="200" t="s">
        <v>8637</v>
      </c>
      <c r="C2520" s="246" t="s">
        <v>8638</v>
      </c>
      <c r="D2520" s="194"/>
      <c r="E2520" s="194" t="s">
        <v>1852</v>
      </c>
      <c r="F2520" s="194"/>
    </row>
    <row r="2521" customHeight="1" spans="1:6">
      <c r="A2521" s="9" t="s">
        <v>8639</v>
      </c>
      <c r="B2521" s="223" t="s">
        <v>8640</v>
      </c>
      <c r="C2521" s="223" t="s">
        <v>8641</v>
      </c>
      <c r="D2521" s="204" t="s">
        <v>8642</v>
      </c>
      <c r="E2521" s="173" t="s">
        <v>605</v>
      </c>
      <c r="F2521" s="234"/>
    </row>
    <row r="2522" customHeight="1" spans="1:6">
      <c r="A2522" s="9" t="s">
        <v>8643</v>
      </c>
      <c r="B2522" s="160" t="s">
        <v>8644</v>
      </c>
      <c r="C2522" s="160" t="s">
        <v>8645</v>
      </c>
      <c r="D2522" s="204" t="s">
        <v>8646</v>
      </c>
      <c r="E2522" s="204" t="s">
        <v>92</v>
      </c>
      <c r="F2522" s="204"/>
    </row>
    <row r="2523" customHeight="1" spans="1:6">
      <c r="A2523" s="9" t="s">
        <v>8647</v>
      </c>
      <c r="B2523" s="200" t="s">
        <v>8648</v>
      </c>
      <c r="C2523" s="202" t="s">
        <v>8649</v>
      </c>
      <c r="D2523" s="154"/>
      <c r="E2523" s="154" t="s">
        <v>253</v>
      </c>
      <c r="F2523" s="180"/>
    </row>
    <row r="2524" customHeight="1" spans="1:6">
      <c r="A2524" s="9" t="s">
        <v>8650</v>
      </c>
      <c r="B2524" s="195" t="s">
        <v>8651</v>
      </c>
      <c r="C2524" s="202" t="s">
        <v>8652</v>
      </c>
      <c r="D2524" s="154"/>
      <c r="E2524" s="154" t="s">
        <v>1281</v>
      </c>
      <c r="F2524" s="180"/>
    </row>
    <row r="2525" customHeight="1" spans="1:6">
      <c r="A2525" s="9" t="s">
        <v>8653</v>
      </c>
      <c r="B2525" s="214" t="s">
        <v>8654</v>
      </c>
      <c r="C2525" s="214" t="s">
        <v>8655</v>
      </c>
      <c r="D2525" s="194"/>
      <c r="E2525" s="204" t="s">
        <v>92</v>
      </c>
      <c r="F2525" s="204"/>
    </row>
    <row r="2526" customHeight="1" spans="1:6">
      <c r="A2526" s="9" t="s">
        <v>8656</v>
      </c>
      <c r="B2526" s="153" t="s">
        <v>8657</v>
      </c>
      <c r="C2526" s="202" t="s">
        <v>8658</v>
      </c>
      <c r="D2526" s="158"/>
      <c r="E2526" s="154" t="s">
        <v>104</v>
      </c>
      <c r="F2526" s="180"/>
    </row>
    <row r="2527" customHeight="1" spans="1:6">
      <c r="A2527" s="9" t="s">
        <v>8659</v>
      </c>
      <c r="B2527" s="197" t="s">
        <v>8660</v>
      </c>
      <c r="C2527" s="196" t="s">
        <v>8661</v>
      </c>
      <c r="D2527" s="197"/>
      <c r="E2527" s="197" t="s">
        <v>202</v>
      </c>
      <c r="F2527" s="197"/>
    </row>
    <row r="2528" customHeight="1" spans="1:6">
      <c r="A2528" s="9" t="s">
        <v>8662</v>
      </c>
      <c r="B2528" s="201" t="s">
        <v>8663</v>
      </c>
      <c r="C2528" s="202" t="s">
        <v>8664</v>
      </c>
      <c r="D2528" s="154"/>
      <c r="E2528" s="154" t="s">
        <v>202</v>
      </c>
      <c r="F2528" s="180"/>
    </row>
    <row r="2529" customHeight="1" spans="1:6">
      <c r="A2529" s="9" t="s">
        <v>8665</v>
      </c>
      <c r="B2529" s="194" t="s">
        <v>8666</v>
      </c>
      <c r="C2529" s="203" t="s">
        <v>8667</v>
      </c>
      <c r="D2529" s="194"/>
      <c r="E2529" s="194" t="s">
        <v>273</v>
      </c>
      <c r="F2529" s="194"/>
    </row>
    <row r="2530" customHeight="1" spans="1:6">
      <c r="A2530" s="9" t="s">
        <v>8668</v>
      </c>
      <c r="B2530" s="195" t="s">
        <v>8669</v>
      </c>
      <c r="C2530" s="196" t="s">
        <v>8670</v>
      </c>
      <c r="D2530" s="197"/>
      <c r="E2530" s="197" t="s">
        <v>202</v>
      </c>
      <c r="F2530" s="197"/>
    </row>
    <row r="2531" customHeight="1" spans="1:6">
      <c r="A2531" s="9" t="s">
        <v>8671</v>
      </c>
      <c r="B2531" s="222" t="s">
        <v>8672</v>
      </c>
      <c r="C2531" s="222" t="s">
        <v>8673</v>
      </c>
      <c r="D2531" s="222" t="s">
        <v>8674</v>
      </c>
      <c r="E2531" s="222" t="str">
        <f>IFERROR(__xludf.DUMMYFUNCTION("""COMPUTED_VALUE"""),"Addis Ababa")</f>
        <v>Addis Ababa</v>
      </c>
      <c r="F2531" s="222"/>
    </row>
    <row r="2532" customHeight="1" spans="1:6">
      <c r="A2532" s="9" t="s">
        <v>8675</v>
      </c>
      <c r="B2532" s="200" t="s">
        <v>8676</v>
      </c>
      <c r="C2532" s="246" t="s">
        <v>8677</v>
      </c>
      <c r="D2532" s="194"/>
      <c r="E2532" s="194" t="s">
        <v>243</v>
      </c>
      <c r="F2532" s="194"/>
    </row>
    <row r="2533" customHeight="1" spans="1:6">
      <c r="A2533" s="9" t="s">
        <v>8678</v>
      </c>
      <c r="B2533" s="200" t="s">
        <v>8679</v>
      </c>
      <c r="C2533" s="202" t="s">
        <v>8680</v>
      </c>
      <c r="D2533" s="152" t="s">
        <v>8681</v>
      </c>
      <c r="E2533" s="154" t="s">
        <v>181</v>
      </c>
      <c r="F2533" s="180"/>
    </row>
    <row r="2534" customHeight="1" spans="1:6">
      <c r="A2534" s="9" t="s">
        <v>8682</v>
      </c>
      <c r="B2534" s="195" t="s">
        <v>8683</v>
      </c>
      <c r="C2534" s="202" t="s">
        <v>8684</v>
      </c>
      <c r="D2534" s="152" t="s">
        <v>8685</v>
      </c>
      <c r="E2534" s="154" t="s">
        <v>232</v>
      </c>
      <c r="F2534" s="180"/>
    </row>
    <row r="2535" customHeight="1" spans="1:6">
      <c r="A2535" s="9" t="s">
        <v>8686</v>
      </c>
      <c r="B2535" s="260" t="s">
        <v>8687</v>
      </c>
      <c r="C2535" s="243" t="s">
        <v>8688</v>
      </c>
      <c r="D2535" s="154"/>
      <c r="E2535" s="158" t="s">
        <v>243</v>
      </c>
      <c r="F2535" s="153"/>
    </row>
    <row r="2536" customHeight="1" spans="1:6">
      <c r="A2536" s="9" t="s">
        <v>8689</v>
      </c>
      <c r="B2536" s="219" t="s">
        <v>8690</v>
      </c>
      <c r="C2536" s="219" t="s">
        <v>8691</v>
      </c>
      <c r="D2536" s="194"/>
      <c r="E2536" s="204" t="s">
        <v>92</v>
      </c>
      <c r="F2536" s="204"/>
    </row>
    <row r="2537" customHeight="1" spans="1:6">
      <c r="A2537" s="9" t="s">
        <v>8692</v>
      </c>
      <c r="B2537" s="158" t="s">
        <v>8693</v>
      </c>
      <c r="C2537" s="202" t="s">
        <v>8694</v>
      </c>
      <c r="D2537" s="158" t="s">
        <v>8695</v>
      </c>
      <c r="E2537" s="154" t="s">
        <v>211</v>
      </c>
      <c r="F2537" s="180"/>
    </row>
    <row r="2538" customHeight="1" spans="1:6">
      <c r="A2538" s="9" t="s">
        <v>8696</v>
      </c>
      <c r="B2538" s="158" t="s">
        <v>8697</v>
      </c>
      <c r="C2538" s="202" t="s">
        <v>8698</v>
      </c>
      <c r="D2538" s="158" t="s">
        <v>8699</v>
      </c>
      <c r="E2538" s="154" t="s">
        <v>211</v>
      </c>
      <c r="F2538" s="180"/>
    </row>
    <row r="2539" customHeight="1" spans="1:6">
      <c r="A2539" s="9" t="s">
        <v>8700</v>
      </c>
      <c r="B2539" s="195" t="s">
        <v>8701</v>
      </c>
      <c r="C2539" s="202" t="s">
        <v>8702</v>
      </c>
      <c r="D2539" s="152" t="s">
        <v>8703</v>
      </c>
      <c r="E2539" s="154" t="s">
        <v>181</v>
      </c>
      <c r="F2539" s="180"/>
    </row>
    <row r="2540" customHeight="1" spans="1:6">
      <c r="A2540" s="9" t="s">
        <v>8704</v>
      </c>
      <c r="B2540" s="195" t="s">
        <v>8705</v>
      </c>
      <c r="C2540" s="213" t="s">
        <v>8706</v>
      </c>
      <c r="D2540" s="197" t="s">
        <v>8707</v>
      </c>
      <c r="E2540" s="197" t="s">
        <v>243</v>
      </c>
      <c r="F2540" s="197"/>
    </row>
    <row r="2541" customHeight="1" spans="1:6">
      <c r="A2541" s="9" t="s">
        <v>8708</v>
      </c>
      <c r="B2541" s="215" t="s">
        <v>8709</v>
      </c>
      <c r="C2541" s="205" t="s">
        <v>8710</v>
      </c>
      <c r="D2541" s="342" t="s">
        <v>8711</v>
      </c>
      <c r="E2541" s="193" t="s">
        <v>120</v>
      </c>
      <c r="F2541" s="216"/>
    </row>
    <row r="2542" customHeight="1" spans="1:6">
      <c r="A2542" s="9" t="s">
        <v>8712</v>
      </c>
      <c r="B2542" s="201" t="s">
        <v>8713</v>
      </c>
      <c r="C2542" s="202" t="s">
        <v>8714</v>
      </c>
      <c r="D2542" s="154" t="s">
        <v>8715</v>
      </c>
      <c r="E2542" s="154" t="s">
        <v>243</v>
      </c>
      <c r="F2542" s="180"/>
    </row>
    <row r="2543" customHeight="1" spans="1:6">
      <c r="A2543" s="9" t="s">
        <v>8716</v>
      </c>
      <c r="B2543" s="153" t="s">
        <v>8717</v>
      </c>
      <c r="C2543" s="202" t="s">
        <v>8718</v>
      </c>
      <c r="D2543" s="154" t="s">
        <v>8719</v>
      </c>
      <c r="E2543" s="154" t="s">
        <v>243</v>
      </c>
      <c r="F2543" s="180"/>
    </row>
    <row r="2544" customHeight="1" spans="1:6">
      <c r="A2544" s="9" t="s">
        <v>8720</v>
      </c>
      <c r="B2544" s="201" t="s">
        <v>8721</v>
      </c>
      <c r="C2544" s="202" t="s">
        <v>8722</v>
      </c>
      <c r="D2544" s="154"/>
      <c r="E2544" s="154" t="s">
        <v>243</v>
      </c>
      <c r="F2544" s="180"/>
    </row>
    <row r="2545" customHeight="1" spans="1:6">
      <c r="A2545" s="9" t="s">
        <v>8723</v>
      </c>
      <c r="B2545" s="197" t="s">
        <v>8724</v>
      </c>
      <c r="C2545" s="202" t="s">
        <v>8725</v>
      </c>
      <c r="D2545" s="158"/>
      <c r="E2545" s="154" t="s">
        <v>243</v>
      </c>
      <c r="F2545" s="250"/>
    </row>
    <row r="2546" customHeight="1" spans="1:6">
      <c r="A2546" s="9" t="s">
        <v>8726</v>
      </c>
      <c r="B2546" s="195" t="s">
        <v>8727</v>
      </c>
      <c r="C2546" s="196" t="s">
        <v>8728</v>
      </c>
      <c r="D2546" s="197"/>
      <c r="E2546" s="197" t="s">
        <v>186</v>
      </c>
      <c r="F2546" s="197"/>
    </row>
    <row r="2547" customHeight="1" spans="1:6">
      <c r="A2547" s="9" t="s">
        <v>8729</v>
      </c>
      <c r="B2547" s="195" t="s">
        <v>8730</v>
      </c>
      <c r="C2547" s="203" t="s">
        <v>8731</v>
      </c>
      <c r="D2547" s="197"/>
      <c r="E2547" s="197" t="s">
        <v>273</v>
      </c>
      <c r="F2547" s="197"/>
    </row>
    <row r="2548" customHeight="1" spans="1:6">
      <c r="A2548" s="9" t="s">
        <v>8732</v>
      </c>
      <c r="B2548" s="194" t="s">
        <v>8733</v>
      </c>
      <c r="C2548" s="203" t="s">
        <v>8734</v>
      </c>
      <c r="D2548" s="194"/>
      <c r="E2548" s="194" t="s">
        <v>273</v>
      </c>
      <c r="F2548" s="194"/>
    </row>
    <row r="2549" customHeight="1" spans="1:6">
      <c r="A2549" s="9" t="s">
        <v>8735</v>
      </c>
      <c r="B2549" s="201" t="s">
        <v>8736</v>
      </c>
      <c r="C2549" s="202" t="s">
        <v>8398</v>
      </c>
      <c r="D2549" s="154" t="s">
        <v>8737</v>
      </c>
      <c r="E2549" s="154"/>
      <c r="F2549" s="180"/>
    </row>
    <row r="2550" customHeight="1" spans="1:6">
      <c r="A2550" s="9" t="s">
        <v>8738</v>
      </c>
      <c r="B2550" s="214" t="s">
        <v>8739</v>
      </c>
      <c r="C2550" s="214" t="s">
        <v>8740</v>
      </c>
      <c r="D2550" s="194"/>
      <c r="E2550" s="204" t="s">
        <v>92</v>
      </c>
      <c r="F2550" s="204"/>
    </row>
    <row r="2551" customHeight="1" spans="1:6">
      <c r="A2551" s="9" t="s">
        <v>8741</v>
      </c>
      <c r="B2551" s="260" t="s">
        <v>8742</v>
      </c>
      <c r="C2551" s="243" t="s">
        <v>8743</v>
      </c>
      <c r="D2551" s="154">
        <v>916170746</v>
      </c>
      <c r="E2551" s="158" t="s">
        <v>243</v>
      </c>
      <c r="F2551" s="153"/>
    </row>
    <row r="2552" customHeight="1" spans="1:6">
      <c r="A2552" s="9" t="s">
        <v>8744</v>
      </c>
      <c r="B2552" s="201" t="s">
        <v>8745</v>
      </c>
      <c r="C2552" s="202" t="s">
        <v>8746</v>
      </c>
      <c r="D2552" s="154" t="s">
        <v>8747</v>
      </c>
      <c r="E2552" s="154"/>
      <c r="F2552" s="180"/>
    </row>
    <row r="2553" customHeight="1" spans="1:6">
      <c r="A2553" s="9" t="s">
        <v>8748</v>
      </c>
      <c r="B2553" s="201" t="s">
        <v>8749</v>
      </c>
      <c r="C2553" s="202" t="s">
        <v>8750</v>
      </c>
      <c r="D2553" s="154" t="s">
        <v>8751</v>
      </c>
      <c r="E2553" s="154" t="s">
        <v>211</v>
      </c>
      <c r="F2553" s="180"/>
    </row>
    <row r="2554" customHeight="1" spans="1:6">
      <c r="A2554" s="9" t="s">
        <v>8752</v>
      </c>
      <c r="B2554" s="223" t="s">
        <v>8753</v>
      </c>
      <c r="C2554" s="223" t="s">
        <v>8754</v>
      </c>
      <c r="D2554" s="204" t="s">
        <v>8755</v>
      </c>
      <c r="E2554" s="204" t="s">
        <v>92</v>
      </c>
      <c r="F2554" s="204"/>
    </row>
    <row r="2555" customHeight="1" spans="1:6">
      <c r="A2555" s="9" t="s">
        <v>8756</v>
      </c>
      <c r="B2555" s="215" t="s">
        <v>8757</v>
      </c>
      <c r="C2555" s="205" t="s">
        <v>8758</v>
      </c>
      <c r="D2555" s="227" t="s">
        <v>8759</v>
      </c>
      <c r="E2555" s="193" t="s">
        <v>120</v>
      </c>
      <c r="F2555" s="216"/>
    </row>
    <row r="2556" customHeight="1" spans="1:6">
      <c r="A2556" s="9" t="s">
        <v>8760</v>
      </c>
      <c r="B2556" s="200" t="s">
        <v>8761</v>
      </c>
      <c r="C2556" s="202" t="s">
        <v>8762</v>
      </c>
      <c r="D2556" s="152"/>
      <c r="E2556" s="154" t="s">
        <v>211</v>
      </c>
      <c r="F2556" s="180"/>
    </row>
    <row r="2557" customHeight="1" spans="1:6">
      <c r="A2557" s="9" t="s">
        <v>8763</v>
      </c>
      <c r="B2557" s="280" t="s">
        <v>8764</v>
      </c>
      <c r="C2557" s="202" t="s">
        <v>8765</v>
      </c>
      <c r="D2557" s="153"/>
      <c r="E2557" s="180" t="s">
        <v>104</v>
      </c>
      <c r="F2557" s="180"/>
    </row>
    <row r="2558" customHeight="1" spans="1:6">
      <c r="A2558" s="9" t="s">
        <v>8766</v>
      </c>
      <c r="B2558" s="200" t="s">
        <v>8767</v>
      </c>
      <c r="C2558" s="202" t="s">
        <v>8768</v>
      </c>
      <c r="D2558" s="152"/>
      <c r="E2558" s="154"/>
      <c r="F2558" s="180"/>
    </row>
    <row r="2559" customHeight="1" spans="1:6">
      <c r="A2559" s="9" t="s">
        <v>8769</v>
      </c>
      <c r="B2559" s="233" t="s">
        <v>8770</v>
      </c>
      <c r="C2559" s="233" t="s">
        <v>8771</v>
      </c>
      <c r="D2559" s="204" t="s">
        <v>8772</v>
      </c>
      <c r="E2559" s="204" t="s">
        <v>2067</v>
      </c>
      <c r="F2559" s="204" t="s">
        <v>8773</v>
      </c>
    </row>
    <row r="2560" customHeight="1" spans="1:6">
      <c r="A2560" s="9" t="s">
        <v>8774</v>
      </c>
      <c r="B2560" s="205" t="s">
        <v>8775</v>
      </c>
      <c r="C2560" s="205" t="s">
        <v>8776</v>
      </c>
      <c r="D2560" s="206" t="s">
        <v>8777</v>
      </c>
      <c r="E2560" s="193" t="s">
        <v>120</v>
      </c>
      <c r="F2560" s="221" t="s">
        <v>8778</v>
      </c>
    </row>
    <row r="2561" customHeight="1" spans="1:6">
      <c r="A2561" s="9" t="s">
        <v>8779</v>
      </c>
      <c r="B2561" s="215" t="s">
        <v>8775</v>
      </c>
      <c r="C2561" s="205" t="s">
        <v>8776</v>
      </c>
      <c r="D2561" s="244" t="s">
        <v>8777</v>
      </c>
      <c r="E2561" s="26" t="s">
        <v>92</v>
      </c>
      <c r="F2561" s="26"/>
    </row>
    <row r="2562" customHeight="1" spans="1:6">
      <c r="A2562" s="9" t="s">
        <v>8780</v>
      </c>
      <c r="B2562" s="215" t="s">
        <v>8781</v>
      </c>
      <c r="C2562" s="205" t="s">
        <v>8782</v>
      </c>
      <c r="D2562" s="255" t="s">
        <v>8783</v>
      </c>
      <c r="E2562" s="26" t="s">
        <v>92</v>
      </c>
      <c r="F2562" s="26" t="s">
        <v>8784</v>
      </c>
    </row>
    <row r="2563" customHeight="1" spans="1:6">
      <c r="A2563" s="9" t="s">
        <v>8785</v>
      </c>
      <c r="B2563" s="205" t="s">
        <v>8786</v>
      </c>
      <c r="C2563" s="205" t="s">
        <v>8787</v>
      </c>
      <c r="D2563" s="206" t="s">
        <v>8788</v>
      </c>
      <c r="E2563" s="193" t="s">
        <v>120</v>
      </c>
      <c r="F2563" s="221" t="s">
        <v>8789</v>
      </c>
    </row>
    <row r="2564" customHeight="1" spans="1:6">
      <c r="A2564" s="9" t="s">
        <v>8790</v>
      </c>
      <c r="B2564" s="195" t="s">
        <v>8791</v>
      </c>
      <c r="C2564" s="202" t="s">
        <v>8792</v>
      </c>
      <c r="D2564" s="152" t="s">
        <v>8793</v>
      </c>
      <c r="E2564" s="154" t="s">
        <v>181</v>
      </c>
      <c r="F2564" s="180"/>
    </row>
    <row r="2565" customHeight="1" spans="1:6">
      <c r="A2565" s="9" t="s">
        <v>8794</v>
      </c>
      <c r="B2565" s="215" t="s">
        <v>8795</v>
      </c>
      <c r="C2565" s="205" t="s">
        <v>8796</v>
      </c>
      <c r="D2565" s="227" t="s">
        <v>8797</v>
      </c>
      <c r="E2565" s="193" t="s">
        <v>120</v>
      </c>
      <c r="F2565" s="262" t="s">
        <v>8798</v>
      </c>
    </row>
    <row r="2566" customHeight="1" spans="1:6">
      <c r="A2566" s="9" t="s">
        <v>8799</v>
      </c>
      <c r="B2566" s="200" t="s">
        <v>8800</v>
      </c>
      <c r="C2566" s="202" t="s">
        <v>8801</v>
      </c>
      <c r="D2566" s="152" t="s">
        <v>8802</v>
      </c>
      <c r="E2566" s="154"/>
      <c r="F2566" s="180"/>
    </row>
    <row r="2567" customHeight="1" spans="1:6">
      <c r="A2567" s="9" t="s">
        <v>8803</v>
      </c>
      <c r="B2567" s="223" t="s">
        <v>8804</v>
      </c>
      <c r="C2567" s="223" t="s">
        <v>8805</v>
      </c>
      <c r="D2567" s="204" t="s">
        <v>8806</v>
      </c>
      <c r="E2567" s="204" t="s">
        <v>92</v>
      </c>
      <c r="F2567" s="204"/>
    </row>
    <row r="2568" customHeight="1" spans="1:6">
      <c r="A2568" s="9" t="s">
        <v>8807</v>
      </c>
      <c r="B2568" s="200" t="s">
        <v>8808</v>
      </c>
      <c r="C2568" s="192" t="s">
        <v>8809</v>
      </c>
      <c r="D2568" s="194"/>
      <c r="E2568" s="193" t="s">
        <v>186</v>
      </c>
      <c r="F2568" s="191"/>
    </row>
    <row r="2569" customHeight="1" spans="1:6">
      <c r="A2569" s="9" t="s">
        <v>8810</v>
      </c>
      <c r="B2569" s="153" t="s">
        <v>8811</v>
      </c>
      <c r="C2569" s="202" t="s">
        <v>8812</v>
      </c>
      <c r="D2569" s="154"/>
      <c r="E2569" s="154" t="s">
        <v>310</v>
      </c>
      <c r="F2569" s="153"/>
    </row>
    <row r="2570" customHeight="1" spans="1:6">
      <c r="A2570" s="9" t="s">
        <v>8813</v>
      </c>
      <c r="B2570" s="160" t="s">
        <v>8814</v>
      </c>
      <c r="C2570" s="160" t="s">
        <v>8815</v>
      </c>
      <c r="D2570" s="204" t="s">
        <v>8816</v>
      </c>
      <c r="E2570" s="204" t="s">
        <v>92</v>
      </c>
      <c r="F2570" s="204"/>
    </row>
    <row r="2571" customHeight="1" spans="1:6">
      <c r="A2571" s="9" t="s">
        <v>8817</v>
      </c>
      <c r="B2571" s="200" t="s">
        <v>8818</v>
      </c>
      <c r="C2571" s="246" t="s">
        <v>8819</v>
      </c>
      <c r="D2571" s="194" t="s">
        <v>8820</v>
      </c>
      <c r="E2571" s="194" t="s">
        <v>186</v>
      </c>
      <c r="F2571" s="194"/>
    </row>
    <row r="2572" customHeight="1" spans="1:6">
      <c r="A2572" s="9" t="s">
        <v>8821</v>
      </c>
      <c r="B2572" s="195" t="s">
        <v>8822</v>
      </c>
      <c r="C2572" s="202" t="s">
        <v>8823</v>
      </c>
      <c r="D2572" s="158"/>
      <c r="E2572" s="154" t="s">
        <v>310</v>
      </c>
      <c r="F2572" s="180"/>
    </row>
    <row r="2573" customHeight="1" spans="1:6">
      <c r="A2573" s="9" t="s">
        <v>8824</v>
      </c>
      <c r="B2573" s="153" t="s">
        <v>8825</v>
      </c>
      <c r="C2573" s="202" t="s">
        <v>8826</v>
      </c>
      <c r="D2573" s="154">
        <v>931409954</v>
      </c>
      <c r="E2573" s="154" t="s">
        <v>310</v>
      </c>
      <c r="F2573" s="153"/>
    </row>
    <row r="2574" customHeight="1" spans="1:6">
      <c r="A2574" s="9" t="s">
        <v>8827</v>
      </c>
      <c r="B2574" s="205" t="s">
        <v>8828</v>
      </c>
      <c r="C2574" s="205" t="s">
        <v>8829</v>
      </c>
      <c r="D2574" s="206" t="s">
        <v>8830</v>
      </c>
      <c r="E2574" s="193" t="s">
        <v>120</v>
      </c>
      <c r="F2574" s="221" t="s">
        <v>8831</v>
      </c>
    </row>
    <row r="2575" customHeight="1" spans="1:6">
      <c r="A2575" s="9" t="s">
        <v>8832</v>
      </c>
      <c r="B2575" s="215" t="s">
        <v>8828</v>
      </c>
      <c r="C2575" s="205" t="s">
        <v>8833</v>
      </c>
      <c r="D2575" s="244" t="s">
        <v>8830</v>
      </c>
      <c r="E2575" s="26" t="s">
        <v>92</v>
      </c>
      <c r="F2575" s="26" t="s">
        <v>8834</v>
      </c>
    </row>
    <row r="2576" customHeight="1" spans="1:6">
      <c r="A2576" s="9" t="s">
        <v>8835</v>
      </c>
      <c r="B2576" s="195" t="s">
        <v>8836</v>
      </c>
      <c r="C2576" s="212" t="s">
        <v>8837</v>
      </c>
      <c r="D2576" s="197" t="s">
        <v>8838</v>
      </c>
      <c r="E2576" s="154" t="s">
        <v>104</v>
      </c>
      <c r="F2576" s="199"/>
    </row>
    <row r="2577" customHeight="1" spans="1:6">
      <c r="A2577" s="9" t="s">
        <v>8839</v>
      </c>
      <c r="B2577" s="201" t="s">
        <v>8840</v>
      </c>
      <c r="C2577" s="202" t="s">
        <v>8841</v>
      </c>
      <c r="D2577" s="154"/>
      <c r="E2577" s="154" t="s">
        <v>479</v>
      </c>
      <c r="F2577" s="180"/>
    </row>
    <row r="2578" customHeight="1" spans="1:6">
      <c r="A2578" s="9" t="s">
        <v>8842</v>
      </c>
      <c r="B2578" s="195" t="s">
        <v>8843</v>
      </c>
      <c r="C2578" s="213" t="s">
        <v>8844</v>
      </c>
      <c r="D2578" s="197"/>
      <c r="E2578" s="197" t="s">
        <v>243</v>
      </c>
      <c r="F2578" s="197"/>
    </row>
    <row r="2579" customHeight="1" spans="1:6">
      <c r="A2579" s="9" t="s">
        <v>8845</v>
      </c>
      <c r="B2579" s="195" t="s">
        <v>8846</v>
      </c>
      <c r="C2579" s="202" t="s">
        <v>8847</v>
      </c>
      <c r="D2579" s="152"/>
      <c r="E2579" s="210" t="s">
        <v>104</v>
      </c>
      <c r="F2579" s="180"/>
    </row>
    <row r="2580" customHeight="1" spans="1:6">
      <c r="A2580" s="9" t="s">
        <v>8848</v>
      </c>
      <c r="B2580" s="158" t="s">
        <v>8849</v>
      </c>
      <c r="C2580" s="202" t="s">
        <v>8850</v>
      </c>
      <c r="D2580" s="158">
        <v>955976813</v>
      </c>
      <c r="E2580" s="154" t="s">
        <v>243</v>
      </c>
      <c r="F2580" s="180"/>
    </row>
    <row r="2581" customHeight="1" spans="1:6">
      <c r="A2581" s="9" t="s">
        <v>8851</v>
      </c>
      <c r="B2581" s="200" t="s">
        <v>8852</v>
      </c>
      <c r="C2581" s="192" t="s">
        <v>8853</v>
      </c>
      <c r="D2581" s="194" t="s">
        <v>8854</v>
      </c>
      <c r="E2581" s="194" t="s">
        <v>202</v>
      </c>
      <c r="F2581" s="197"/>
    </row>
    <row r="2582" customHeight="1" spans="1:6">
      <c r="A2582" s="9" t="s">
        <v>8855</v>
      </c>
      <c r="B2582" s="153" t="s">
        <v>8856</v>
      </c>
      <c r="C2582" s="202" t="s">
        <v>8857</v>
      </c>
      <c r="D2582" s="153">
        <v>930582562</v>
      </c>
      <c r="E2582" s="180" t="s">
        <v>104</v>
      </c>
      <c r="F2582" s="180"/>
    </row>
    <row r="2583" customHeight="1" spans="1:6">
      <c r="A2583" s="9" t="s">
        <v>8858</v>
      </c>
      <c r="B2583" s="197" t="s">
        <v>8859</v>
      </c>
      <c r="C2583" s="202" t="s">
        <v>8860</v>
      </c>
      <c r="D2583" s="153"/>
      <c r="E2583" s="180" t="s">
        <v>216</v>
      </c>
      <c r="F2583" s="180"/>
    </row>
    <row r="2584" customHeight="1" spans="1:6">
      <c r="A2584" s="9" t="s">
        <v>8861</v>
      </c>
      <c r="B2584" s="201" t="s">
        <v>8862</v>
      </c>
      <c r="C2584" s="202" t="s">
        <v>8863</v>
      </c>
      <c r="D2584" s="154"/>
      <c r="E2584" s="154"/>
      <c r="F2584" s="180"/>
    </row>
    <row r="2585" customHeight="1" spans="1:6">
      <c r="A2585" s="9" t="s">
        <v>8864</v>
      </c>
      <c r="B2585" s="195" t="s">
        <v>8865</v>
      </c>
      <c r="C2585" s="196" t="s">
        <v>8866</v>
      </c>
      <c r="D2585" s="197"/>
      <c r="E2585" s="197" t="s">
        <v>125</v>
      </c>
      <c r="F2585" s="197"/>
    </row>
    <row r="2586" customHeight="1" spans="1:6">
      <c r="A2586" s="9" t="s">
        <v>8867</v>
      </c>
      <c r="B2586" s="195" t="s">
        <v>8868</v>
      </c>
      <c r="C2586" s="202" t="s">
        <v>8869</v>
      </c>
      <c r="D2586" s="341" t="s">
        <v>8870</v>
      </c>
      <c r="E2586" s="154" t="s">
        <v>1218</v>
      </c>
      <c r="F2586" s="180"/>
    </row>
    <row r="2587" customHeight="1" spans="1:6">
      <c r="A2587" s="9" t="s">
        <v>8871</v>
      </c>
      <c r="B2587" s="201" t="s">
        <v>8872</v>
      </c>
      <c r="C2587" s="202" t="s">
        <v>8873</v>
      </c>
      <c r="D2587" s="154" t="s">
        <v>8874</v>
      </c>
      <c r="E2587" s="154" t="s">
        <v>211</v>
      </c>
      <c r="F2587" s="180"/>
    </row>
    <row r="2588" customHeight="1" spans="1:6">
      <c r="A2588" s="9" t="s">
        <v>8875</v>
      </c>
      <c r="B2588" s="201" t="s">
        <v>8876</v>
      </c>
      <c r="C2588" s="202" t="s">
        <v>8877</v>
      </c>
      <c r="D2588" s="154"/>
      <c r="E2588" s="154" t="s">
        <v>202</v>
      </c>
      <c r="F2588" s="180"/>
    </row>
    <row r="2589" customHeight="1" spans="1:6">
      <c r="A2589" s="9" t="s">
        <v>8878</v>
      </c>
      <c r="B2589" s="200" t="s">
        <v>8879</v>
      </c>
      <c r="C2589" s="202" t="s">
        <v>8880</v>
      </c>
      <c r="D2589" s="158"/>
      <c r="E2589" s="154"/>
      <c r="F2589" s="180"/>
    </row>
    <row r="2590" customHeight="1" spans="1:6">
      <c r="A2590" s="9" t="s">
        <v>8881</v>
      </c>
      <c r="B2590" s="153" t="s">
        <v>8882</v>
      </c>
      <c r="C2590" s="202" t="s">
        <v>8883</v>
      </c>
      <c r="D2590" s="154">
        <v>941326657</v>
      </c>
      <c r="E2590" s="154" t="s">
        <v>310</v>
      </c>
      <c r="F2590" s="153"/>
    </row>
    <row r="2591" customHeight="1" spans="1:6">
      <c r="A2591" s="9" t="s">
        <v>8884</v>
      </c>
      <c r="B2591" s="201" t="s">
        <v>8885</v>
      </c>
      <c r="C2591" s="202" t="s">
        <v>8886</v>
      </c>
      <c r="D2591" s="154"/>
      <c r="E2591" s="154" t="s">
        <v>202</v>
      </c>
      <c r="F2591" s="180"/>
    </row>
    <row r="2592" customHeight="1" spans="1:6">
      <c r="A2592" s="9" t="s">
        <v>8887</v>
      </c>
      <c r="B2592" s="195" t="s">
        <v>8888</v>
      </c>
      <c r="C2592" s="202" t="s">
        <v>8889</v>
      </c>
      <c r="D2592" s="152"/>
      <c r="E2592" s="154" t="s">
        <v>232</v>
      </c>
      <c r="F2592" s="180"/>
    </row>
    <row r="2593" customHeight="1" spans="1:6">
      <c r="A2593" s="9" t="s">
        <v>8890</v>
      </c>
      <c r="B2593" s="214" t="s">
        <v>8891</v>
      </c>
      <c r="C2593" s="214" t="s">
        <v>8892</v>
      </c>
      <c r="D2593" s="194"/>
      <c r="E2593" s="204" t="s">
        <v>92</v>
      </c>
      <c r="F2593" s="204"/>
    </row>
    <row r="2594" customHeight="1" spans="1:6">
      <c r="A2594" s="9" t="s">
        <v>8893</v>
      </c>
      <c r="B2594" s="195" t="s">
        <v>8894</v>
      </c>
      <c r="C2594" s="202" t="s">
        <v>8895</v>
      </c>
      <c r="D2594" s="152" t="s">
        <v>8896</v>
      </c>
      <c r="E2594" s="154" t="s">
        <v>104</v>
      </c>
      <c r="F2594" s="180"/>
    </row>
    <row r="2595" customHeight="1" spans="1:6">
      <c r="A2595" s="9" t="s">
        <v>8897</v>
      </c>
      <c r="B2595" s="201" t="s">
        <v>8898</v>
      </c>
      <c r="C2595" s="202" t="s">
        <v>8899</v>
      </c>
      <c r="D2595" s="154"/>
      <c r="E2595" s="154" t="s">
        <v>58</v>
      </c>
      <c r="F2595" s="180"/>
    </row>
    <row r="2596" customHeight="1" spans="1:6">
      <c r="A2596" s="9" t="s">
        <v>8900</v>
      </c>
      <c r="B2596" s="214" t="s">
        <v>8901</v>
      </c>
      <c r="C2596" s="214" t="s">
        <v>8902</v>
      </c>
      <c r="D2596" s="194"/>
      <c r="E2596" s="204" t="s">
        <v>92</v>
      </c>
      <c r="F2596" s="204"/>
    </row>
    <row r="2597" customHeight="1" spans="1:6">
      <c r="A2597" s="9" t="s">
        <v>8903</v>
      </c>
      <c r="B2597" s="195" t="s">
        <v>8904</v>
      </c>
      <c r="C2597" s="202" t="s">
        <v>8905</v>
      </c>
      <c r="D2597" s="152"/>
      <c r="E2597" s="154" t="s">
        <v>232</v>
      </c>
      <c r="F2597" s="180"/>
    </row>
    <row r="2598" customHeight="1" spans="1:6">
      <c r="A2598" s="9" t="s">
        <v>8906</v>
      </c>
      <c r="B2598" s="195" t="s">
        <v>8907</v>
      </c>
      <c r="C2598" s="196" t="s">
        <v>8908</v>
      </c>
      <c r="D2598" s="197"/>
      <c r="E2598" s="197" t="s">
        <v>968</v>
      </c>
      <c r="F2598" s="197"/>
    </row>
    <row r="2599" customHeight="1" spans="1:6">
      <c r="A2599" s="9" t="s">
        <v>8909</v>
      </c>
      <c r="B2599" s="223" t="s">
        <v>8910</v>
      </c>
      <c r="C2599" s="223" t="s">
        <v>8911</v>
      </c>
      <c r="D2599" s="204" t="s">
        <v>8912</v>
      </c>
      <c r="E2599" s="204" t="s">
        <v>92</v>
      </c>
      <c r="F2599" s="204"/>
    </row>
    <row r="2600" customHeight="1" spans="1:6">
      <c r="A2600" s="9" t="s">
        <v>8913</v>
      </c>
      <c r="B2600" s="194" t="s">
        <v>8914</v>
      </c>
      <c r="C2600" s="203" t="s">
        <v>8915</v>
      </c>
      <c r="D2600" s="197"/>
      <c r="E2600" s="197" t="s">
        <v>253</v>
      </c>
      <c r="F2600" s="197"/>
    </row>
    <row r="2601" customHeight="1" spans="1:6">
      <c r="A2601" s="9" t="s">
        <v>8916</v>
      </c>
      <c r="B2601" s="195" t="s">
        <v>8917</v>
      </c>
      <c r="C2601" s="202" t="s">
        <v>8918</v>
      </c>
      <c r="D2601" s="152"/>
      <c r="E2601" s="154" t="s">
        <v>181</v>
      </c>
      <c r="F2601" s="180"/>
    </row>
    <row r="2602" customHeight="1" spans="1:6">
      <c r="A2602" s="9" t="s">
        <v>8919</v>
      </c>
      <c r="B2602" s="201" t="s">
        <v>8920</v>
      </c>
      <c r="C2602" s="202" t="s">
        <v>8921</v>
      </c>
      <c r="D2602" s="154"/>
      <c r="E2602" s="154" t="s">
        <v>243</v>
      </c>
      <c r="F2602" s="180"/>
    </row>
    <row r="2603" customHeight="1" spans="1:6">
      <c r="A2603" s="9" t="s">
        <v>8922</v>
      </c>
      <c r="B2603" s="223" t="s">
        <v>8923</v>
      </c>
      <c r="C2603" s="223" t="s">
        <v>8924</v>
      </c>
      <c r="D2603" s="223" t="s">
        <v>8925</v>
      </c>
      <c r="E2603" s="204" t="s">
        <v>92</v>
      </c>
      <c r="F2603" s="204"/>
    </row>
    <row r="2604" customHeight="1" spans="1:6">
      <c r="A2604" s="9" t="s">
        <v>8926</v>
      </c>
      <c r="B2604" s="200" t="s">
        <v>8927</v>
      </c>
      <c r="C2604" s="203" t="s">
        <v>8928</v>
      </c>
      <c r="D2604" s="194"/>
      <c r="E2604" s="194" t="s">
        <v>273</v>
      </c>
      <c r="F2604" s="194"/>
    </row>
    <row r="2605" customHeight="1" spans="1:6">
      <c r="A2605" s="9" t="s">
        <v>8929</v>
      </c>
      <c r="B2605" s="166" t="str">
        <f>IFERROR(__xludf.DUMMYFUNCTION("""COMPUTED_VALUE"""),"Asheber Gedlu Wendmagegnehu")</f>
        <v>Asheber Gedlu Wendmagegnehu</v>
      </c>
      <c r="C2605" s="166" t="str">
        <f>IFERROR(__xludf.DUMMYFUNCTION("""COMPUTED_VALUE"""),"አሸብር ገድሉ ወንድም አግኘሁ")</f>
        <v>አሸብር ገድሉ ወንድም አግኘሁ</v>
      </c>
      <c r="D2605" s="166" t="str">
        <f>IFERROR(__xludf.DUMMYFUNCTION("""COMPUTED_VALUE"""),"0911-768206
0983828420")</f>
        <v>0911-768206
0983828420</v>
      </c>
      <c r="E2605" s="166" t="str">
        <f>IFERROR(__xludf.DUMMYFUNCTION("""COMPUTED_VALUE"""),"Addis Ababa")</f>
        <v>Addis Ababa</v>
      </c>
      <c r="F2605" s="166" t="str">
        <f>IFERROR(__xludf.DUMMYFUNCTION("""COMPUTED_VALUE"""),"asebergedlu2000@gmail.com")</f>
        <v>asebergedlu2000@gmail.com</v>
      </c>
    </row>
    <row r="2606" customHeight="1" spans="1:6">
      <c r="A2606" s="9" t="s">
        <v>8930</v>
      </c>
      <c r="B2606" s="200" t="s">
        <v>8931</v>
      </c>
      <c r="C2606" s="202" t="s">
        <v>8932</v>
      </c>
      <c r="D2606" s="154"/>
      <c r="E2606" s="154" t="s">
        <v>104</v>
      </c>
      <c r="F2606" s="180"/>
    </row>
    <row r="2607" customHeight="1" spans="1:6">
      <c r="A2607" s="9" t="s">
        <v>8933</v>
      </c>
      <c r="B2607" s="160" t="s">
        <v>8934</v>
      </c>
      <c r="C2607" s="160" t="s">
        <v>8935</v>
      </c>
      <c r="D2607" s="204" t="s">
        <v>8936</v>
      </c>
      <c r="E2607" s="204" t="s">
        <v>92</v>
      </c>
      <c r="F2607" s="204"/>
    </row>
    <row r="2608" customHeight="1" spans="1:6">
      <c r="A2608" s="9" t="s">
        <v>8937</v>
      </c>
      <c r="B2608" s="201" t="s">
        <v>8938</v>
      </c>
      <c r="C2608" s="202" t="s">
        <v>8939</v>
      </c>
      <c r="D2608" s="154"/>
      <c r="E2608" s="154"/>
      <c r="F2608" s="180"/>
    </row>
    <row r="2609" customHeight="1" spans="1:6">
      <c r="A2609" s="9" t="s">
        <v>8940</v>
      </c>
      <c r="B2609" s="201" t="s">
        <v>8941</v>
      </c>
      <c r="C2609" s="202" t="s">
        <v>8942</v>
      </c>
      <c r="D2609" s="154" t="s">
        <v>8943</v>
      </c>
      <c r="E2609" s="154" t="s">
        <v>1395</v>
      </c>
      <c r="F2609" s="180"/>
    </row>
    <row r="2610" customHeight="1" spans="1:6">
      <c r="A2610" s="9" t="s">
        <v>8944</v>
      </c>
      <c r="B2610" s="200" t="s">
        <v>8945</v>
      </c>
      <c r="C2610" s="202" t="s">
        <v>8946</v>
      </c>
      <c r="D2610" s="158"/>
      <c r="E2610" s="154" t="s">
        <v>253</v>
      </c>
      <c r="F2610" s="180"/>
    </row>
    <row r="2611" customHeight="1" spans="1:6">
      <c r="A2611" s="9" t="s">
        <v>8947</v>
      </c>
      <c r="B2611" s="215" t="s">
        <v>8948</v>
      </c>
      <c r="C2611" s="205" t="s">
        <v>8949</v>
      </c>
      <c r="D2611" s="342" t="s">
        <v>8950</v>
      </c>
      <c r="E2611" s="193" t="s">
        <v>120</v>
      </c>
      <c r="F2611" s="216" t="s">
        <v>8951</v>
      </c>
    </row>
    <row r="2612" customHeight="1" spans="1:6">
      <c r="A2612" s="9" t="s">
        <v>8952</v>
      </c>
      <c r="B2612" s="160" t="s">
        <v>8953</v>
      </c>
      <c r="C2612" s="160" t="s">
        <v>8954</v>
      </c>
      <c r="D2612" s="204" t="s">
        <v>7930</v>
      </c>
      <c r="E2612" s="204" t="s">
        <v>92</v>
      </c>
      <c r="F2612" s="204"/>
    </row>
    <row r="2613" customHeight="1" spans="1:6">
      <c r="A2613" s="9" t="s">
        <v>8955</v>
      </c>
      <c r="B2613" s="205" t="s">
        <v>8956</v>
      </c>
      <c r="C2613" s="205" t="s">
        <v>8924</v>
      </c>
      <c r="D2613" s="206" t="s">
        <v>8957</v>
      </c>
      <c r="E2613" s="193" t="s">
        <v>120</v>
      </c>
      <c r="F2613" s="221"/>
    </row>
    <row r="2614" customHeight="1" spans="1:6">
      <c r="A2614" s="9" t="s">
        <v>8958</v>
      </c>
      <c r="B2614" s="200" t="s">
        <v>8959</v>
      </c>
      <c r="C2614" s="202" t="s">
        <v>8960</v>
      </c>
      <c r="D2614" s="152"/>
      <c r="E2614" s="154" t="s">
        <v>232</v>
      </c>
      <c r="F2614" s="180"/>
    </row>
    <row r="2615" customHeight="1" spans="1:6">
      <c r="A2615" s="9" t="s">
        <v>8961</v>
      </c>
      <c r="B2615" s="158" t="s">
        <v>8962</v>
      </c>
      <c r="C2615" s="202" t="s">
        <v>8963</v>
      </c>
      <c r="D2615" s="158">
        <v>922324690</v>
      </c>
      <c r="E2615" s="154" t="s">
        <v>497</v>
      </c>
      <c r="F2615" s="180"/>
    </row>
    <row r="2616" customHeight="1" spans="1:6">
      <c r="A2616" s="9" t="s">
        <v>8964</v>
      </c>
      <c r="B2616" s="214" t="s">
        <v>8965</v>
      </c>
      <c r="C2616" s="214" t="s">
        <v>8966</v>
      </c>
      <c r="D2616" s="194"/>
      <c r="E2616" s="204" t="s">
        <v>92</v>
      </c>
      <c r="F2616" s="204"/>
    </row>
    <row r="2617" customHeight="1" spans="1:6">
      <c r="A2617" s="9" t="s">
        <v>8967</v>
      </c>
      <c r="B2617" s="201" t="s">
        <v>8968</v>
      </c>
      <c r="C2617" s="202" t="s">
        <v>8969</v>
      </c>
      <c r="D2617" s="154" t="s">
        <v>8970</v>
      </c>
      <c r="E2617" s="154" t="s">
        <v>243</v>
      </c>
      <c r="F2617" s="180"/>
    </row>
    <row r="2618" customHeight="1" spans="1:6">
      <c r="A2618" s="9" t="s">
        <v>8971</v>
      </c>
      <c r="B2618" s="220" t="str">
        <f>IFERROR(__xludf.DUMMYFUNCTION("""COMPUTED_VALUE"""),"Ashebir Tadesse Gezmu /Ato/")</f>
        <v>Ashebir Tadesse Gezmu /Ato/</v>
      </c>
      <c r="C2618" s="220" t="str">
        <f>IFERROR(__xludf.DUMMYFUNCTION("""COMPUTED_VALUE"""),"አሸብር ታደሰ ገዝሙ/አቶ/")</f>
        <v>አሸብር ታደሰ ገዝሙ/አቶ/</v>
      </c>
      <c r="D2618" s="220" t="str">
        <f>IFERROR(__xludf.DUMMYFUNCTION("""COMPUTED_VALUE"""),"911178313")</f>
        <v>911178313</v>
      </c>
      <c r="E2618" s="220" t="str">
        <f>IFERROR(__xludf.DUMMYFUNCTION("""COMPUTED_VALUE"""),"Addis Ababa")</f>
        <v>Addis Ababa</v>
      </c>
      <c r="F2618" s="220" t="str">
        <f>IFERROR(__xludf.DUMMYFUNCTION("""COMPUTED_VALUE"""),"elizabethtadesse956@gmail.com")</f>
        <v>elizabethtadesse956@gmail.com</v>
      </c>
    </row>
    <row r="2619" customHeight="1" spans="1:6">
      <c r="A2619" s="9" t="s">
        <v>8972</v>
      </c>
      <c r="B2619" s="195" t="s">
        <v>8973</v>
      </c>
      <c r="C2619" s="202" t="s">
        <v>8974</v>
      </c>
      <c r="D2619" s="152"/>
      <c r="E2619" s="154" t="s">
        <v>232</v>
      </c>
      <c r="F2619" s="180"/>
    </row>
    <row r="2620" customHeight="1" spans="1:6">
      <c r="A2620" s="9" t="s">
        <v>8975</v>
      </c>
      <c r="B2620" s="201" t="s">
        <v>8976</v>
      </c>
      <c r="C2620" s="202" t="s">
        <v>8977</v>
      </c>
      <c r="D2620" s="154" t="s">
        <v>8978</v>
      </c>
      <c r="E2620" s="154"/>
      <c r="F2620" s="180"/>
    </row>
    <row r="2621" customHeight="1" spans="1:6">
      <c r="A2621" s="9" t="s">
        <v>8979</v>
      </c>
      <c r="B2621" s="214" t="s">
        <v>8980</v>
      </c>
      <c r="C2621" s="214" t="s">
        <v>8981</v>
      </c>
      <c r="D2621" s="194"/>
      <c r="E2621" s="204" t="s">
        <v>92</v>
      </c>
      <c r="F2621" s="204"/>
    </row>
    <row r="2622" customHeight="1" spans="1:6">
      <c r="A2622" s="9" t="s">
        <v>8982</v>
      </c>
      <c r="B2622" s="201" t="s">
        <v>8983</v>
      </c>
      <c r="C2622" s="202" t="s">
        <v>8984</v>
      </c>
      <c r="D2622" s="153"/>
      <c r="E2622" s="180" t="s">
        <v>202</v>
      </c>
      <c r="F2622" s="180"/>
    </row>
    <row r="2623" customHeight="1" spans="1:6">
      <c r="A2623" s="9" t="s">
        <v>8985</v>
      </c>
      <c r="B2623" s="195" t="s">
        <v>8986</v>
      </c>
      <c r="C2623" s="196" t="s">
        <v>8987</v>
      </c>
      <c r="D2623" s="197"/>
      <c r="E2623" s="197" t="s">
        <v>3119</v>
      </c>
      <c r="F2623" s="197"/>
    </row>
    <row r="2624" customHeight="1" spans="1:6">
      <c r="A2624" s="9" t="s">
        <v>8988</v>
      </c>
      <c r="B2624" s="200" t="s">
        <v>8989</v>
      </c>
      <c r="C2624" s="246" t="s">
        <v>8990</v>
      </c>
      <c r="D2624" s="194"/>
      <c r="E2624" s="194" t="s">
        <v>243</v>
      </c>
      <c r="F2624" s="194"/>
    </row>
    <row r="2625" customHeight="1" spans="1:6">
      <c r="A2625" s="9" t="s">
        <v>8991</v>
      </c>
      <c r="B2625" s="201" t="s">
        <v>8992</v>
      </c>
      <c r="C2625" s="202" t="s">
        <v>8993</v>
      </c>
      <c r="D2625" s="154"/>
      <c r="E2625" s="154"/>
      <c r="F2625" s="180"/>
    </row>
    <row r="2626" customHeight="1" spans="1:6">
      <c r="A2626" s="9" t="s">
        <v>8994</v>
      </c>
      <c r="B2626" s="214" t="s">
        <v>8995</v>
      </c>
      <c r="C2626" s="214" t="s">
        <v>8996</v>
      </c>
      <c r="D2626" s="194"/>
      <c r="E2626" s="204" t="s">
        <v>92</v>
      </c>
      <c r="F2626" s="204"/>
    </row>
    <row r="2627" customHeight="1" spans="1:6">
      <c r="A2627" s="9" t="s">
        <v>8997</v>
      </c>
      <c r="B2627" s="222" t="str">
        <f>IFERROR(__xludf.DUMMYFUNCTION("""COMPUTED_VALUE"""),"Ashenafi Abebe Wondim /Ato")</f>
        <v>Ashenafi Abebe Wondim /Ato</v>
      </c>
      <c r="C2627" s="222" t="str">
        <f>IFERROR(__xludf.DUMMYFUNCTION("""COMPUTED_VALUE"""),"አሸናፊ አበበ ወንድም /አቶ")</f>
        <v>አሸናፊ አበበ ወንድም /አቶ</v>
      </c>
      <c r="D2627" s="222" t="str">
        <f>IFERROR(__xludf.DUMMYFUNCTION("""COMPUTED_VALUE"""),"0938-651267")</f>
        <v>0938-651267</v>
      </c>
      <c r="E2627" s="222" t="str">
        <f>IFERROR(__xludf.DUMMYFUNCTION("""COMPUTED_VALUE"""),"addis abeba")</f>
        <v>addis abeba</v>
      </c>
      <c r="F2627" s="222"/>
    </row>
    <row r="2628" customHeight="1" spans="1:6">
      <c r="A2628" s="9" t="s">
        <v>8998</v>
      </c>
      <c r="B2628" s="225" t="s">
        <v>8999</v>
      </c>
      <c r="C2628" s="225" t="s">
        <v>9000</v>
      </c>
      <c r="D2628" s="228" t="s">
        <v>9001</v>
      </c>
      <c r="E2628" s="229" t="s">
        <v>120</v>
      </c>
      <c r="F2628" s="230"/>
    </row>
    <row r="2629" customHeight="1" spans="1:6">
      <c r="A2629" s="9" t="s">
        <v>9002</v>
      </c>
      <c r="B2629" s="205" t="s">
        <v>9003</v>
      </c>
      <c r="C2629" s="205" t="s">
        <v>9004</v>
      </c>
      <c r="D2629" s="206" t="s">
        <v>9005</v>
      </c>
      <c r="E2629" s="193" t="s">
        <v>120</v>
      </c>
      <c r="F2629" s="221" t="s">
        <v>9006</v>
      </c>
    </row>
    <row r="2630" customHeight="1" spans="1:6">
      <c r="A2630" s="9" t="s">
        <v>9007</v>
      </c>
      <c r="B2630" s="195" t="s">
        <v>9008</v>
      </c>
      <c r="C2630" s="202" t="s">
        <v>9009</v>
      </c>
      <c r="D2630" s="152"/>
      <c r="E2630" s="154" t="s">
        <v>211</v>
      </c>
      <c r="F2630" s="180"/>
    </row>
    <row r="2631" customHeight="1" spans="1:6">
      <c r="A2631" s="9" t="s">
        <v>9010</v>
      </c>
      <c r="B2631" s="195" t="s">
        <v>9011</v>
      </c>
      <c r="C2631" s="213" t="s">
        <v>9012</v>
      </c>
      <c r="D2631" s="197"/>
      <c r="E2631" s="197" t="s">
        <v>202</v>
      </c>
      <c r="F2631" s="197"/>
    </row>
    <row r="2632" customHeight="1" spans="1:6">
      <c r="A2632" s="9" t="s">
        <v>9013</v>
      </c>
      <c r="B2632" s="195" t="s">
        <v>9014</v>
      </c>
      <c r="C2632" s="196" t="s">
        <v>9015</v>
      </c>
      <c r="D2632" s="197"/>
      <c r="E2632" s="197" t="s">
        <v>310</v>
      </c>
      <c r="F2632" s="197"/>
    </row>
    <row r="2633" customHeight="1" spans="1:6">
      <c r="A2633" s="9" t="s">
        <v>9016</v>
      </c>
      <c r="B2633" s="160" t="s">
        <v>9017</v>
      </c>
      <c r="C2633" s="160" t="s">
        <v>9018</v>
      </c>
      <c r="D2633" s="204" t="s">
        <v>9019</v>
      </c>
      <c r="E2633" s="204" t="s">
        <v>92</v>
      </c>
      <c r="F2633" s="204"/>
    </row>
    <row r="2634" customHeight="1" spans="1:6">
      <c r="A2634" s="9" t="s">
        <v>9020</v>
      </c>
      <c r="B2634" s="215" t="s">
        <v>9021</v>
      </c>
      <c r="C2634" s="205" t="s">
        <v>9022</v>
      </c>
      <c r="D2634" s="244" t="s">
        <v>9023</v>
      </c>
      <c r="E2634" s="26" t="s">
        <v>92</v>
      </c>
      <c r="F2634" s="26" t="s">
        <v>9024</v>
      </c>
    </row>
    <row r="2635" customHeight="1" spans="1:6">
      <c r="A2635" s="9" t="s">
        <v>9025</v>
      </c>
      <c r="B2635" s="276" t="str">
        <f>IFERROR(__xludf.DUMMYFUNCTION("""COMPUTED_VALUE"""),"Ashenafi Andarge Mendera")</f>
        <v>Ashenafi Andarge Mendera</v>
      </c>
      <c r="C2635" s="276" t="str">
        <f>IFERROR(__xludf.DUMMYFUNCTION("""COMPUTED_VALUE"""),"አሽናፊ አንዳርጌ መንደራ")</f>
        <v>አሽናፊ አንዳርጌ መንደራ</v>
      </c>
      <c r="D2635" s="276" t="str">
        <f>IFERROR(__xludf.DUMMYFUNCTION("""COMPUTED_VALUE"""),"0912-280540")</f>
        <v>0912-280540</v>
      </c>
      <c r="E2635" s="276" t="str">
        <f>IFERROR(__xludf.DUMMYFUNCTION("""COMPUTED_VALUE"""),"addis abeba")</f>
        <v>addis abeba</v>
      </c>
      <c r="F2635" s="276" t="str">
        <f>IFERROR(__xludf.DUMMYFUNCTION("""COMPUTED_VALUE"""),"ashenafimendera1992@gmail.com")</f>
        <v>ashenafimendera1992@gmail.com</v>
      </c>
    </row>
    <row r="2636" customHeight="1" spans="1:6">
      <c r="A2636" s="9" t="s">
        <v>9026</v>
      </c>
      <c r="B2636" s="153" t="s">
        <v>9027</v>
      </c>
      <c r="C2636" s="202" t="s">
        <v>9028</v>
      </c>
      <c r="D2636" s="154">
        <v>912955394</v>
      </c>
      <c r="E2636" s="210" t="s">
        <v>104</v>
      </c>
      <c r="F2636" s="211"/>
    </row>
    <row r="2637" customHeight="1" spans="1:6">
      <c r="A2637" s="9" t="s">
        <v>9029</v>
      </c>
      <c r="B2637" s="214" t="s">
        <v>9030</v>
      </c>
      <c r="C2637" s="214" t="s">
        <v>9031</v>
      </c>
      <c r="D2637" s="194"/>
      <c r="E2637" s="204" t="s">
        <v>92</v>
      </c>
      <c r="F2637" s="204"/>
    </row>
    <row r="2638" customHeight="1" spans="1:6">
      <c r="A2638" s="9" t="s">
        <v>9032</v>
      </c>
      <c r="B2638" s="195" t="s">
        <v>9033</v>
      </c>
      <c r="C2638" s="202" t="s">
        <v>9034</v>
      </c>
      <c r="D2638" s="152"/>
      <c r="E2638" s="154" t="s">
        <v>104</v>
      </c>
      <c r="F2638" s="180"/>
    </row>
    <row r="2639" customHeight="1" spans="1:6">
      <c r="A2639" s="9" t="s">
        <v>9035</v>
      </c>
      <c r="B2639" s="200" t="s">
        <v>9036</v>
      </c>
      <c r="C2639" s="202" t="s">
        <v>9037</v>
      </c>
      <c r="D2639" s="152" t="s">
        <v>9038</v>
      </c>
      <c r="E2639" s="154" t="s">
        <v>211</v>
      </c>
      <c r="F2639" s="180"/>
    </row>
    <row r="2640" customHeight="1" spans="1:6">
      <c r="A2640" s="9" t="s">
        <v>9039</v>
      </c>
      <c r="B2640" s="197" t="s">
        <v>9040</v>
      </c>
      <c r="C2640" s="196" t="s">
        <v>9041</v>
      </c>
      <c r="D2640" s="197"/>
      <c r="E2640" s="197" t="s">
        <v>310</v>
      </c>
      <c r="F2640" s="197"/>
    </row>
    <row r="2641" customHeight="1" spans="1:6">
      <c r="A2641" s="9" t="s">
        <v>9042</v>
      </c>
      <c r="B2641" s="219" t="s">
        <v>9043</v>
      </c>
      <c r="C2641" s="219" t="s">
        <v>9044</v>
      </c>
      <c r="D2641" s="194"/>
      <c r="E2641" s="204" t="s">
        <v>92</v>
      </c>
      <c r="F2641" s="204"/>
    </row>
    <row r="2642" customHeight="1" spans="1:6">
      <c r="A2642" s="9" t="s">
        <v>9045</v>
      </c>
      <c r="B2642" s="215" t="s">
        <v>9043</v>
      </c>
      <c r="C2642" s="205" t="s">
        <v>9046</v>
      </c>
      <c r="D2642" s="227" t="s">
        <v>9047</v>
      </c>
      <c r="E2642" s="193" t="s">
        <v>120</v>
      </c>
      <c r="F2642" s="216" t="s">
        <v>9048</v>
      </c>
    </row>
    <row r="2643" customHeight="1" spans="1:6">
      <c r="A2643" s="9" t="s">
        <v>9049</v>
      </c>
      <c r="B2643" s="200" t="s">
        <v>9050</v>
      </c>
      <c r="C2643" s="246" t="s">
        <v>9051</v>
      </c>
      <c r="D2643" s="194"/>
      <c r="E2643" s="194" t="s">
        <v>186</v>
      </c>
      <c r="F2643" s="194"/>
    </row>
    <row r="2644" customHeight="1" spans="1:6">
      <c r="A2644" s="9" t="s">
        <v>9052</v>
      </c>
      <c r="B2644" s="214" t="s">
        <v>9053</v>
      </c>
      <c r="C2644" s="214" t="s">
        <v>9054</v>
      </c>
      <c r="D2644" s="194"/>
      <c r="E2644" s="204" t="s">
        <v>92</v>
      </c>
      <c r="F2644" s="204"/>
    </row>
    <row r="2645" customHeight="1" spans="1:6">
      <c r="A2645" s="9" t="s">
        <v>9055</v>
      </c>
      <c r="B2645" s="214" t="s">
        <v>9056</v>
      </c>
      <c r="C2645" s="214" t="s">
        <v>9057</v>
      </c>
      <c r="D2645" s="204" t="s">
        <v>9058</v>
      </c>
      <c r="E2645" s="204" t="s">
        <v>92</v>
      </c>
      <c r="F2645" s="204"/>
    </row>
    <row r="2646" customHeight="1" spans="1:6">
      <c r="A2646" s="9" t="s">
        <v>9059</v>
      </c>
      <c r="B2646" s="222" t="str">
        <f>IFERROR(__xludf.DUMMYFUNCTION("""COMPUTED_VALUE"""),"Ashenafi Borga /Ato/")</f>
        <v>Ashenafi Borga /Ato/</v>
      </c>
      <c r="C2646" s="222" t="str">
        <f>IFERROR(__xludf.DUMMYFUNCTION("""COMPUTED_VALUE"""),"አሸናፊ ቦጋለ አርጋው /አቶ/")</f>
        <v>አሸናፊ ቦጋለ አርጋው /አቶ/</v>
      </c>
      <c r="D2646" s="222" t="str">
        <f>IFERROR(__xludf.DUMMYFUNCTION("""COMPUTED_VALUE"""),"0911-382028
0799-213027")</f>
        <v>0911-382028
0799-213027</v>
      </c>
      <c r="E2646" s="222" t="str">
        <f>IFERROR(__xludf.DUMMYFUNCTION("""COMPUTED_VALUE"""),"Addis Ababa")</f>
        <v>Addis Ababa</v>
      </c>
      <c r="F2646" s="222"/>
    </row>
    <row r="2647" customHeight="1" spans="1:6">
      <c r="A2647" s="9" t="s">
        <v>9060</v>
      </c>
      <c r="B2647" s="160" t="s">
        <v>9061</v>
      </c>
      <c r="C2647" s="160" t="s">
        <v>9062</v>
      </c>
      <c r="D2647" s="204" t="s">
        <v>9063</v>
      </c>
      <c r="E2647" s="204" t="s">
        <v>92</v>
      </c>
      <c r="F2647" s="204"/>
    </row>
    <row r="2648" customHeight="1" spans="1:6">
      <c r="A2648" s="9" t="s">
        <v>9064</v>
      </c>
      <c r="B2648" s="195" t="s">
        <v>9065</v>
      </c>
      <c r="C2648" s="202" t="s">
        <v>9066</v>
      </c>
      <c r="D2648" s="152" t="s">
        <v>9067</v>
      </c>
      <c r="E2648" s="154" t="s">
        <v>9</v>
      </c>
      <c r="F2648" s="180"/>
    </row>
    <row r="2649" customHeight="1" spans="1:6">
      <c r="A2649" s="9" t="s">
        <v>9068</v>
      </c>
      <c r="B2649" s="214" t="s">
        <v>9069</v>
      </c>
      <c r="C2649" s="214" t="s">
        <v>9070</v>
      </c>
      <c r="D2649" s="194"/>
      <c r="E2649" s="204" t="s">
        <v>92</v>
      </c>
      <c r="F2649" s="204"/>
    </row>
    <row r="2650" customHeight="1" spans="1:6">
      <c r="A2650" s="9" t="s">
        <v>9071</v>
      </c>
      <c r="B2650" s="223" t="s">
        <v>9072</v>
      </c>
      <c r="C2650" s="223" t="s">
        <v>9073</v>
      </c>
      <c r="D2650" s="204" t="s">
        <v>9074</v>
      </c>
      <c r="E2650" s="204" t="s">
        <v>92</v>
      </c>
      <c r="F2650" s="204"/>
    </row>
    <row r="2651" customHeight="1" spans="1:6">
      <c r="A2651" s="9" t="s">
        <v>9075</v>
      </c>
      <c r="B2651" s="255" t="s">
        <v>9076</v>
      </c>
      <c r="C2651" s="255" t="s">
        <v>9077</v>
      </c>
      <c r="D2651" s="256" t="s">
        <v>9078</v>
      </c>
      <c r="E2651" s="26" t="s">
        <v>1701</v>
      </c>
      <c r="F2651" s="290" t="s">
        <v>9079</v>
      </c>
    </row>
    <row r="2652" customHeight="1" spans="1:6">
      <c r="A2652" s="9" t="s">
        <v>9080</v>
      </c>
      <c r="B2652" s="215" t="s">
        <v>9081</v>
      </c>
      <c r="C2652" s="205" t="s">
        <v>9082</v>
      </c>
      <c r="D2652" s="342" t="s">
        <v>9083</v>
      </c>
      <c r="E2652" s="193" t="s">
        <v>120</v>
      </c>
      <c r="F2652" s="216"/>
    </row>
    <row r="2653" customHeight="1" spans="1:6">
      <c r="A2653" s="9" t="s">
        <v>9084</v>
      </c>
      <c r="B2653" s="223" t="s">
        <v>9085</v>
      </c>
      <c r="C2653" s="223" t="s">
        <v>9086</v>
      </c>
      <c r="D2653" s="204" t="s">
        <v>9087</v>
      </c>
      <c r="E2653" s="204" t="s">
        <v>92</v>
      </c>
      <c r="F2653" s="204"/>
    </row>
    <row r="2654" customHeight="1" spans="1:6">
      <c r="A2654" s="9" t="s">
        <v>9088</v>
      </c>
      <c r="B2654" s="214" t="s">
        <v>9089</v>
      </c>
      <c r="C2654" s="214" t="s">
        <v>9090</v>
      </c>
      <c r="D2654" s="194"/>
      <c r="E2654" s="204" t="s">
        <v>92</v>
      </c>
      <c r="F2654" s="204"/>
    </row>
    <row r="2655" customHeight="1" spans="1:6">
      <c r="A2655" s="9" t="s">
        <v>9091</v>
      </c>
      <c r="B2655" s="223" t="s">
        <v>9092</v>
      </c>
      <c r="C2655" s="223" t="s">
        <v>9093</v>
      </c>
      <c r="D2655" s="204" t="s">
        <v>9094</v>
      </c>
      <c r="E2655" s="204" t="s">
        <v>92</v>
      </c>
      <c r="F2655" s="204"/>
    </row>
    <row r="2656" customHeight="1" spans="1:6">
      <c r="A2656" s="9" t="s">
        <v>9095</v>
      </c>
      <c r="B2656" s="200" t="s">
        <v>9096</v>
      </c>
      <c r="C2656" s="202" t="s">
        <v>9097</v>
      </c>
      <c r="D2656" s="152" t="s">
        <v>9098</v>
      </c>
      <c r="E2656" s="154"/>
      <c r="F2656" s="180"/>
    </row>
    <row r="2657" customHeight="1" spans="1:6">
      <c r="A2657" s="9" t="s">
        <v>9099</v>
      </c>
      <c r="B2657" s="233" t="s">
        <v>9100</v>
      </c>
      <c r="C2657" s="233" t="s">
        <v>9101</v>
      </c>
      <c r="D2657" s="204" t="s">
        <v>2891</v>
      </c>
      <c r="E2657" s="204" t="s">
        <v>605</v>
      </c>
      <c r="F2657" s="204" t="s">
        <v>9102</v>
      </c>
    </row>
    <row r="2658" customHeight="1" spans="1:6">
      <c r="A2658" s="9" t="s">
        <v>9103</v>
      </c>
      <c r="B2658" s="233" t="s">
        <v>9104</v>
      </c>
      <c r="C2658" s="233" t="s">
        <v>9105</v>
      </c>
      <c r="D2658" s="204" t="s">
        <v>9106</v>
      </c>
      <c r="E2658" s="204" t="s">
        <v>605</v>
      </c>
      <c r="F2658" s="204" t="s">
        <v>9107</v>
      </c>
    </row>
    <row r="2659" customHeight="1" spans="1:6">
      <c r="A2659" s="9" t="s">
        <v>9108</v>
      </c>
      <c r="B2659" s="195" t="s">
        <v>9109</v>
      </c>
      <c r="C2659" s="202" t="s">
        <v>9110</v>
      </c>
      <c r="D2659" s="152"/>
      <c r="E2659" s="154"/>
      <c r="F2659" s="180"/>
    </row>
    <row r="2660" customHeight="1" spans="1:6">
      <c r="A2660" s="9" t="s">
        <v>9111</v>
      </c>
      <c r="B2660" s="195" t="s">
        <v>9112</v>
      </c>
      <c r="C2660" s="202" t="s">
        <v>9113</v>
      </c>
      <c r="D2660" s="152" t="s">
        <v>9114</v>
      </c>
      <c r="E2660" s="154"/>
      <c r="F2660" s="180"/>
    </row>
    <row r="2661" customHeight="1" spans="1:6">
      <c r="A2661" s="9" t="s">
        <v>9115</v>
      </c>
      <c r="B2661" s="200" t="s">
        <v>9116</v>
      </c>
      <c r="C2661" s="202" t="s">
        <v>9117</v>
      </c>
      <c r="D2661" s="152"/>
      <c r="E2661" s="154" t="s">
        <v>211</v>
      </c>
      <c r="F2661" s="180"/>
    </row>
    <row r="2662" customHeight="1" spans="1:6">
      <c r="A2662" s="9" t="s">
        <v>9118</v>
      </c>
      <c r="B2662" s="223" t="s">
        <v>9119</v>
      </c>
      <c r="C2662" s="223" t="s">
        <v>9120</v>
      </c>
      <c r="D2662" s="204" t="s">
        <v>9121</v>
      </c>
      <c r="E2662" s="204" t="s">
        <v>92</v>
      </c>
      <c r="F2662" s="204"/>
    </row>
    <row r="2663" customHeight="1" spans="1:6">
      <c r="A2663" s="9" t="s">
        <v>9122</v>
      </c>
      <c r="B2663" s="205" t="s">
        <v>9123</v>
      </c>
      <c r="C2663" s="205" t="s">
        <v>9124</v>
      </c>
      <c r="D2663" s="206" t="s">
        <v>9125</v>
      </c>
      <c r="E2663" s="193" t="s">
        <v>120</v>
      </c>
      <c r="F2663" s="221"/>
    </row>
    <row r="2664" customHeight="1" spans="1:6">
      <c r="A2664" s="9" t="s">
        <v>9126</v>
      </c>
      <c r="B2664" s="201" t="s">
        <v>9127</v>
      </c>
      <c r="C2664" s="202" t="s">
        <v>9128</v>
      </c>
      <c r="D2664" s="154" t="s">
        <v>9129</v>
      </c>
      <c r="E2664" s="154" t="s">
        <v>211</v>
      </c>
      <c r="F2664" s="180"/>
    </row>
    <row r="2665" customHeight="1" spans="1:6">
      <c r="A2665" s="9" t="s">
        <v>9130</v>
      </c>
      <c r="B2665" s="195" t="s">
        <v>9131</v>
      </c>
      <c r="C2665" s="202" t="s">
        <v>9132</v>
      </c>
      <c r="D2665" s="152"/>
      <c r="E2665" s="154" t="s">
        <v>232</v>
      </c>
      <c r="F2665" s="180"/>
    </row>
    <row r="2666" customHeight="1" spans="1:6">
      <c r="A2666" s="9" t="s">
        <v>9133</v>
      </c>
      <c r="B2666" s="220" t="str">
        <f>IFERROR(__xludf.DUMMYFUNCTION("""COMPUTED_VALUE"""),"Ashenafi Melkamu")</f>
        <v>Ashenafi Melkamu</v>
      </c>
      <c r="C2666" s="220" t="str">
        <f>IFERROR(__xludf.DUMMYFUNCTION("""COMPUTED_VALUE"""),"አሸናፊ መልካሙ")</f>
        <v>አሸናፊ መልካሙ</v>
      </c>
      <c r="D2666" s="220" t="str">
        <f>IFERROR(__xludf.DUMMYFUNCTION("""COMPUTED_VALUE"""),"911485071")</f>
        <v>911485071</v>
      </c>
      <c r="E2666" s="220" t="str">
        <f>IFERROR(__xludf.DUMMYFUNCTION("""COMPUTED_VALUE"""),"addis abeba")</f>
        <v>addis abeba</v>
      </c>
      <c r="F2666" s="220" t="str">
        <f>IFERROR(__xludf.DUMMYFUNCTION("""COMPUTED_VALUE"""),"etsubalexoo@gmail.com")</f>
        <v>etsubalexoo@gmail.com</v>
      </c>
    </row>
    <row r="2667" customHeight="1" spans="1:6">
      <c r="A2667" s="9" t="s">
        <v>9134</v>
      </c>
      <c r="B2667" s="208" t="s">
        <v>9135</v>
      </c>
      <c r="C2667" s="208" t="s">
        <v>9136</v>
      </c>
      <c r="D2667" s="204" t="s">
        <v>9137</v>
      </c>
      <c r="E2667" s="204" t="s">
        <v>92</v>
      </c>
      <c r="F2667" s="204"/>
    </row>
    <row r="2668" customHeight="1" spans="1:6">
      <c r="A2668" s="9" t="s">
        <v>9138</v>
      </c>
      <c r="B2668" s="223" t="s">
        <v>9139</v>
      </c>
      <c r="C2668" s="223" t="s">
        <v>9140</v>
      </c>
      <c r="D2668" s="204" t="s">
        <v>9141</v>
      </c>
      <c r="E2668" s="204" t="s">
        <v>92</v>
      </c>
      <c r="F2668" s="204"/>
    </row>
    <row r="2669" customHeight="1" spans="1:6">
      <c r="A2669" s="9" t="s">
        <v>9142</v>
      </c>
      <c r="B2669" s="194" t="s">
        <v>9143</v>
      </c>
      <c r="C2669" s="246" t="s">
        <v>9144</v>
      </c>
      <c r="D2669" s="194"/>
      <c r="E2669" s="194" t="s">
        <v>186</v>
      </c>
      <c r="F2669" s="194"/>
    </row>
    <row r="2670" customHeight="1" spans="1:6">
      <c r="A2670" s="9" t="s">
        <v>9145</v>
      </c>
      <c r="B2670" s="258" t="s">
        <v>9146</v>
      </c>
      <c r="C2670" s="258" t="s">
        <v>9147</v>
      </c>
      <c r="D2670" s="240" t="s">
        <v>9148</v>
      </c>
      <c r="E2670" s="241" t="s">
        <v>92</v>
      </c>
      <c r="F2670" s="241"/>
    </row>
    <row r="2671" customHeight="1" spans="1:6">
      <c r="A2671" s="9" t="s">
        <v>9149</v>
      </c>
      <c r="B2671" s="201" t="s">
        <v>9150</v>
      </c>
      <c r="C2671" s="202" t="s">
        <v>9151</v>
      </c>
      <c r="D2671" s="270"/>
      <c r="E2671" s="154"/>
      <c r="F2671" s="180"/>
    </row>
    <row r="2672" customHeight="1" spans="1:6">
      <c r="A2672" s="9" t="s">
        <v>9152</v>
      </c>
      <c r="B2672" s="214" t="s">
        <v>9153</v>
      </c>
      <c r="C2672" s="214" t="s">
        <v>9154</v>
      </c>
      <c r="D2672" s="194"/>
      <c r="E2672" s="204" t="s">
        <v>92</v>
      </c>
      <c r="F2672" s="204"/>
    </row>
    <row r="2673" customHeight="1" spans="1:6">
      <c r="A2673" s="9" t="s">
        <v>9155</v>
      </c>
      <c r="B2673" s="195" t="s">
        <v>9156</v>
      </c>
      <c r="C2673" s="202" t="s">
        <v>9157</v>
      </c>
      <c r="D2673" s="152" t="s">
        <v>9158</v>
      </c>
      <c r="E2673" s="154" t="s">
        <v>181</v>
      </c>
      <c r="F2673" s="180"/>
    </row>
    <row r="2674" customHeight="1" spans="1:6">
      <c r="A2674" s="9" t="s">
        <v>9159</v>
      </c>
      <c r="B2674" s="195" t="s">
        <v>9160</v>
      </c>
      <c r="C2674" s="213" t="s">
        <v>9161</v>
      </c>
      <c r="D2674" s="197">
        <v>912324020</v>
      </c>
      <c r="E2674" s="197" t="s">
        <v>1852</v>
      </c>
      <c r="F2674" s="197"/>
    </row>
    <row r="2675" customHeight="1" spans="1:6">
      <c r="A2675" s="9" t="s">
        <v>9162</v>
      </c>
      <c r="B2675" s="214" t="s">
        <v>9163</v>
      </c>
      <c r="C2675" s="214" t="s">
        <v>9164</v>
      </c>
      <c r="D2675" s="204"/>
      <c r="E2675" s="204" t="s">
        <v>92</v>
      </c>
      <c r="F2675" s="204"/>
    </row>
    <row r="2676" customHeight="1" spans="1:6">
      <c r="A2676" s="9" t="s">
        <v>9165</v>
      </c>
      <c r="B2676" s="214" t="s">
        <v>9166</v>
      </c>
      <c r="C2676" s="214" t="s">
        <v>9167</v>
      </c>
      <c r="D2676" s="194"/>
      <c r="E2676" s="204" t="s">
        <v>92</v>
      </c>
      <c r="F2676" s="204"/>
    </row>
    <row r="2677" customHeight="1" spans="1:6">
      <c r="A2677" s="9" t="s">
        <v>9168</v>
      </c>
      <c r="B2677" s="219" t="s">
        <v>9169</v>
      </c>
      <c r="C2677" s="219" t="s">
        <v>9170</v>
      </c>
      <c r="D2677" s="194"/>
      <c r="E2677" s="204" t="s">
        <v>92</v>
      </c>
      <c r="F2677" s="204"/>
    </row>
    <row r="2678" customHeight="1" spans="1:6">
      <c r="A2678" s="9" t="s">
        <v>9171</v>
      </c>
      <c r="B2678" s="205" t="s">
        <v>9172</v>
      </c>
      <c r="C2678" s="205" t="s">
        <v>9173</v>
      </c>
      <c r="D2678" s="206" t="s">
        <v>9174</v>
      </c>
      <c r="E2678" s="193" t="s">
        <v>120</v>
      </c>
      <c r="F2678" s="221" t="s">
        <v>9175</v>
      </c>
    </row>
    <row r="2679" customHeight="1" spans="1:6">
      <c r="A2679" s="9" t="s">
        <v>9176</v>
      </c>
      <c r="B2679" s="200" t="s">
        <v>9177</v>
      </c>
      <c r="C2679" s="202" t="s">
        <v>9178</v>
      </c>
      <c r="D2679" s="152" t="s">
        <v>9179</v>
      </c>
      <c r="E2679" s="154"/>
      <c r="F2679" s="180"/>
    </row>
    <row r="2680" customHeight="1" spans="1:6">
      <c r="A2680" s="9" t="s">
        <v>9180</v>
      </c>
      <c r="B2680" s="195" t="s">
        <v>9181</v>
      </c>
      <c r="C2680" s="202" t="s">
        <v>9182</v>
      </c>
      <c r="D2680" s="152" t="s">
        <v>9183</v>
      </c>
      <c r="E2680" s="154" t="s">
        <v>232</v>
      </c>
      <c r="F2680" s="180"/>
    </row>
    <row r="2681" customHeight="1" spans="1:6">
      <c r="A2681" s="9" t="s">
        <v>9184</v>
      </c>
      <c r="B2681" s="194" t="s">
        <v>9185</v>
      </c>
      <c r="C2681" s="192" t="s">
        <v>9186</v>
      </c>
      <c r="D2681" s="197"/>
      <c r="E2681" s="197" t="s">
        <v>202</v>
      </c>
      <c r="F2681" s="197"/>
    </row>
    <row r="2682" customHeight="1" spans="1:6">
      <c r="A2682" s="9" t="s">
        <v>9187</v>
      </c>
      <c r="B2682" s="195" t="s">
        <v>9188</v>
      </c>
      <c r="C2682" s="202" t="s">
        <v>9189</v>
      </c>
      <c r="D2682" s="248"/>
      <c r="E2682" s="158" t="s">
        <v>243</v>
      </c>
      <c r="F2682" s="153"/>
    </row>
    <row r="2683" customHeight="1" spans="1:6">
      <c r="A2683" s="9" t="s">
        <v>9190</v>
      </c>
      <c r="B2683" s="153" t="s">
        <v>9191</v>
      </c>
      <c r="C2683" s="202" t="s">
        <v>9192</v>
      </c>
      <c r="D2683" s="153">
        <v>930582562</v>
      </c>
      <c r="E2683" s="180" t="s">
        <v>104</v>
      </c>
      <c r="F2683" s="180"/>
    </row>
    <row r="2684" customHeight="1" spans="1:6">
      <c r="A2684" s="9" t="s">
        <v>9193</v>
      </c>
      <c r="B2684" s="195" t="s">
        <v>9194</v>
      </c>
      <c r="C2684" s="202" t="s">
        <v>9195</v>
      </c>
      <c r="D2684" s="152"/>
      <c r="E2684" s="154"/>
      <c r="F2684" s="180"/>
    </row>
    <row r="2685" customHeight="1" spans="1:6">
      <c r="A2685" s="9" t="s">
        <v>9196</v>
      </c>
      <c r="B2685" s="200" t="s">
        <v>9197</v>
      </c>
      <c r="C2685" s="202" t="s">
        <v>9198</v>
      </c>
      <c r="D2685" s="152"/>
      <c r="E2685" s="154" t="s">
        <v>232</v>
      </c>
      <c r="F2685" s="180"/>
    </row>
    <row r="2686" customHeight="1" spans="1:6">
      <c r="A2686" s="9" t="s">
        <v>9199</v>
      </c>
      <c r="B2686" s="195" t="s">
        <v>9200</v>
      </c>
      <c r="C2686" s="202" t="s">
        <v>9201</v>
      </c>
      <c r="D2686" s="158" t="s">
        <v>9202</v>
      </c>
      <c r="E2686" s="154" t="s">
        <v>202</v>
      </c>
      <c r="F2686" s="180"/>
    </row>
    <row r="2687" customHeight="1" spans="1:6">
      <c r="A2687" s="9" t="s">
        <v>9203</v>
      </c>
      <c r="B2687" s="195" t="s">
        <v>9204</v>
      </c>
      <c r="C2687" s="202" t="s">
        <v>9205</v>
      </c>
      <c r="D2687" s="152"/>
      <c r="E2687" s="154" t="s">
        <v>232</v>
      </c>
      <c r="F2687" s="180"/>
    </row>
    <row r="2688" customHeight="1" spans="1:6">
      <c r="A2688" s="9" t="s">
        <v>9206</v>
      </c>
      <c r="B2688" s="200" t="s">
        <v>9207</v>
      </c>
      <c r="C2688" s="202" t="s">
        <v>9208</v>
      </c>
      <c r="D2688" s="152"/>
      <c r="E2688" s="154" t="s">
        <v>232</v>
      </c>
      <c r="F2688" s="180"/>
    </row>
    <row r="2689" customHeight="1" spans="1:6">
      <c r="A2689" s="9" t="s">
        <v>9209</v>
      </c>
      <c r="B2689" s="200" t="s">
        <v>9210</v>
      </c>
      <c r="C2689" s="202" t="s">
        <v>9211</v>
      </c>
      <c r="D2689" s="152" t="s">
        <v>9212</v>
      </c>
      <c r="E2689" s="154" t="s">
        <v>104</v>
      </c>
      <c r="F2689" s="180"/>
    </row>
    <row r="2690" customHeight="1" spans="1:6">
      <c r="A2690" s="9" t="s">
        <v>9213</v>
      </c>
      <c r="B2690" s="194" t="s">
        <v>9214</v>
      </c>
      <c r="C2690" s="264" t="s">
        <v>9215</v>
      </c>
      <c r="D2690" s="194"/>
      <c r="E2690" s="194" t="s">
        <v>202</v>
      </c>
      <c r="F2690" s="194"/>
    </row>
    <row r="2691" customHeight="1" spans="1:6">
      <c r="A2691" s="9" t="s">
        <v>9216</v>
      </c>
      <c r="B2691" s="200" t="s">
        <v>9217</v>
      </c>
      <c r="C2691" s="202" t="s">
        <v>9218</v>
      </c>
      <c r="D2691" s="152" t="s">
        <v>9219</v>
      </c>
      <c r="E2691" s="154" t="s">
        <v>232</v>
      </c>
      <c r="F2691" s="180"/>
    </row>
    <row r="2692" customHeight="1" spans="1:6">
      <c r="A2692" s="9" t="s">
        <v>9220</v>
      </c>
      <c r="B2692" s="195" t="s">
        <v>9221</v>
      </c>
      <c r="C2692" s="202" t="s">
        <v>9222</v>
      </c>
      <c r="D2692" s="152"/>
      <c r="E2692" s="154"/>
      <c r="F2692" s="180"/>
    </row>
    <row r="2693" customHeight="1" spans="1:6">
      <c r="A2693" s="9" t="s">
        <v>9223</v>
      </c>
      <c r="B2693" s="194" t="s">
        <v>9224</v>
      </c>
      <c r="C2693" s="192" t="s">
        <v>9225</v>
      </c>
      <c r="D2693" s="194" t="s">
        <v>9226</v>
      </c>
      <c r="E2693" s="194" t="s">
        <v>58</v>
      </c>
      <c r="F2693" s="194"/>
    </row>
    <row r="2694" customHeight="1" spans="1:6">
      <c r="A2694" s="9" t="s">
        <v>9227</v>
      </c>
      <c r="B2694" s="153" t="s">
        <v>9228</v>
      </c>
      <c r="C2694" s="202" t="s">
        <v>9229</v>
      </c>
      <c r="D2694" s="154">
        <v>929919752</v>
      </c>
      <c r="E2694" s="154" t="s">
        <v>232</v>
      </c>
      <c r="F2694" s="180"/>
    </row>
    <row r="2695" customHeight="1" spans="1:6">
      <c r="A2695" s="9" t="s">
        <v>9230</v>
      </c>
      <c r="B2695" s="201" t="s">
        <v>9231</v>
      </c>
      <c r="C2695" s="202" t="s">
        <v>9232</v>
      </c>
      <c r="D2695" s="154" t="s">
        <v>9233</v>
      </c>
      <c r="E2695" s="154"/>
      <c r="F2695" s="180"/>
    </row>
    <row r="2696" customHeight="1" spans="1:6">
      <c r="A2696" s="9" t="s">
        <v>9234</v>
      </c>
      <c r="B2696" s="200" t="s">
        <v>9235</v>
      </c>
      <c r="C2696" s="202" t="s">
        <v>9236</v>
      </c>
      <c r="D2696" s="152"/>
      <c r="E2696" s="154" t="s">
        <v>232</v>
      </c>
      <c r="F2696" s="180"/>
    </row>
    <row r="2697" customHeight="1" spans="1:6">
      <c r="A2697" s="9" t="s">
        <v>9237</v>
      </c>
      <c r="B2697" s="195" t="s">
        <v>9238</v>
      </c>
      <c r="C2697" s="202" t="s">
        <v>9239</v>
      </c>
      <c r="D2697" s="152"/>
      <c r="E2697" s="154" t="s">
        <v>232</v>
      </c>
      <c r="F2697" s="180"/>
    </row>
    <row r="2698" customHeight="1" spans="1:6">
      <c r="A2698" s="9" t="s">
        <v>9240</v>
      </c>
      <c r="B2698" s="200" t="s">
        <v>9241</v>
      </c>
      <c r="C2698" s="202" t="s">
        <v>9242</v>
      </c>
      <c r="D2698" s="152" t="s">
        <v>9243</v>
      </c>
      <c r="E2698" s="154" t="s">
        <v>232</v>
      </c>
      <c r="F2698" s="180"/>
    </row>
    <row r="2699" customHeight="1" spans="1:6">
      <c r="A2699" s="9" t="s">
        <v>9244</v>
      </c>
      <c r="B2699" s="195" t="s">
        <v>9245</v>
      </c>
      <c r="C2699" s="202" t="s">
        <v>9246</v>
      </c>
      <c r="D2699" s="152"/>
      <c r="E2699" s="154" t="s">
        <v>232</v>
      </c>
      <c r="F2699" s="180"/>
    </row>
    <row r="2700" customHeight="1" spans="1:6">
      <c r="A2700" s="9" t="s">
        <v>9247</v>
      </c>
      <c r="B2700" s="200" t="s">
        <v>9248</v>
      </c>
      <c r="C2700" s="202" t="s">
        <v>9249</v>
      </c>
      <c r="D2700" s="158" t="s">
        <v>9250</v>
      </c>
      <c r="E2700" s="154"/>
      <c r="F2700" s="180"/>
    </row>
    <row r="2701" customHeight="1" spans="1:6">
      <c r="A2701" s="9" t="s">
        <v>9251</v>
      </c>
      <c r="B2701" s="195" t="s">
        <v>9252</v>
      </c>
      <c r="C2701" s="202" t="s">
        <v>9253</v>
      </c>
      <c r="D2701" s="158" t="s">
        <v>9254</v>
      </c>
      <c r="E2701" s="154"/>
      <c r="F2701" s="180"/>
    </row>
    <row r="2702" customHeight="1" spans="1:6">
      <c r="A2702" s="9" t="s">
        <v>9255</v>
      </c>
      <c r="B2702" s="200" t="s">
        <v>9256</v>
      </c>
      <c r="C2702" s="202" t="s">
        <v>9257</v>
      </c>
      <c r="D2702" s="152"/>
      <c r="E2702" s="154" t="s">
        <v>232</v>
      </c>
      <c r="F2702" s="180"/>
    </row>
    <row r="2703" customHeight="1" spans="1:6">
      <c r="A2703" s="9" t="s">
        <v>9258</v>
      </c>
      <c r="B2703" s="200" t="s">
        <v>9259</v>
      </c>
      <c r="C2703" s="202" t="s">
        <v>9260</v>
      </c>
      <c r="D2703" s="152" t="s">
        <v>9261</v>
      </c>
      <c r="E2703" s="154" t="s">
        <v>104</v>
      </c>
      <c r="F2703" s="180"/>
    </row>
    <row r="2704" customHeight="1" spans="1:6">
      <c r="A2704" s="9" t="s">
        <v>9262</v>
      </c>
      <c r="B2704" s="194" t="s">
        <v>9263</v>
      </c>
      <c r="C2704" s="264" t="s">
        <v>9264</v>
      </c>
      <c r="D2704" s="194"/>
      <c r="E2704" s="194" t="s">
        <v>202</v>
      </c>
      <c r="F2704" s="194"/>
    </row>
    <row r="2705" customHeight="1" spans="1:6">
      <c r="A2705" s="9" t="s">
        <v>9265</v>
      </c>
      <c r="B2705" s="200" t="s">
        <v>9266</v>
      </c>
      <c r="C2705" s="236" t="s">
        <v>9267</v>
      </c>
      <c r="D2705" s="194" t="s">
        <v>9268</v>
      </c>
      <c r="E2705" s="193" t="s">
        <v>216</v>
      </c>
      <c r="F2705" s="191"/>
    </row>
    <row r="2706" customHeight="1" spans="1:6">
      <c r="A2706" s="9" t="s">
        <v>9269</v>
      </c>
      <c r="B2706" s="195" t="s">
        <v>9270</v>
      </c>
      <c r="C2706" s="202" t="s">
        <v>9271</v>
      </c>
      <c r="D2706" s="152"/>
      <c r="E2706" s="154" t="s">
        <v>232</v>
      </c>
      <c r="F2706" s="180"/>
    </row>
    <row r="2707" customHeight="1" spans="1:6">
      <c r="A2707" s="9" t="s">
        <v>9272</v>
      </c>
      <c r="B2707" s="195" t="s">
        <v>9273</v>
      </c>
      <c r="C2707" s="202" t="s">
        <v>9274</v>
      </c>
      <c r="D2707" s="152"/>
      <c r="E2707" s="154" t="s">
        <v>232</v>
      </c>
      <c r="F2707" s="180"/>
    </row>
    <row r="2708" customHeight="1" spans="1:6">
      <c r="A2708" s="9" t="s">
        <v>9275</v>
      </c>
      <c r="B2708" s="201" t="s">
        <v>9276</v>
      </c>
      <c r="C2708" s="202" t="s">
        <v>9277</v>
      </c>
      <c r="D2708" s="154"/>
      <c r="E2708" s="154" t="s">
        <v>58</v>
      </c>
      <c r="F2708" s="180"/>
    </row>
    <row r="2709" customHeight="1" spans="1:6">
      <c r="A2709" s="9" t="s">
        <v>9278</v>
      </c>
      <c r="B2709" s="214" t="s">
        <v>9279</v>
      </c>
      <c r="C2709" s="214" t="s">
        <v>9280</v>
      </c>
      <c r="D2709" s="194"/>
      <c r="E2709" s="204" t="s">
        <v>92</v>
      </c>
      <c r="F2709" s="204"/>
    </row>
    <row r="2710" customHeight="1" spans="1:6">
      <c r="A2710" s="9" t="s">
        <v>9281</v>
      </c>
      <c r="B2710" s="223" t="s">
        <v>9282</v>
      </c>
      <c r="C2710" s="223" t="s">
        <v>9283</v>
      </c>
      <c r="D2710" s="194"/>
      <c r="E2710" s="204" t="s">
        <v>92</v>
      </c>
      <c r="F2710" s="204"/>
    </row>
    <row r="2711" customHeight="1" spans="1:6">
      <c r="A2711" s="9" t="s">
        <v>9284</v>
      </c>
      <c r="B2711" s="200" t="s">
        <v>9285</v>
      </c>
      <c r="C2711" s="202" t="s">
        <v>9286</v>
      </c>
      <c r="D2711" s="152"/>
      <c r="E2711" s="154" t="s">
        <v>232</v>
      </c>
      <c r="F2711" s="180"/>
    </row>
    <row r="2712" customHeight="1" spans="1:6">
      <c r="A2712" s="9" t="s">
        <v>9287</v>
      </c>
      <c r="B2712" s="214" t="s">
        <v>9288</v>
      </c>
      <c r="C2712" s="214" t="s">
        <v>9289</v>
      </c>
      <c r="D2712" s="194"/>
      <c r="E2712" s="204" t="s">
        <v>92</v>
      </c>
      <c r="F2712" s="204"/>
    </row>
    <row r="2713" customHeight="1" spans="1:6">
      <c r="A2713" s="9" t="s">
        <v>9290</v>
      </c>
      <c r="B2713" s="200" t="s">
        <v>9291</v>
      </c>
      <c r="C2713" s="236" t="s">
        <v>9292</v>
      </c>
      <c r="D2713" s="194"/>
      <c r="E2713" s="193" t="s">
        <v>436</v>
      </c>
      <c r="F2713" s="191"/>
    </row>
    <row r="2714" customHeight="1" spans="1:6">
      <c r="A2714" s="9" t="s">
        <v>9293</v>
      </c>
      <c r="B2714" s="201" t="s">
        <v>9294</v>
      </c>
      <c r="C2714" s="202" t="s">
        <v>9295</v>
      </c>
      <c r="D2714" s="154"/>
      <c r="E2714" s="210" t="s">
        <v>104</v>
      </c>
      <c r="F2714" s="211"/>
    </row>
    <row r="2715" customHeight="1" spans="1:6">
      <c r="A2715" s="9" t="s">
        <v>9296</v>
      </c>
      <c r="B2715" s="194" t="s">
        <v>9297</v>
      </c>
      <c r="C2715" s="203" t="s">
        <v>9298</v>
      </c>
      <c r="D2715" s="194"/>
      <c r="E2715" s="194" t="s">
        <v>253</v>
      </c>
      <c r="F2715" s="194"/>
    </row>
    <row r="2716" customHeight="1" spans="1:6">
      <c r="A2716" s="9" t="s">
        <v>9299</v>
      </c>
      <c r="B2716" s="200" t="s">
        <v>9300</v>
      </c>
      <c r="C2716" s="264" t="s">
        <v>9301</v>
      </c>
      <c r="D2716" s="194" t="s">
        <v>9302</v>
      </c>
      <c r="E2716" s="194" t="s">
        <v>243</v>
      </c>
      <c r="F2716" s="194"/>
    </row>
    <row r="2717" customHeight="1" spans="1:6">
      <c r="A2717" s="9" t="s">
        <v>9303</v>
      </c>
      <c r="B2717" s="197" t="s">
        <v>9304</v>
      </c>
      <c r="C2717" s="196" t="s">
        <v>9305</v>
      </c>
      <c r="D2717" s="197"/>
      <c r="E2717" s="197" t="s">
        <v>561</v>
      </c>
      <c r="F2717" s="197"/>
    </row>
    <row r="2718" customHeight="1" spans="1:6">
      <c r="A2718" s="9" t="s">
        <v>9306</v>
      </c>
      <c r="B2718" s="195" t="s">
        <v>9307</v>
      </c>
      <c r="C2718" s="202" t="s">
        <v>9308</v>
      </c>
      <c r="D2718" s="152"/>
      <c r="E2718" s="154" t="s">
        <v>181</v>
      </c>
      <c r="F2718" s="180"/>
    </row>
    <row r="2719" customHeight="1" spans="1:6">
      <c r="A2719" s="9" t="s">
        <v>9309</v>
      </c>
      <c r="B2719" s="215" t="s">
        <v>9310</v>
      </c>
      <c r="C2719" s="205" t="s">
        <v>9311</v>
      </c>
      <c r="D2719" s="342" t="s">
        <v>9312</v>
      </c>
      <c r="E2719" s="193" t="s">
        <v>120</v>
      </c>
      <c r="F2719" s="216" t="s">
        <v>9313</v>
      </c>
    </row>
    <row r="2720" customHeight="1" spans="1:6">
      <c r="A2720" s="9" t="s">
        <v>9314</v>
      </c>
      <c r="B2720" s="200" t="s">
        <v>9315</v>
      </c>
      <c r="C2720" s="202" t="s">
        <v>9316</v>
      </c>
      <c r="D2720" s="152"/>
      <c r="E2720" s="154" t="s">
        <v>232</v>
      </c>
      <c r="F2720" s="180"/>
    </row>
    <row r="2721" customHeight="1" spans="1:6">
      <c r="A2721" s="9" t="s">
        <v>9317</v>
      </c>
      <c r="B2721" s="195" t="s">
        <v>9318</v>
      </c>
      <c r="C2721" s="202" t="s">
        <v>9319</v>
      </c>
      <c r="D2721" s="152"/>
      <c r="E2721" s="154"/>
      <c r="F2721" s="211"/>
    </row>
    <row r="2722" customHeight="1" spans="1:6">
      <c r="A2722" s="9" t="s">
        <v>9320</v>
      </c>
      <c r="B2722" s="195" t="s">
        <v>9321</v>
      </c>
      <c r="C2722" s="202" t="s">
        <v>9322</v>
      </c>
      <c r="D2722" s="152"/>
      <c r="E2722" s="154" t="s">
        <v>232</v>
      </c>
      <c r="F2722" s="180"/>
    </row>
    <row r="2723" customHeight="1" spans="1:6">
      <c r="A2723" s="9" t="s">
        <v>9323</v>
      </c>
      <c r="B2723" s="200" t="s">
        <v>9324</v>
      </c>
      <c r="C2723" s="202" t="s">
        <v>9325</v>
      </c>
      <c r="D2723" s="152"/>
      <c r="E2723" s="154" t="s">
        <v>232</v>
      </c>
      <c r="F2723" s="180"/>
    </row>
    <row r="2724" customHeight="1" spans="1:6">
      <c r="A2724" s="9" t="s">
        <v>9326</v>
      </c>
      <c r="B2724" s="195" t="s">
        <v>9327</v>
      </c>
      <c r="C2724" s="202" t="s">
        <v>9328</v>
      </c>
      <c r="D2724" s="152"/>
      <c r="E2724" s="154" t="s">
        <v>232</v>
      </c>
      <c r="F2724" s="180"/>
    </row>
    <row r="2725" customHeight="1" spans="1:6">
      <c r="A2725" s="9" t="s">
        <v>9329</v>
      </c>
      <c r="B2725" s="195" t="s">
        <v>9330</v>
      </c>
      <c r="C2725" s="202" t="s">
        <v>9331</v>
      </c>
      <c r="D2725" s="152"/>
      <c r="E2725" s="154" t="s">
        <v>232</v>
      </c>
      <c r="F2725" s="180"/>
    </row>
    <row r="2726" customHeight="1" spans="1:6">
      <c r="A2726" s="9" t="s">
        <v>9332</v>
      </c>
      <c r="B2726" s="195" t="s">
        <v>9333</v>
      </c>
      <c r="C2726" s="202" t="s">
        <v>9334</v>
      </c>
      <c r="D2726" s="152"/>
      <c r="E2726" s="154" t="s">
        <v>211</v>
      </c>
      <c r="F2726" s="180"/>
    </row>
    <row r="2727" customHeight="1" spans="1:6">
      <c r="A2727" s="9" t="s">
        <v>9335</v>
      </c>
      <c r="B2727" s="195" t="s">
        <v>9336</v>
      </c>
      <c r="C2727" s="212" t="s">
        <v>9337</v>
      </c>
      <c r="D2727" s="197"/>
      <c r="E2727" s="154" t="s">
        <v>104</v>
      </c>
      <c r="F2727" s="199"/>
    </row>
    <row r="2728" customHeight="1" spans="1:6">
      <c r="A2728" s="9" t="s">
        <v>9338</v>
      </c>
      <c r="B2728" s="200" t="s">
        <v>9339</v>
      </c>
      <c r="C2728" s="202" t="s">
        <v>9340</v>
      </c>
      <c r="D2728" s="152"/>
      <c r="E2728" s="154"/>
      <c r="F2728" s="180"/>
    </row>
    <row r="2729" customHeight="1" spans="1:6">
      <c r="A2729" s="9" t="s">
        <v>9341</v>
      </c>
      <c r="B2729" s="153" t="s">
        <v>9342</v>
      </c>
      <c r="C2729" s="202" t="s">
        <v>9343</v>
      </c>
      <c r="D2729" s="154">
        <v>996075961</v>
      </c>
      <c r="E2729" s="154" t="s">
        <v>104</v>
      </c>
      <c r="F2729" s="180"/>
    </row>
    <row r="2730" customHeight="1" spans="1:6">
      <c r="A2730" s="9" t="s">
        <v>9344</v>
      </c>
      <c r="B2730" s="200" t="s">
        <v>9345</v>
      </c>
      <c r="C2730" s="202" t="s">
        <v>9346</v>
      </c>
      <c r="D2730" s="152"/>
      <c r="E2730" s="154" t="s">
        <v>232</v>
      </c>
      <c r="F2730" s="180"/>
    </row>
    <row r="2731" customHeight="1" spans="1:6">
      <c r="A2731" s="9" t="s">
        <v>9347</v>
      </c>
      <c r="B2731" s="195" t="s">
        <v>9348</v>
      </c>
      <c r="C2731" s="202" t="s">
        <v>9349</v>
      </c>
      <c r="D2731" s="152"/>
      <c r="E2731" s="154" t="s">
        <v>104</v>
      </c>
      <c r="F2731" s="180"/>
    </row>
    <row r="2732" customHeight="1" spans="1:6">
      <c r="A2732" s="9" t="s">
        <v>9350</v>
      </c>
      <c r="B2732" s="201" t="s">
        <v>9351</v>
      </c>
      <c r="C2732" s="202" t="s">
        <v>9352</v>
      </c>
      <c r="D2732" s="154"/>
      <c r="E2732" s="154" t="s">
        <v>211</v>
      </c>
      <c r="F2732" s="180"/>
    </row>
    <row r="2733" customHeight="1" spans="1:6">
      <c r="A2733" s="9" t="s">
        <v>9353</v>
      </c>
      <c r="B2733" s="195" t="s">
        <v>9354</v>
      </c>
      <c r="C2733" s="212" t="s">
        <v>9355</v>
      </c>
      <c r="D2733" s="197" t="s">
        <v>9356</v>
      </c>
      <c r="E2733" s="198" t="s">
        <v>216</v>
      </c>
      <c r="F2733" s="199"/>
    </row>
    <row r="2734" customHeight="1" spans="1:6">
      <c r="A2734" s="9" t="s">
        <v>9357</v>
      </c>
      <c r="B2734" s="195" t="s">
        <v>9358</v>
      </c>
      <c r="C2734" s="202" t="s">
        <v>9359</v>
      </c>
      <c r="D2734" s="152"/>
      <c r="E2734" s="154" t="s">
        <v>181</v>
      </c>
      <c r="F2734" s="180"/>
    </row>
    <row r="2735" customHeight="1" spans="1:6">
      <c r="A2735" s="9" t="s">
        <v>9360</v>
      </c>
      <c r="B2735" s="215" t="s">
        <v>9361</v>
      </c>
      <c r="C2735" s="205" t="s">
        <v>9362</v>
      </c>
      <c r="D2735" s="227" t="s">
        <v>9363</v>
      </c>
      <c r="E2735" s="193" t="s">
        <v>120</v>
      </c>
      <c r="F2735" s="216"/>
    </row>
    <row r="2736" customHeight="1" spans="1:6">
      <c r="A2736" s="9" t="s">
        <v>9364</v>
      </c>
      <c r="B2736" s="160" t="s">
        <v>9365</v>
      </c>
      <c r="C2736" s="160" t="s">
        <v>9366</v>
      </c>
      <c r="D2736" s="194"/>
      <c r="E2736" s="204" t="s">
        <v>92</v>
      </c>
      <c r="F2736" s="204"/>
    </row>
    <row r="2737" customHeight="1" spans="1:6">
      <c r="A2737" s="9" t="s">
        <v>9367</v>
      </c>
      <c r="B2737" s="161" t="s">
        <v>9368</v>
      </c>
      <c r="C2737" s="161" t="s">
        <v>9369</v>
      </c>
      <c r="D2737" s="194"/>
      <c r="E2737" s="204" t="s">
        <v>92</v>
      </c>
      <c r="F2737" s="204"/>
    </row>
    <row r="2738" customHeight="1" spans="1:6">
      <c r="A2738" s="9" t="s">
        <v>9370</v>
      </c>
      <c r="B2738" s="222" t="str">
        <f>IFERROR(__xludf.DUMMYFUNCTION("""COMPUTED_VALUE"""),"Asiya Umer Ali /Ato/")</f>
        <v>Asiya Umer Ali /Ato/</v>
      </c>
      <c r="C2738" s="222" t="str">
        <f>IFERROR(__xludf.DUMMYFUNCTION("""COMPUTED_VALUE"""),"አስያ ዑመር አሊ /አቶ/")</f>
        <v>አስያ ዑመር አሊ /አቶ/</v>
      </c>
      <c r="D2738" s="222" t="str">
        <f>IFERROR(__xludf.DUMMYFUNCTION("""COMPUTED_VALUE"""),"0911-201376")</f>
        <v>0911-201376</v>
      </c>
      <c r="E2738" s="222" t="str">
        <f>IFERROR(__xludf.DUMMYFUNCTION("""COMPUTED_VALUE"""),"Addis Ababa")</f>
        <v>Addis Ababa</v>
      </c>
      <c r="F2738" s="222"/>
    </row>
    <row r="2739" customHeight="1" spans="1:6">
      <c r="A2739" s="9" t="s">
        <v>9371</v>
      </c>
      <c r="B2739" s="158" t="s">
        <v>9372</v>
      </c>
      <c r="C2739" s="202" t="s">
        <v>9373</v>
      </c>
      <c r="D2739" s="158" t="s">
        <v>9374</v>
      </c>
      <c r="E2739" s="154" t="s">
        <v>211</v>
      </c>
      <c r="F2739" s="180"/>
    </row>
    <row r="2740" customHeight="1" spans="1:6">
      <c r="A2740" s="9" t="s">
        <v>9375</v>
      </c>
      <c r="B2740" s="200" t="s">
        <v>9376</v>
      </c>
      <c r="C2740" s="236" t="s">
        <v>9377</v>
      </c>
      <c r="D2740" s="194"/>
      <c r="E2740" s="193" t="s">
        <v>202</v>
      </c>
      <c r="F2740" s="191"/>
    </row>
    <row r="2741" customHeight="1" spans="1:6">
      <c r="A2741" s="9" t="s">
        <v>9378</v>
      </c>
      <c r="B2741" s="223" t="s">
        <v>9379</v>
      </c>
      <c r="C2741" s="223" t="s">
        <v>9380</v>
      </c>
      <c r="D2741" s="204" t="s">
        <v>9381</v>
      </c>
      <c r="E2741" s="204" t="s">
        <v>92</v>
      </c>
      <c r="F2741" s="204"/>
    </row>
    <row r="2742" customHeight="1" spans="1:6">
      <c r="A2742" s="9" t="s">
        <v>9382</v>
      </c>
      <c r="B2742" s="201" t="s">
        <v>9383</v>
      </c>
      <c r="C2742" s="202" t="s">
        <v>9384</v>
      </c>
      <c r="D2742" s="154" t="s">
        <v>9385</v>
      </c>
      <c r="E2742" s="154"/>
      <c r="F2742" s="180"/>
    </row>
    <row r="2743" customHeight="1" spans="1:6">
      <c r="A2743" s="9" t="s">
        <v>9386</v>
      </c>
      <c r="B2743" s="200" t="s">
        <v>9387</v>
      </c>
      <c r="C2743" s="202" t="s">
        <v>9388</v>
      </c>
      <c r="D2743" s="154" t="s">
        <v>9389</v>
      </c>
      <c r="E2743" s="210" t="s">
        <v>104</v>
      </c>
      <c r="F2743" s="211"/>
    </row>
    <row r="2744" customHeight="1" spans="1:6">
      <c r="A2744" s="9" t="s">
        <v>9390</v>
      </c>
      <c r="B2744" s="200" t="s">
        <v>9391</v>
      </c>
      <c r="C2744" s="202" t="s">
        <v>9392</v>
      </c>
      <c r="D2744" s="152" t="s">
        <v>9393</v>
      </c>
      <c r="E2744" s="154"/>
      <c r="F2744" s="180"/>
    </row>
    <row r="2745" customHeight="1" spans="1:6">
      <c r="A2745" s="9" t="s">
        <v>9394</v>
      </c>
      <c r="B2745" s="195" t="s">
        <v>9395</v>
      </c>
      <c r="C2745" s="212" t="s">
        <v>9396</v>
      </c>
      <c r="D2745" s="197"/>
      <c r="E2745" s="198" t="s">
        <v>2783</v>
      </c>
      <c r="F2745" s="199"/>
    </row>
    <row r="2746" customHeight="1" spans="1:6">
      <c r="A2746" s="9" t="s">
        <v>9397</v>
      </c>
      <c r="B2746" s="214" t="s">
        <v>9398</v>
      </c>
      <c r="C2746" s="214" t="s">
        <v>9399</v>
      </c>
      <c r="D2746" s="204" t="s">
        <v>9400</v>
      </c>
      <c r="E2746" s="204" t="s">
        <v>92</v>
      </c>
      <c r="F2746" s="204"/>
    </row>
    <row r="2747" customHeight="1" spans="1:6">
      <c r="A2747" s="9" t="s">
        <v>9401</v>
      </c>
      <c r="B2747" s="214" t="s">
        <v>9402</v>
      </c>
      <c r="C2747" s="214" t="s">
        <v>9403</v>
      </c>
      <c r="D2747" s="194"/>
      <c r="E2747" s="204" t="s">
        <v>92</v>
      </c>
      <c r="F2747" s="204"/>
    </row>
    <row r="2748" customHeight="1" spans="1:6">
      <c r="A2748" s="9" t="s">
        <v>9404</v>
      </c>
      <c r="B2748" s="200" t="s">
        <v>9405</v>
      </c>
      <c r="C2748" s="202" t="s">
        <v>9406</v>
      </c>
      <c r="D2748" s="152"/>
      <c r="E2748" s="154" t="s">
        <v>232</v>
      </c>
      <c r="F2748" s="180"/>
    </row>
    <row r="2749" customHeight="1" spans="1:6">
      <c r="A2749" s="9" t="s">
        <v>9407</v>
      </c>
      <c r="B2749" s="276" t="str">
        <f>IFERROR(__xludf.DUMMYFUNCTION("""COMPUTED_VALUE"""),"Aslefech Tsegaye Chefek /W/o/")</f>
        <v>Aslefech Tsegaye Chefek /W/o/</v>
      </c>
      <c r="C2749" s="276" t="str">
        <f>IFERROR(__xludf.DUMMYFUNCTION("""COMPUTED_VALUE"""),"አሰለፈች ፀጋዬ ጨፍቅ /ወ/ሮ/")</f>
        <v>አሰለፈች ፀጋዬ ጨፍቅ /ወ/ሮ/</v>
      </c>
      <c r="D2749" s="276" t="str">
        <f>IFERROR(__xludf.DUMMYFUNCTION("""COMPUTED_VALUE"""),"0913-281965
0973-739924")</f>
        <v>0913-281965
0973-739924</v>
      </c>
      <c r="E2749" s="276" t="str">
        <f>IFERROR(__xludf.DUMMYFUNCTION("""COMPUTED_VALUE"""),"Debub")</f>
        <v>Debub</v>
      </c>
      <c r="F2749" s="276" t="str">
        <f>IFERROR(__xludf.DUMMYFUNCTION("""COMPUTED_VALUE"""),"yeabtsega190@gmail.com")</f>
        <v>yeabtsega190@gmail.com</v>
      </c>
    </row>
    <row r="2750" customHeight="1" spans="1:6">
      <c r="A2750" s="9" t="s">
        <v>9408</v>
      </c>
      <c r="B2750" s="222" t="str">
        <f>IFERROR(__xludf.DUMMYFUNCTION("""COMPUTED_VALUE"""),"Asma Beshir Birru")</f>
        <v>Asma Beshir Birru</v>
      </c>
      <c r="C2750" s="222" t="str">
        <f>IFERROR(__xludf.DUMMYFUNCTION("""COMPUTED_VALUE"""),"አስማ በሺር ብሩ")</f>
        <v>አስማ በሺር ብሩ</v>
      </c>
      <c r="D2750" s="222" t="str">
        <f>IFERROR(__xludf.DUMMYFUNCTION("""COMPUTED_VALUE"""),"911926367")</f>
        <v>911926367</v>
      </c>
      <c r="E2750" s="222" t="str">
        <f>IFERROR(__xludf.DUMMYFUNCTION("""COMPUTED_VALUE"""),"Addis Ababa")</f>
        <v>Addis Ababa</v>
      </c>
      <c r="F2750" s="222"/>
    </row>
    <row r="2751" customHeight="1" spans="1:6">
      <c r="A2751" s="9" t="s">
        <v>9409</v>
      </c>
      <c r="B2751" s="200" t="s">
        <v>9410</v>
      </c>
      <c r="C2751" s="202" t="s">
        <v>9411</v>
      </c>
      <c r="D2751" s="152"/>
      <c r="E2751" s="154" t="s">
        <v>104</v>
      </c>
      <c r="F2751" s="180"/>
    </row>
    <row r="2752" customHeight="1" spans="1:6">
      <c r="A2752" s="9" t="s">
        <v>9412</v>
      </c>
      <c r="B2752" s="223" t="s">
        <v>9413</v>
      </c>
      <c r="C2752" s="223" t="s">
        <v>9414</v>
      </c>
      <c r="D2752" s="194"/>
      <c r="E2752" s="204" t="s">
        <v>92</v>
      </c>
      <c r="F2752" s="204"/>
    </row>
    <row r="2753" customHeight="1" spans="1:6">
      <c r="A2753" s="9" t="s">
        <v>9415</v>
      </c>
      <c r="B2753" s="200" t="s">
        <v>9416</v>
      </c>
      <c r="C2753" s="202" t="s">
        <v>9417</v>
      </c>
      <c r="D2753" s="152" t="s">
        <v>9418</v>
      </c>
      <c r="E2753" s="154" t="s">
        <v>232</v>
      </c>
      <c r="F2753" s="180"/>
    </row>
    <row r="2754" customHeight="1" spans="1:6">
      <c r="A2754" s="9" t="s">
        <v>9419</v>
      </c>
      <c r="B2754" s="180" t="s">
        <v>9420</v>
      </c>
      <c r="C2754" s="243" t="s">
        <v>9421</v>
      </c>
      <c r="D2754" s="154"/>
      <c r="E2754" s="158" t="s">
        <v>243</v>
      </c>
      <c r="F2754" s="153"/>
    </row>
    <row r="2755" customHeight="1" spans="1:6">
      <c r="A2755" s="9" t="s">
        <v>9422</v>
      </c>
      <c r="B2755" s="195" t="s">
        <v>9423</v>
      </c>
      <c r="C2755" s="202" t="s">
        <v>9424</v>
      </c>
      <c r="D2755" s="152"/>
      <c r="E2755" s="154" t="s">
        <v>104</v>
      </c>
      <c r="F2755" s="180"/>
    </row>
    <row r="2756" customHeight="1" spans="1:6">
      <c r="A2756" s="9" t="s">
        <v>9425</v>
      </c>
      <c r="B2756" s="153" t="s">
        <v>9426</v>
      </c>
      <c r="C2756" s="202" t="s">
        <v>9427</v>
      </c>
      <c r="D2756" s="154"/>
      <c r="E2756" s="154" t="s">
        <v>104</v>
      </c>
      <c r="F2756" s="180"/>
    </row>
    <row r="2757" customHeight="1" spans="1:6">
      <c r="A2757" s="9" t="s">
        <v>9428</v>
      </c>
      <c r="B2757" s="180" t="s">
        <v>9429</v>
      </c>
      <c r="C2757" s="243" t="s">
        <v>9430</v>
      </c>
      <c r="D2757" s="154"/>
      <c r="E2757" s="158" t="s">
        <v>243</v>
      </c>
      <c r="F2757" s="153"/>
    </row>
    <row r="2758" customHeight="1" spans="1:6">
      <c r="A2758" s="9" t="s">
        <v>9431</v>
      </c>
      <c r="B2758" s="200" t="s">
        <v>9432</v>
      </c>
      <c r="C2758" s="236" t="s">
        <v>9433</v>
      </c>
      <c r="D2758" s="194" t="s">
        <v>9434</v>
      </c>
      <c r="E2758" s="193" t="s">
        <v>216</v>
      </c>
      <c r="F2758" s="191"/>
    </row>
    <row r="2759" customHeight="1" spans="1:6">
      <c r="A2759" s="9" t="s">
        <v>9435</v>
      </c>
      <c r="B2759" s="200" t="s">
        <v>9436</v>
      </c>
      <c r="C2759" s="202" t="s">
        <v>9437</v>
      </c>
      <c r="D2759" s="152" t="s">
        <v>9438</v>
      </c>
      <c r="E2759" s="154" t="s">
        <v>243</v>
      </c>
      <c r="F2759" s="180"/>
    </row>
    <row r="2760" customHeight="1" spans="1:6">
      <c r="A2760" s="9" t="s">
        <v>9439</v>
      </c>
      <c r="B2760" s="238" t="s">
        <v>9440</v>
      </c>
      <c r="C2760" s="202" t="s">
        <v>9441</v>
      </c>
      <c r="D2760" s="153"/>
      <c r="E2760" s="180" t="s">
        <v>104</v>
      </c>
      <c r="F2760" s="180"/>
    </row>
    <row r="2761" customHeight="1" spans="1:6">
      <c r="A2761" s="9" t="s">
        <v>9442</v>
      </c>
      <c r="B2761" s="200" t="s">
        <v>9443</v>
      </c>
      <c r="C2761" s="202" t="s">
        <v>9444</v>
      </c>
      <c r="D2761" s="152"/>
      <c r="E2761" s="154" t="s">
        <v>232</v>
      </c>
      <c r="F2761" s="180"/>
    </row>
    <row r="2762" customHeight="1" spans="1:6">
      <c r="A2762" s="9" t="s">
        <v>9445</v>
      </c>
      <c r="B2762" s="195" t="s">
        <v>9446</v>
      </c>
      <c r="C2762" s="202" t="s">
        <v>9447</v>
      </c>
      <c r="D2762" s="152"/>
      <c r="E2762" s="154" t="s">
        <v>232</v>
      </c>
      <c r="F2762" s="180"/>
    </row>
    <row r="2763" customHeight="1" spans="1:6">
      <c r="A2763" s="9" t="s">
        <v>9448</v>
      </c>
      <c r="B2763" s="200" t="s">
        <v>9449</v>
      </c>
      <c r="C2763" s="246" t="s">
        <v>9450</v>
      </c>
      <c r="D2763" s="194"/>
      <c r="E2763" s="194" t="s">
        <v>202</v>
      </c>
      <c r="F2763" s="194"/>
    </row>
    <row r="2764" customHeight="1" spans="1:6">
      <c r="A2764" s="9" t="s">
        <v>9451</v>
      </c>
      <c r="B2764" s="153" t="s">
        <v>9452</v>
      </c>
      <c r="C2764" s="202" t="s">
        <v>9453</v>
      </c>
      <c r="D2764" s="154">
        <v>930867242</v>
      </c>
      <c r="E2764" s="210" t="s">
        <v>104</v>
      </c>
      <c r="F2764" s="211"/>
    </row>
    <row r="2765" customHeight="1" spans="1:6">
      <c r="A2765" s="9" t="s">
        <v>9454</v>
      </c>
      <c r="B2765" s="195" t="s">
        <v>9455</v>
      </c>
      <c r="C2765" s="202" t="s">
        <v>9456</v>
      </c>
      <c r="D2765" s="152"/>
      <c r="E2765" s="154" t="s">
        <v>104</v>
      </c>
      <c r="F2765" s="180"/>
    </row>
    <row r="2766" customHeight="1" spans="1:6">
      <c r="A2766" s="9" t="s">
        <v>9457</v>
      </c>
      <c r="B2766" s="205" t="s">
        <v>9458</v>
      </c>
      <c r="C2766" s="205" t="s">
        <v>9459</v>
      </c>
      <c r="D2766" s="206" t="s">
        <v>9460</v>
      </c>
      <c r="E2766" s="193" t="s">
        <v>120</v>
      </c>
      <c r="F2766" s="221" t="s">
        <v>9461</v>
      </c>
    </row>
    <row r="2767" customHeight="1" spans="1:6">
      <c r="A2767" s="9" t="s">
        <v>9462</v>
      </c>
      <c r="B2767" s="201" t="s">
        <v>9463</v>
      </c>
      <c r="C2767" s="202" t="s">
        <v>9464</v>
      </c>
      <c r="D2767" s="153"/>
      <c r="E2767" s="180" t="s">
        <v>216</v>
      </c>
      <c r="F2767" s="180"/>
    </row>
    <row r="2768" customHeight="1" spans="1:6">
      <c r="A2768" s="9" t="s">
        <v>9465</v>
      </c>
      <c r="B2768" s="153" t="s">
        <v>9466</v>
      </c>
      <c r="C2768" s="202" t="s">
        <v>9467</v>
      </c>
      <c r="D2768" s="158"/>
      <c r="E2768" s="154" t="s">
        <v>232</v>
      </c>
      <c r="F2768" s="180"/>
    </row>
    <row r="2769" customHeight="1" spans="1:6">
      <c r="A2769" s="9" t="s">
        <v>9468</v>
      </c>
      <c r="B2769" s="200" t="s">
        <v>9469</v>
      </c>
      <c r="C2769" s="202" t="s">
        <v>9470</v>
      </c>
      <c r="D2769" s="158" t="s">
        <v>9471</v>
      </c>
      <c r="E2769" s="154" t="s">
        <v>310</v>
      </c>
      <c r="F2769" s="180"/>
    </row>
    <row r="2770" customHeight="1" spans="1:6">
      <c r="A2770" s="9" t="s">
        <v>9472</v>
      </c>
      <c r="B2770" s="195" t="s">
        <v>9473</v>
      </c>
      <c r="C2770" s="196" t="s">
        <v>9474</v>
      </c>
      <c r="D2770" s="197"/>
      <c r="E2770" s="197" t="s">
        <v>125</v>
      </c>
      <c r="F2770" s="197"/>
    </row>
    <row r="2771" customHeight="1" spans="1:6">
      <c r="A2771" s="9" t="s">
        <v>9475</v>
      </c>
      <c r="B2771" s="194" t="s">
        <v>9476</v>
      </c>
      <c r="C2771" s="202" t="s">
        <v>9477</v>
      </c>
      <c r="D2771" s="248"/>
      <c r="E2771" s="154" t="s">
        <v>104</v>
      </c>
      <c r="F2771" s="180"/>
    </row>
    <row r="2772" customHeight="1" spans="1:6">
      <c r="A2772" s="9" t="s">
        <v>9478</v>
      </c>
      <c r="B2772" s="201" t="s">
        <v>9479</v>
      </c>
      <c r="C2772" s="202" t="s">
        <v>9480</v>
      </c>
      <c r="D2772" s="154" t="s">
        <v>9481</v>
      </c>
      <c r="E2772" s="154" t="s">
        <v>1395</v>
      </c>
      <c r="F2772" s="180"/>
    </row>
    <row r="2773" customHeight="1" spans="1:6">
      <c r="A2773" s="9" t="s">
        <v>9482</v>
      </c>
      <c r="B2773" s="153" t="s">
        <v>9483</v>
      </c>
      <c r="C2773" s="202" t="s">
        <v>9484</v>
      </c>
      <c r="D2773" s="154"/>
      <c r="E2773" s="154" t="s">
        <v>202</v>
      </c>
      <c r="F2773" s="180"/>
    </row>
    <row r="2774" customHeight="1" spans="1:6">
      <c r="A2774" s="9" t="s">
        <v>9485</v>
      </c>
      <c r="B2774" s="195" t="s">
        <v>9486</v>
      </c>
      <c r="C2774" s="202" t="s">
        <v>9487</v>
      </c>
      <c r="D2774" s="158"/>
      <c r="E2774" s="154"/>
      <c r="F2774" s="180"/>
    </row>
    <row r="2775" customHeight="1" spans="1:6">
      <c r="A2775" s="9" t="s">
        <v>9488</v>
      </c>
      <c r="B2775" s="223" t="s">
        <v>9489</v>
      </c>
      <c r="C2775" s="223" t="s">
        <v>9490</v>
      </c>
      <c r="D2775" s="204" t="s">
        <v>9491</v>
      </c>
      <c r="E2775" s="204" t="s">
        <v>92</v>
      </c>
      <c r="F2775" s="204"/>
    </row>
    <row r="2776" customHeight="1" spans="1:6">
      <c r="A2776" s="9" t="s">
        <v>9492</v>
      </c>
      <c r="B2776" s="222" t="str">
        <f>IFERROR(__xludf.DUMMYFUNCTION("""COMPUTED_VALUE"""),"Asmelash Demoz Gebru")</f>
        <v>Asmelash Demoz Gebru</v>
      </c>
      <c r="C2776" s="222" t="str">
        <f>IFERROR(__xludf.DUMMYFUNCTION("""COMPUTED_VALUE"""),"አስመላሽ ደሞዝ ገብሩ")</f>
        <v>አስመላሽ ደሞዝ ገብሩ</v>
      </c>
      <c r="D2776" s="222" t="str">
        <f>IFERROR(__xludf.DUMMYFUNCTION("""COMPUTED_VALUE"""),"0116689397
 0912147881")</f>
        <v>0116689397
 0912147881</v>
      </c>
      <c r="E2776" s="222" t="str">
        <f>IFERROR(__xludf.DUMMYFUNCTION("""COMPUTED_VALUE"""),"A/A")</f>
        <v>A/A</v>
      </c>
      <c r="F2776" s="222" t="str">
        <f>IFERROR(__xludf.DUMMYFUNCTION("""COMPUTED_VALUE"""),"lesanulesanu15@gmail.com")</f>
        <v>lesanulesanu15@gmail.com</v>
      </c>
    </row>
    <row r="2777" customHeight="1" spans="1:6">
      <c r="A2777" s="9" t="s">
        <v>9493</v>
      </c>
      <c r="B2777" s="153" t="s">
        <v>9494</v>
      </c>
      <c r="C2777" s="202" t="s">
        <v>9495</v>
      </c>
      <c r="D2777" s="341" t="s">
        <v>9496</v>
      </c>
      <c r="E2777" s="154" t="s">
        <v>211</v>
      </c>
      <c r="F2777" s="180"/>
    </row>
    <row r="2778" customHeight="1" spans="1:6">
      <c r="A2778" s="9" t="s">
        <v>9497</v>
      </c>
      <c r="B2778" s="220" t="str">
        <f>IFERROR(__xludf.DUMMYFUNCTION("""COMPUTED_VALUE"""),"Asmelash Fikadu Kurasem and Seblu Derse Mekonnen")</f>
        <v>Asmelash Fikadu Kurasem and Seblu Derse Mekonnen</v>
      </c>
      <c r="C2778" s="220" t="str">
        <f>IFERROR(__xludf.DUMMYFUNCTION("""COMPUTED_VALUE"""),"አሥመላሽ ፍቃዱ እና ሠብሉ ደረሰ")</f>
        <v>አሥመላሽ ፍቃዱ እና ሠብሉ ደረሰ</v>
      </c>
      <c r="D2778" s="220" t="str">
        <f>IFERROR(__xludf.DUMMYFUNCTION("""COMPUTED_VALUE"""),"0911696187
0911226951")</f>
        <v>0911696187
0911226951</v>
      </c>
      <c r="E2778" s="220" t="str">
        <f>IFERROR(__xludf.DUMMYFUNCTION("""COMPUTED_VALUE"""),"Addis Ababa")</f>
        <v>Addis Ababa</v>
      </c>
      <c r="F2778" s="220" t="str">
        <f>IFERROR(__xludf.DUMMYFUNCTION("""COMPUTED_VALUE"""),"sebludersse@gmail.com")</f>
        <v>sebludersse@gmail.com</v>
      </c>
    </row>
    <row r="2779" customHeight="1" spans="1:6">
      <c r="A2779" s="9" t="s">
        <v>9498</v>
      </c>
      <c r="B2779" s="201" t="s">
        <v>9499</v>
      </c>
      <c r="C2779" s="202" t="s">
        <v>9500</v>
      </c>
      <c r="D2779" s="154"/>
      <c r="E2779" s="154" t="s">
        <v>58</v>
      </c>
      <c r="F2779" s="180"/>
    </row>
    <row r="2780" customHeight="1" spans="1:6">
      <c r="A2780" s="9" t="s">
        <v>9501</v>
      </c>
      <c r="B2780" s="153" t="s">
        <v>9502</v>
      </c>
      <c r="C2780" s="196" t="s">
        <v>9503</v>
      </c>
      <c r="D2780" s="197"/>
      <c r="E2780" s="198" t="s">
        <v>216</v>
      </c>
      <c r="F2780" s="199"/>
    </row>
    <row r="2781" customHeight="1" spans="1:6">
      <c r="A2781" s="9" t="s">
        <v>9504</v>
      </c>
      <c r="B2781" s="197" t="s">
        <v>9505</v>
      </c>
      <c r="C2781" s="202" t="s">
        <v>9506</v>
      </c>
      <c r="D2781" s="248"/>
      <c r="E2781" s="154" t="s">
        <v>104</v>
      </c>
      <c r="F2781" s="180"/>
    </row>
    <row r="2782" customHeight="1" spans="1:6">
      <c r="A2782" s="9" t="s">
        <v>9507</v>
      </c>
      <c r="B2782" s="200" t="s">
        <v>9508</v>
      </c>
      <c r="C2782" s="202" t="s">
        <v>9509</v>
      </c>
      <c r="D2782" s="152"/>
      <c r="E2782" s="154" t="s">
        <v>232</v>
      </c>
      <c r="F2782" s="180"/>
    </row>
    <row r="2783" customHeight="1" spans="1:6">
      <c r="A2783" s="9" t="s">
        <v>9510</v>
      </c>
      <c r="B2783" s="233" t="s">
        <v>9511</v>
      </c>
      <c r="C2783" s="233" t="s">
        <v>9512</v>
      </c>
      <c r="D2783" s="204" t="s">
        <v>9513</v>
      </c>
      <c r="E2783" s="204" t="s">
        <v>605</v>
      </c>
      <c r="F2783" s="204" t="s">
        <v>9514</v>
      </c>
    </row>
    <row r="2784" customHeight="1" spans="1:6">
      <c r="A2784" s="9" t="s">
        <v>9515</v>
      </c>
      <c r="B2784" s="200" t="s">
        <v>9516</v>
      </c>
      <c r="C2784" s="202" t="s">
        <v>9517</v>
      </c>
      <c r="D2784" s="152" t="s">
        <v>9518</v>
      </c>
      <c r="E2784" s="154" t="s">
        <v>232</v>
      </c>
      <c r="F2784" s="180"/>
    </row>
    <row r="2785" customHeight="1" spans="1:6">
      <c r="A2785" s="9" t="s">
        <v>9519</v>
      </c>
      <c r="B2785" s="200" t="s">
        <v>9520</v>
      </c>
      <c r="C2785" s="202" t="s">
        <v>9521</v>
      </c>
      <c r="D2785" s="152"/>
      <c r="E2785" s="154" t="s">
        <v>232</v>
      </c>
      <c r="F2785" s="180"/>
    </row>
    <row r="2786" customHeight="1" spans="1:6">
      <c r="A2786" s="9" t="s">
        <v>9522</v>
      </c>
      <c r="B2786" s="214" t="s">
        <v>9523</v>
      </c>
      <c r="C2786" s="214" t="s">
        <v>9524</v>
      </c>
      <c r="D2786" s="194"/>
      <c r="E2786" s="204" t="s">
        <v>92</v>
      </c>
      <c r="F2786" s="204"/>
    </row>
    <row r="2787" customHeight="1" spans="1:6">
      <c r="A2787" s="9" t="s">
        <v>9525</v>
      </c>
      <c r="B2787" s="195" t="s">
        <v>9526</v>
      </c>
      <c r="C2787" s="202" t="s">
        <v>9527</v>
      </c>
      <c r="D2787" s="152" t="s">
        <v>9528</v>
      </c>
      <c r="E2787" s="154" t="s">
        <v>479</v>
      </c>
      <c r="F2787" s="180"/>
    </row>
    <row r="2788" customHeight="1" spans="1:6">
      <c r="A2788" s="9" t="s">
        <v>9529</v>
      </c>
      <c r="B2788" s="205" t="s">
        <v>9530</v>
      </c>
      <c r="C2788" s="205" t="s">
        <v>9531</v>
      </c>
      <c r="D2788" s="206" t="s">
        <v>9532</v>
      </c>
      <c r="E2788" s="193" t="s">
        <v>120</v>
      </c>
      <c r="F2788" s="221"/>
    </row>
    <row r="2789" customHeight="1" spans="1:6">
      <c r="A2789" s="9" t="s">
        <v>9533</v>
      </c>
      <c r="B2789" s="214" t="s">
        <v>9534</v>
      </c>
      <c r="C2789" s="214" t="s">
        <v>9535</v>
      </c>
      <c r="D2789" s="194"/>
      <c r="E2789" s="204" t="s">
        <v>92</v>
      </c>
      <c r="F2789" s="221"/>
    </row>
    <row r="2790" customHeight="1" spans="1:6">
      <c r="A2790" s="9" t="s">
        <v>9536</v>
      </c>
      <c r="B2790" s="204" t="s">
        <v>9537</v>
      </c>
      <c r="C2790" s="204" t="s">
        <v>9538</v>
      </c>
      <c r="D2790" s="194"/>
      <c r="E2790" s="204" t="s">
        <v>92</v>
      </c>
      <c r="F2790" s="204"/>
    </row>
    <row r="2791" customHeight="1" spans="1:6">
      <c r="A2791" s="9" t="s">
        <v>9539</v>
      </c>
      <c r="B2791" s="153" t="s">
        <v>9540</v>
      </c>
      <c r="C2791" s="202" t="s">
        <v>9541</v>
      </c>
      <c r="D2791" s="341" t="s">
        <v>9542</v>
      </c>
      <c r="E2791" s="154" t="s">
        <v>253</v>
      </c>
      <c r="F2791" s="180"/>
    </row>
    <row r="2792" customHeight="1" spans="1:6">
      <c r="A2792" s="9" t="s">
        <v>9543</v>
      </c>
      <c r="B2792" s="200" t="s">
        <v>9544</v>
      </c>
      <c r="C2792" s="202" t="s">
        <v>9545</v>
      </c>
      <c r="D2792" s="152"/>
      <c r="E2792" s="154"/>
      <c r="F2792" s="180"/>
    </row>
    <row r="2793" customHeight="1" spans="1:6">
      <c r="A2793" s="9" t="s">
        <v>9546</v>
      </c>
      <c r="B2793" s="214" t="s">
        <v>9547</v>
      </c>
      <c r="C2793" s="214" t="s">
        <v>9548</v>
      </c>
      <c r="D2793" s="194"/>
      <c r="E2793" s="204" t="s">
        <v>92</v>
      </c>
      <c r="F2793" s="204"/>
    </row>
    <row r="2794" customHeight="1" spans="1:6">
      <c r="A2794" s="9" t="s">
        <v>9549</v>
      </c>
      <c r="B2794" s="200" t="s">
        <v>9550</v>
      </c>
      <c r="C2794" s="202" t="s">
        <v>9551</v>
      </c>
      <c r="D2794" s="152"/>
      <c r="E2794" s="154" t="s">
        <v>232</v>
      </c>
      <c r="F2794" s="180"/>
    </row>
    <row r="2795" customHeight="1" spans="1:6">
      <c r="A2795" s="9" t="s">
        <v>9552</v>
      </c>
      <c r="B2795" s="200" t="s">
        <v>9553</v>
      </c>
      <c r="C2795" s="202" t="s">
        <v>9554</v>
      </c>
      <c r="D2795" s="152"/>
      <c r="E2795" s="154" t="s">
        <v>104</v>
      </c>
      <c r="F2795" s="180"/>
    </row>
    <row r="2796" customHeight="1" spans="1:6">
      <c r="A2796" s="9" t="s">
        <v>9555</v>
      </c>
      <c r="B2796" s="214" t="s">
        <v>9556</v>
      </c>
      <c r="C2796" s="214" t="s">
        <v>9557</v>
      </c>
      <c r="D2796" s="194"/>
      <c r="E2796" s="204" t="s">
        <v>92</v>
      </c>
      <c r="F2796" s="204"/>
    </row>
    <row r="2797" customHeight="1" spans="1:6">
      <c r="A2797" s="9" t="s">
        <v>9558</v>
      </c>
      <c r="B2797" s="195" t="s">
        <v>9559</v>
      </c>
      <c r="C2797" s="202" t="s">
        <v>9560</v>
      </c>
      <c r="D2797" s="152"/>
      <c r="E2797" s="154" t="s">
        <v>232</v>
      </c>
      <c r="F2797" s="180"/>
    </row>
    <row r="2798" customHeight="1" spans="1:6">
      <c r="A2798" s="9" t="s">
        <v>9561</v>
      </c>
      <c r="B2798" s="197" t="s">
        <v>9562</v>
      </c>
      <c r="C2798" s="202" t="s">
        <v>9563</v>
      </c>
      <c r="D2798" s="153"/>
      <c r="E2798" s="180" t="s">
        <v>216</v>
      </c>
      <c r="F2798" s="180"/>
    </row>
    <row r="2799" customHeight="1" spans="1:6">
      <c r="A2799" s="9" t="s">
        <v>9564</v>
      </c>
      <c r="B2799" s="234" t="s">
        <v>9565</v>
      </c>
      <c r="C2799" s="234" t="s">
        <v>9566</v>
      </c>
      <c r="D2799" s="36">
        <v>4084202371</v>
      </c>
      <c r="E2799" s="45" t="s">
        <v>9567</v>
      </c>
      <c r="F2799" s="45" t="s">
        <v>9568</v>
      </c>
    </row>
    <row r="2800" customHeight="1" spans="1:6">
      <c r="A2800" s="9" t="s">
        <v>9569</v>
      </c>
      <c r="B2800" s="160" t="s">
        <v>9570</v>
      </c>
      <c r="C2800" s="160" t="s">
        <v>9571</v>
      </c>
      <c r="D2800" s="204" t="s">
        <v>9572</v>
      </c>
      <c r="E2800" s="204" t="s">
        <v>92</v>
      </c>
      <c r="F2800" s="204"/>
    </row>
    <row r="2801" customHeight="1" spans="1:6">
      <c r="A2801" s="9" t="s">
        <v>9573</v>
      </c>
      <c r="B2801" s="200" t="s">
        <v>9574</v>
      </c>
      <c r="C2801" s="192" t="s">
        <v>9575</v>
      </c>
      <c r="D2801" s="194" t="s">
        <v>9576</v>
      </c>
      <c r="E2801" s="193" t="s">
        <v>216</v>
      </c>
      <c r="F2801" s="191"/>
    </row>
    <row r="2802" customHeight="1" spans="1:6">
      <c r="A2802" s="9" t="s">
        <v>9577</v>
      </c>
      <c r="B2802" s="197" t="s">
        <v>9578</v>
      </c>
      <c r="C2802" s="202" t="s">
        <v>9579</v>
      </c>
      <c r="D2802" s="158"/>
      <c r="E2802" s="158" t="s">
        <v>216</v>
      </c>
      <c r="F2802" s="153"/>
    </row>
    <row r="2803" customHeight="1" spans="1:6">
      <c r="A2803" s="9" t="s">
        <v>9580</v>
      </c>
      <c r="B2803" s="223" t="s">
        <v>9581</v>
      </c>
      <c r="C2803" s="223" t="s">
        <v>9582</v>
      </c>
      <c r="D2803" s="204" t="s">
        <v>9583</v>
      </c>
      <c r="E2803" s="173" t="s">
        <v>92</v>
      </c>
      <c r="F2803" s="234"/>
    </row>
    <row r="2804" customHeight="1" spans="1:6">
      <c r="A2804" s="9" t="s">
        <v>9584</v>
      </c>
      <c r="B2804" s="223" t="s">
        <v>9585</v>
      </c>
      <c r="C2804" s="223" t="s">
        <v>9586</v>
      </c>
      <c r="D2804" s="204" t="s">
        <v>9587</v>
      </c>
      <c r="E2804" s="204" t="s">
        <v>92</v>
      </c>
      <c r="F2804" s="204"/>
    </row>
    <row r="2805" customHeight="1" spans="1:6">
      <c r="A2805" s="9" t="s">
        <v>9588</v>
      </c>
      <c r="B2805" s="214" t="s">
        <v>9589</v>
      </c>
      <c r="C2805" s="214" t="s">
        <v>9590</v>
      </c>
      <c r="D2805" s="194"/>
      <c r="E2805" s="204" t="s">
        <v>92</v>
      </c>
      <c r="F2805" s="204"/>
    </row>
    <row r="2806" customHeight="1" spans="1:6">
      <c r="A2806" s="9" t="s">
        <v>9591</v>
      </c>
      <c r="B2806" s="200" t="s">
        <v>9592</v>
      </c>
      <c r="C2806" s="202" t="s">
        <v>9593</v>
      </c>
      <c r="D2806" s="154"/>
      <c r="E2806" s="154" t="s">
        <v>1281</v>
      </c>
      <c r="F2806" s="180"/>
    </row>
    <row r="2807" customHeight="1" spans="1:6">
      <c r="A2807" s="9" t="s">
        <v>9594</v>
      </c>
      <c r="B2807" s="162" t="s">
        <v>9595</v>
      </c>
      <c r="C2807" s="205" t="s">
        <v>9596</v>
      </c>
      <c r="D2807" s="342" t="s">
        <v>9597</v>
      </c>
      <c r="E2807" s="193" t="s">
        <v>120</v>
      </c>
      <c r="F2807" s="216"/>
    </row>
    <row r="2808" customHeight="1" spans="1:6">
      <c r="A2808" s="9" t="s">
        <v>9598</v>
      </c>
      <c r="B2808" s="201" t="s">
        <v>9599</v>
      </c>
      <c r="C2808" s="202" t="s">
        <v>9600</v>
      </c>
      <c r="D2808" s="154" t="s">
        <v>9601</v>
      </c>
      <c r="E2808" s="154"/>
      <c r="F2808" s="180"/>
    </row>
    <row r="2809" customHeight="1" spans="1:6">
      <c r="A2809" s="9" t="s">
        <v>9602</v>
      </c>
      <c r="B2809" s="160" t="s">
        <v>9603</v>
      </c>
      <c r="C2809" s="160" t="s">
        <v>9604</v>
      </c>
      <c r="D2809" s="204" t="s">
        <v>9605</v>
      </c>
      <c r="E2809" s="204" t="s">
        <v>92</v>
      </c>
      <c r="F2809" s="204"/>
    </row>
    <row r="2810" customHeight="1" spans="1:6">
      <c r="A2810" s="9" t="s">
        <v>9606</v>
      </c>
      <c r="B2810" s="160" t="s">
        <v>9607</v>
      </c>
      <c r="C2810" s="160" t="s">
        <v>9608</v>
      </c>
      <c r="D2810" s="204" t="s">
        <v>9609</v>
      </c>
      <c r="E2810" s="204" t="s">
        <v>92</v>
      </c>
      <c r="F2810" s="204"/>
    </row>
    <row r="2811" customHeight="1" spans="1:6">
      <c r="A2811" s="9" t="s">
        <v>9610</v>
      </c>
      <c r="B2811" s="160" t="s">
        <v>9611</v>
      </c>
      <c r="C2811" s="160" t="s">
        <v>9612</v>
      </c>
      <c r="D2811" s="204" t="s">
        <v>9613</v>
      </c>
      <c r="E2811" s="204" t="s">
        <v>92</v>
      </c>
      <c r="F2811" s="204"/>
    </row>
    <row r="2812" customHeight="1" spans="1:6">
      <c r="A2812" s="9" t="s">
        <v>9614</v>
      </c>
      <c r="B2812" s="160" t="s">
        <v>9615</v>
      </c>
      <c r="C2812" s="160" t="s">
        <v>9616</v>
      </c>
      <c r="D2812" s="204" t="s">
        <v>9617</v>
      </c>
      <c r="E2812" s="204" t="s">
        <v>92</v>
      </c>
      <c r="F2812" s="204"/>
    </row>
    <row r="2813" customHeight="1" spans="1:6">
      <c r="A2813" s="9" t="s">
        <v>9618</v>
      </c>
      <c r="B2813" s="160" t="s">
        <v>9619</v>
      </c>
      <c r="C2813" s="160" t="s">
        <v>9620</v>
      </c>
      <c r="D2813" s="204" t="s">
        <v>9621</v>
      </c>
      <c r="E2813" s="204" t="s">
        <v>92</v>
      </c>
      <c r="F2813" s="204"/>
    </row>
    <row r="2814" customHeight="1" spans="1:6">
      <c r="A2814" s="9" t="s">
        <v>9622</v>
      </c>
      <c r="B2814" s="201" t="s">
        <v>9623</v>
      </c>
      <c r="C2814" s="202" t="s">
        <v>9624</v>
      </c>
      <c r="D2814" s="154" t="s">
        <v>9625</v>
      </c>
      <c r="E2814" s="154" t="s">
        <v>211</v>
      </c>
      <c r="F2814" s="180"/>
    </row>
    <row r="2815" customHeight="1" spans="1:6">
      <c r="A2815" s="9" t="s">
        <v>9626</v>
      </c>
      <c r="B2815" s="223" t="s">
        <v>9627</v>
      </c>
      <c r="C2815" s="223" t="s">
        <v>9628</v>
      </c>
      <c r="D2815" s="204" t="s">
        <v>9629</v>
      </c>
      <c r="E2815" s="204" t="s">
        <v>92</v>
      </c>
      <c r="F2815" s="204"/>
    </row>
    <row r="2816" customHeight="1" spans="1:6">
      <c r="A2816" s="9" t="s">
        <v>9630</v>
      </c>
      <c r="B2816" s="204" t="s">
        <v>9631</v>
      </c>
      <c r="C2816" s="204" t="s">
        <v>9632</v>
      </c>
      <c r="D2816" s="194"/>
      <c r="E2816" s="204" t="s">
        <v>92</v>
      </c>
      <c r="F2816" s="204"/>
    </row>
    <row r="2817" customHeight="1" spans="1:6">
      <c r="A2817" s="9" t="s">
        <v>9633</v>
      </c>
      <c r="B2817" s="214" t="s">
        <v>9634</v>
      </c>
      <c r="C2817" s="214" t="s">
        <v>9635</v>
      </c>
      <c r="D2817" s="194"/>
      <c r="E2817" s="204" t="s">
        <v>92</v>
      </c>
      <c r="F2817" s="204"/>
    </row>
    <row r="2818" customHeight="1" spans="1:6">
      <c r="A2818" s="9" t="s">
        <v>9636</v>
      </c>
      <c r="B2818" s="214" t="s">
        <v>9637</v>
      </c>
      <c r="C2818" s="214" t="s">
        <v>9638</v>
      </c>
      <c r="D2818" s="194"/>
      <c r="E2818" s="204" t="s">
        <v>92</v>
      </c>
      <c r="F2818" s="204"/>
    </row>
    <row r="2819" customHeight="1" spans="1:6">
      <c r="A2819" s="9" t="s">
        <v>9639</v>
      </c>
      <c r="B2819" s="160" t="s">
        <v>9640</v>
      </c>
      <c r="C2819" s="160" t="s">
        <v>9641</v>
      </c>
      <c r="D2819" s="204" t="s">
        <v>9642</v>
      </c>
      <c r="E2819" s="204" t="s">
        <v>605</v>
      </c>
      <c r="F2819" s="204" t="s">
        <v>9643</v>
      </c>
    </row>
    <row r="2820" customHeight="1" spans="1:6">
      <c r="A2820" s="9" t="s">
        <v>9644</v>
      </c>
      <c r="B2820" s="214" t="s">
        <v>9645</v>
      </c>
      <c r="C2820" s="214" t="s">
        <v>9646</v>
      </c>
      <c r="D2820" s="223" t="s">
        <v>9647</v>
      </c>
      <c r="E2820" s="204" t="s">
        <v>92</v>
      </c>
      <c r="F2820" s="204"/>
    </row>
    <row r="2821" customHeight="1" spans="1:6">
      <c r="A2821" s="9" t="s">
        <v>9648</v>
      </c>
      <c r="B2821" s="200" t="s">
        <v>9649</v>
      </c>
      <c r="C2821" s="202" t="s">
        <v>9650</v>
      </c>
      <c r="D2821" s="152"/>
      <c r="E2821" s="154" t="s">
        <v>104</v>
      </c>
      <c r="F2821" s="180"/>
    </row>
    <row r="2822" customHeight="1" spans="1:6">
      <c r="A2822" s="9" t="s">
        <v>9651</v>
      </c>
      <c r="B2822" s="194" t="s">
        <v>9652</v>
      </c>
      <c r="C2822" s="202" t="s">
        <v>9653</v>
      </c>
      <c r="D2822" s="248">
        <v>994084732</v>
      </c>
      <c r="E2822" s="154" t="s">
        <v>104</v>
      </c>
      <c r="F2822" s="180"/>
    </row>
    <row r="2823" customHeight="1" spans="1:6">
      <c r="A2823" s="9" t="s">
        <v>9654</v>
      </c>
      <c r="B2823" s="195" t="s">
        <v>9655</v>
      </c>
      <c r="C2823" s="202" t="s">
        <v>9656</v>
      </c>
      <c r="D2823" s="152"/>
      <c r="E2823" s="154" t="s">
        <v>232</v>
      </c>
      <c r="F2823" s="180"/>
    </row>
    <row r="2824" customHeight="1" spans="1:6">
      <c r="A2824" s="9" t="s">
        <v>9657</v>
      </c>
      <c r="B2824" s="197" t="s">
        <v>9658</v>
      </c>
      <c r="C2824" s="202" t="s">
        <v>9659</v>
      </c>
      <c r="D2824" s="158">
        <v>935792550</v>
      </c>
      <c r="E2824" s="154" t="s">
        <v>104</v>
      </c>
      <c r="F2824" s="180"/>
    </row>
    <row r="2825" customHeight="1" spans="1:6">
      <c r="A2825" s="9" t="s">
        <v>9660</v>
      </c>
      <c r="B2825" s="205" t="s">
        <v>9661</v>
      </c>
      <c r="C2825" s="205" t="s">
        <v>9662</v>
      </c>
      <c r="D2825" s="206" t="s">
        <v>9663</v>
      </c>
      <c r="E2825" s="193" t="s">
        <v>120</v>
      </c>
      <c r="F2825" s="239"/>
    </row>
    <row r="2826" customHeight="1" spans="1:6">
      <c r="A2826" s="9" t="s">
        <v>9664</v>
      </c>
      <c r="B2826" s="276" t="str">
        <f>IFERROR(__xludf.DUMMYFUNCTION("""COMPUTED_VALUE"""),"Asnaku Wendalem Feleke")</f>
        <v>Asnaku Wendalem Feleke</v>
      </c>
      <c r="C2826" s="276" t="str">
        <f>IFERROR(__xludf.DUMMYFUNCTION("""COMPUTED_VALUE"""),"አስናቁ ወንድአለም ፈለቀ")</f>
        <v>አስናቁ ወንድአለም ፈለቀ</v>
      </c>
      <c r="D2826" s="276" t="str">
        <f>IFERROR(__xludf.DUMMYFUNCTION("""COMPUTED_VALUE"""),"0912-920951")</f>
        <v>0912-920951</v>
      </c>
      <c r="E2826" s="276" t="str">
        <f>IFERROR(__xludf.DUMMYFUNCTION("""COMPUTED_VALUE"""),"Addis Ababa")</f>
        <v>Addis Ababa</v>
      </c>
      <c r="F2826" s="276"/>
    </row>
    <row r="2827" customHeight="1" spans="1:6">
      <c r="A2827" s="9" t="s">
        <v>9665</v>
      </c>
      <c r="B2827" s="215" t="s">
        <v>9666</v>
      </c>
      <c r="C2827" s="205" t="s">
        <v>9667</v>
      </c>
      <c r="D2827" s="227" t="s">
        <v>9668</v>
      </c>
      <c r="E2827" s="193" t="s">
        <v>120</v>
      </c>
      <c r="F2827" s="216" t="s">
        <v>9669</v>
      </c>
    </row>
    <row r="2828" customHeight="1" spans="1:6">
      <c r="A2828" s="9" t="s">
        <v>9670</v>
      </c>
      <c r="B2828" s="214" t="s">
        <v>9671</v>
      </c>
      <c r="C2828" s="214" t="s">
        <v>9672</v>
      </c>
      <c r="D2828" s="194"/>
      <c r="E2828" s="204" t="s">
        <v>92</v>
      </c>
      <c r="F2828" s="204"/>
    </row>
    <row r="2829" customHeight="1" spans="1:6">
      <c r="A2829" s="9" t="s">
        <v>9673</v>
      </c>
      <c r="B2829" s="223" t="s">
        <v>9674</v>
      </c>
      <c r="C2829" s="223" t="s">
        <v>9675</v>
      </c>
      <c r="D2829" s="204" t="s">
        <v>9676</v>
      </c>
      <c r="E2829" s="204" t="s">
        <v>92</v>
      </c>
      <c r="F2829" s="204"/>
    </row>
    <row r="2830" customHeight="1" spans="1:6">
      <c r="A2830" s="9" t="s">
        <v>9677</v>
      </c>
      <c r="B2830" s="160" t="s">
        <v>9678</v>
      </c>
      <c r="C2830" s="160" t="s">
        <v>9679</v>
      </c>
      <c r="D2830" s="204" t="s">
        <v>9680</v>
      </c>
      <c r="E2830" s="204" t="s">
        <v>92</v>
      </c>
      <c r="F2830" s="204"/>
    </row>
    <row r="2831" customHeight="1" spans="1:6">
      <c r="A2831" s="9" t="s">
        <v>9681</v>
      </c>
      <c r="B2831" s="195" t="s">
        <v>9682</v>
      </c>
      <c r="C2831" s="212" t="s">
        <v>9683</v>
      </c>
      <c r="D2831" s="197"/>
      <c r="E2831" s="197" t="s">
        <v>3811</v>
      </c>
      <c r="F2831" s="197"/>
    </row>
    <row r="2832" customHeight="1" spans="1:6">
      <c r="A2832" s="9" t="s">
        <v>9684</v>
      </c>
      <c r="B2832" s="201" t="s">
        <v>9685</v>
      </c>
      <c r="C2832" s="202" t="s">
        <v>9686</v>
      </c>
      <c r="D2832" s="154" t="s">
        <v>9687</v>
      </c>
      <c r="E2832" s="154" t="s">
        <v>1395</v>
      </c>
      <c r="F2832" s="180"/>
    </row>
    <row r="2833" customHeight="1" spans="1:6">
      <c r="A2833" s="9" t="s">
        <v>9688</v>
      </c>
      <c r="B2833" s="214" t="s">
        <v>9689</v>
      </c>
      <c r="C2833" s="214" t="s">
        <v>9690</v>
      </c>
      <c r="D2833" s="194"/>
      <c r="E2833" s="204" t="s">
        <v>92</v>
      </c>
      <c r="F2833" s="204"/>
    </row>
    <row r="2834" customHeight="1" spans="1:6">
      <c r="A2834" s="9" t="s">
        <v>9691</v>
      </c>
      <c r="B2834" s="201" t="s">
        <v>9692</v>
      </c>
      <c r="C2834" s="202" t="s">
        <v>9693</v>
      </c>
      <c r="D2834" s="154" t="s">
        <v>9694</v>
      </c>
      <c r="E2834" s="154" t="s">
        <v>1395</v>
      </c>
      <c r="F2834" s="180"/>
    </row>
    <row r="2835" customHeight="1" spans="1:6">
      <c r="A2835" s="9" t="s">
        <v>9695</v>
      </c>
      <c r="B2835" s="223" t="s">
        <v>9696</v>
      </c>
      <c r="C2835" s="223" t="s">
        <v>9697</v>
      </c>
      <c r="D2835" s="204" t="s">
        <v>9698</v>
      </c>
      <c r="E2835" s="204" t="s">
        <v>92</v>
      </c>
      <c r="F2835" s="204"/>
    </row>
    <row r="2836" customHeight="1" spans="1:6">
      <c r="A2836" s="9" t="s">
        <v>9699</v>
      </c>
      <c r="B2836" s="153" t="s">
        <v>9700</v>
      </c>
      <c r="C2836" s="202" t="s">
        <v>9701</v>
      </c>
      <c r="D2836" s="341" t="s">
        <v>9702</v>
      </c>
      <c r="E2836" s="154" t="s">
        <v>1218</v>
      </c>
      <c r="F2836" s="180"/>
    </row>
    <row r="2837" customHeight="1" spans="1:6">
      <c r="A2837" s="9" t="s">
        <v>9703</v>
      </c>
      <c r="B2837" s="200" t="s">
        <v>9704</v>
      </c>
      <c r="C2837" s="236" t="s">
        <v>9705</v>
      </c>
      <c r="D2837" s="194"/>
      <c r="E2837" s="193" t="s">
        <v>2783</v>
      </c>
      <c r="F2837" s="191"/>
    </row>
    <row r="2838" customHeight="1" spans="1:6">
      <c r="A2838" s="9" t="s">
        <v>9706</v>
      </c>
      <c r="B2838" s="195" t="s">
        <v>9707</v>
      </c>
      <c r="C2838" s="202" t="s">
        <v>9708</v>
      </c>
      <c r="D2838" s="154"/>
      <c r="E2838" s="154" t="s">
        <v>181</v>
      </c>
      <c r="F2838" s="180"/>
    </row>
    <row r="2839" customHeight="1" spans="1:6">
      <c r="A2839" s="9" t="s">
        <v>9709</v>
      </c>
      <c r="B2839" s="201" t="s">
        <v>9710</v>
      </c>
      <c r="C2839" s="202" t="s">
        <v>9711</v>
      </c>
      <c r="D2839" s="154" t="s">
        <v>9712</v>
      </c>
      <c r="E2839" s="154" t="s">
        <v>186</v>
      </c>
      <c r="F2839" s="180"/>
    </row>
    <row r="2840" customHeight="1" spans="1:6">
      <c r="A2840" s="9" t="s">
        <v>9713</v>
      </c>
      <c r="B2840" s="201" t="s">
        <v>9714</v>
      </c>
      <c r="C2840" s="202" t="s">
        <v>9715</v>
      </c>
      <c r="D2840" s="154" t="s">
        <v>9716</v>
      </c>
      <c r="E2840" s="154" t="s">
        <v>243</v>
      </c>
      <c r="F2840" s="180"/>
    </row>
    <row r="2841" customHeight="1" spans="1:6">
      <c r="A2841" s="9" t="s">
        <v>9717</v>
      </c>
      <c r="B2841" s="201" t="s">
        <v>9718</v>
      </c>
      <c r="C2841" s="202" t="s">
        <v>9719</v>
      </c>
      <c r="D2841" s="154" t="s">
        <v>9720</v>
      </c>
      <c r="E2841" s="154" t="s">
        <v>243</v>
      </c>
      <c r="F2841" s="180"/>
    </row>
    <row r="2842" customHeight="1" spans="1:6">
      <c r="A2842" s="9" t="s">
        <v>9721</v>
      </c>
      <c r="B2842" s="223" t="s">
        <v>9722</v>
      </c>
      <c r="C2842" s="223" t="s">
        <v>9723</v>
      </c>
      <c r="D2842" s="204" t="s">
        <v>9724</v>
      </c>
      <c r="E2842" s="204" t="s">
        <v>92</v>
      </c>
      <c r="F2842" s="204"/>
    </row>
    <row r="2843" customHeight="1" spans="1:6">
      <c r="A2843" s="9" t="s">
        <v>9725</v>
      </c>
      <c r="B2843" s="222" t="str">
        <f>IFERROR(__xludf.DUMMYFUNCTION("""COMPUTED_VALUE"""),"Asrat Mekonnen Yizehwal /Ato/")</f>
        <v>Asrat Mekonnen Yizehwal /Ato/</v>
      </c>
      <c r="C2843" s="222" t="str">
        <f>IFERROR(__xludf.DUMMYFUNCTION("""COMPUTED_VALUE"""),"አስራት መኮንን ይዘኸዋል /አቶ/")</f>
        <v>አስራት መኮንን ይዘኸዋል /አቶ/</v>
      </c>
      <c r="D2843" s="222" t="str">
        <f>IFERROR(__xludf.DUMMYFUNCTION("""COMPUTED_VALUE"""),"912307108")</f>
        <v>912307108</v>
      </c>
      <c r="E2843" s="222" t="str">
        <f>IFERROR(__xludf.DUMMYFUNCTION("""COMPUTED_VALUE"""),"A/A")</f>
        <v>A/A</v>
      </c>
      <c r="F2843" s="222" t="str">
        <f>IFERROR(__xludf.DUMMYFUNCTION("""COMPUTED_VALUE"""),"selamawitasrat12@gmail.com")</f>
        <v>selamawitasrat12@gmail.com</v>
      </c>
    </row>
    <row r="2844" customHeight="1" spans="1:6">
      <c r="A2844" s="9" t="s">
        <v>9726</v>
      </c>
      <c r="B2844" s="160" t="s">
        <v>9727</v>
      </c>
      <c r="C2844" s="160" t="s">
        <v>9728</v>
      </c>
      <c r="D2844" s="204" t="s">
        <v>9729</v>
      </c>
      <c r="E2844" s="204" t="s">
        <v>92</v>
      </c>
      <c r="F2844" s="204"/>
    </row>
    <row r="2845" customHeight="1" spans="1:6">
      <c r="A2845" s="9" t="s">
        <v>9730</v>
      </c>
      <c r="B2845" s="160" t="s">
        <v>9731</v>
      </c>
      <c r="C2845" s="160" t="s">
        <v>9732</v>
      </c>
      <c r="D2845" s="204"/>
      <c r="E2845" s="204" t="s">
        <v>92</v>
      </c>
      <c r="F2845" s="204"/>
    </row>
    <row r="2846" customHeight="1" spans="1:6">
      <c r="A2846" s="9" t="s">
        <v>9733</v>
      </c>
      <c r="B2846" s="153" t="s">
        <v>9734</v>
      </c>
      <c r="C2846" s="202" t="s">
        <v>9735</v>
      </c>
      <c r="D2846" s="154"/>
      <c r="E2846" s="154" t="s">
        <v>181</v>
      </c>
      <c r="F2846" s="180"/>
    </row>
    <row r="2847" customHeight="1" spans="1:6">
      <c r="A2847" s="9" t="s">
        <v>9736</v>
      </c>
      <c r="B2847" s="160" t="s">
        <v>9737</v>
      </c>
      <c r="C2847" s="160" t="s">
        <v>9738</v>
      </c>
      <c r="D2847" s="204" t="s">
        <v>9739</v>
      </c>
      <c r="E2847" s="204" t="s">
        <v>92</v>
      </c>
      <c r="F2847" s="204"/>
    </row>
    <row r="2848" customHeight="1" spans="1:6">
      <c r="A2848" s="9" t="s">
        <v>9740</v>
      </c>
      <c r="B2848" s="197" t="s">
        <v>9741</v>
      </c>
      <c r="C2848" s="254" t="s">
        <v>9742</v>
      </c>
      <c r="D2848" s="197"/>
      <c r="E2848" s="158" t="s">
        <v>216</v>
      </c>
      <c r="F2848" s="158"/>
    </row>
    <row r="2849" customHeight="1" spans="1:6">
      <c r="A2849" s="9" t="s">
        <v>9743</v>
      </c>
      <c r="B2849" s="222" t="str">
        <f>IFERROR(__xludf.DUMMYFUNCTION("""COMPUTED_VALUE"""),"Asrat Tesfahun Hailu")</f>
        <v>Asrat Tesfahun Hailu</v>
      </c>
      <c r="C2849" s="222" t="str">
        <f>IFERROR(__xludf.DUMMYFUNCTION("""COMPUTED_VALUE"""),"አስራት ተስፋሁን ሃይሉ")</f>
        <v>አስራት ተስፋሁን ሃይሉ</v>
      </c>
      <c r="D2849" s="222" t="str">
        <f>IFERROR(__xludf.DUMMYFUNCTION("""COMPUTED_VALUE"""),"0911-674409")</f>
        <v>0911-674409</v>
      </c>
      <c r="E2849" s="222" t="str">
        <f>IFERROR(__xludf.DUMMYFUNCTION("""COMPUTED_VALUE"""),"Addis Ababa")</f>
        <v>Addis Ababa</v>
      </c>
      <c r="F2849" s="222"/>
    </row>
    <row r="2850" customHeight="1" spans="1:6">
      <c r="A2850" s="9" t="s">
        <v>9744</v>
      </c>
      <c r="B2850" s="223" t="s">
        <v>9745</v>
      </c>
      <c r="C2850" s="223" t="s">
        <v>9746</v>
      </c>
      <c r="D2850" s="204" t="s">
        <v>9747</v>
      </c>
      <c r="E2850" s="204" t="s">
        <v>92</v>
      </c>
      <c r="F2850" s="204"/>
    </row>
    <row r="2851" customHeight="1" spans="1:6">
      <c r="A2851" s="9" t="s">
        <v>9748</v>
      </c>
      <c r="B2851" s="214" t="s">
        <v>9749</v>
      </c>
      <c r="C2851" s="214" t="s">
        <v>9750</v>
      </c>
      <c r="D2851" s="194"/>
      <c r="E2851" s="204" t="s">
        <v>92</v>
      </c>
      <c r="F2851" s="204"/>
    </row>
    <row r="2852" customHeight="1" spans="1:6">
      <c r="A2852" s="9" t="s">
        <v>9751</v>
      </c>
      <c r="B2852" s="200" t="s">
        <v>9752</v>
      </c>
      <c r="C2852" s="236" t="s">
        <v>9753</v>
      </c>
      <c r="D2852" s="194"/>
      <c r="E2852" s="194" t="s">
        <v>3811</v>
      </c>
      <c r="F2852" s="194"/>
    </row>
    <row r="2853" customHeight="1" spans="1:6">
      <c r="A2853" s="9" t="s">
        <v>9754</v>
      </c>
      <c r="B2853" s="201" t="s">
        <v>9755</v>
      </c>
      <c r="C2853" s="202" t="s">
        <v>9756</v>
      </c>
      <c r="D2853" s="154"/>
      <c r="E2853" s="154" t="s">
        <v>58</v>
      </c>
      <c r="F2853" s="180"/>
    </row>
    <row r="2854" customHeight="1" spans="1:6">
      <c r="A2854" s="9" t="s">
        <v>9757</v>
      </c>
      <c r="B2854" s="197" t="s">
        <v>9758</v>
      </c>
      <c r="C2854" s="254" t="s">
        <v>9759</v>
      </c>
      <c r="D2854" s="197"/>
      <c r="E2854" s="158" t="s">
        <v>216</v>
      </c>
      <c r="F2854" s="158"/>
    </row>
    <row r="2855" customHeight="1" spans="1:6">
      <c r="A2855" s="9" t="s">
        <v>9760</v>
      </c>
      <c r="B2855" s="201" t="s">
        <v>9761</v>
      </c>
      <c r="C2855" s="202" t="s">
        <v>9762</v>
      </c>
      <c r="D2855" s="154"/>
      <c r="E2855" s="154"/>
      <c r="F2855" s="180"/>
    </row>
    <row r="2856" customHeight="1" spans="1:6">
      <c r="A2856" s="9" t="s">
        <v>9763</v>
      </c>
      <c r="B2856" s="195" t="s">
        <v>9764</v>
      </c>
      <c r="C2856" s="213" t="s">
        <v>9765</v>
      </c>
      <c r="D2856" s="197"/>
      <c r="E2856" s="197" t="s">
        <v>186</v>
      </c>
      <c r="F2856" s="197"/>
    </row>
    <row r="2857" customHeight="1" spans="1:6">
      <c r="A2857" s="9" t="s">
        <v>9766</v>
      </c>
      <c r="B2857" s="201" t="s">
        <v>9767</v>
      </c>
      <c r="C2857" s="202" t="s">
        <v>9768</v>
      </c>
      <c r="D2857" s="154"/>
      <c r="E2857" s="154" t="s">
        <v>58</v>
      </c>
      <c r="F2857" s="180"/>
    </row>
    <row r="2858" customHeight="1" spans="1:6">
      <c r="A2858" s="9" t="s">
        <v>9769</v>
      </c>
      <c r="B2858" s="195" t="s">
        <v>9770</v>
      </c>
      <c r="C2858" s="213" t="s">
        <v>9771</v>
      </c>
      <c r="D2858" s="197"/>
      <c r="E2858" s="197" t="s">
        <v>202</v>
      </c>
      <c r="F2858" s="197"/>
    </row>
    <row r="2859" customHeight="1" spans="1:6">
      <c r="A2859" s="9" t="s">
        <v>9772</v>
      </c>
      <c r="B2859" s="214" t="s">
        <v>9773</v>
      </c>
      <c r="C2859" s="214" t="s">
        <v>9774</v>
      </c>
      <c r="D2859" s="194"/>
      <c r="E2859" s="204" t="s">
        <v>92</v>
      </c>
      <c r="F2859" s="204"/>
    </row>
    <row r="2860" customHeight="1" spans="1:6">
      <c r="A2860" s="9" t="s">
        <v>9775</v>
      </c>
      <c r="B2860" s="195" t="s">
        <v>9776</v>
      </c>
      <c r="C2860" s="202" t="s">
        <v>9777</v>
      </c>
      <c r="D2860" s="152"/>
      <c r="E2860" s="154" t="s">
        <v>232</v>
      </c>
      <c r="F2860" s="180"/>
    </row>
    <row r="2861" customHeight="1" spans="1:6">
      <c r="A2861" s="9" t="s">
        <v>9778</v>
      </c>
      <c r="B2861" s="200" t="s">
        <v>9779</v>
      </c>
      <c r="C2861" s="192" t="s">
        <v>9780</v>
      </c>
      <c r="D2861" s="194"/>
      <c r="E2861" s="194" t="s">
        <v>125</v>
      </c>
      <c r="F2861" s="194"/>
    </row>
    <row r="2862" customHeight="1" spans="1:6">
      <c r="A2862" s="9" t="s">
        <v>9781</v>
      </c>
      <c r="B2862" s="223" t="s">
        <v>9782</v>
      </c>
      <c r="C2862" s="223" t="s">
        <v>9783</v>
      </c>
      <c r="D2862" s="204" t="s">
        <v>9784</v>
      </c>
      <c r="E2862" s="204" t="s">
        <v>92</v>
      </c>
      <c r="F2862" s="204"/>
    </row>
    <row r="2863" customHeight="1" spans="1:6">
      <c r="A2863" s="9" t="s">
        <v>9785</v>
      </c>
      <c r="B2863" s="233" t="s">
        <v>9786</v>
      </c>
      <c r="C2863" s="233" t="s">
        <v>9787</v>
      </c>
      <c r="D2863" s="204" t="s">
        <v>9788</v>
      </c>
      <c r="E2863" s="204" t="s">
        <v>605</v>
      </c>
      <c r="F2863" s="204" t="s">
        <v>9789</v>
      </c>
    </row>
    <row r="2864" customHeight="1" spans="1:6">
      <c r="A2864" s="9" t="s">
        <v>9790</v>
      </c>
      <c r="B2864" s="153" t="s">
        <v>9791</v>
      </c>
      <c r="C2864" s="202" t="s">
        <v>9792</v>
      </c>
      <c r="D2864" s="154"/>
      <c r="E2864" s="154" t="s">
        <v>232</v>
      </c>
      <c r="F2864" s="180"/>
    </row>
    <row r="2865" customHeight="1" spans="1:6">
      <c r="A2865" s="9" t="s">
        <v>9793</v>
      </c>
      <c r="B2865" s="214" t="s">
        <v>9794</v>
      </c>
      <c r="C2865" s="214" t="s">
        <v>9795</v>
      </c>
      <c r="D2865" s="194"/>
      <c r="E2865" s="204" t="s">
        <v>92</v>
      </c>
      <c r="F2865" s="204"/>
    </row>
    <row r="2866" customHeight="1" spans="1:6">
      <c r="A2866" s="9" t="s">
        <v>9796</v>
      </c>
      <c r="B2866" s="201" t="s">
        <v>9797</v>
      </c>
      <c r="C2866" s="202" t="s">
        <v>9798</v>
      </c>
      <c r="D2866" s="154" t="s">
        <v>9799</v>
      </c>
      <c r="E2866" s="154"/>
      <c r="F2866" s="180"/>
    </row>
    <row r="2867" customHeight="1" spans="1:6">
      <c r="A2867" s="9" t="s">
        <v>9800</v>
      </c>
      <c r="B2867" s="201" t="s">
        <v>9801</v>
      </c>
      <c r="C2867" s="202" t="s">
        <v>9802</v>
      </c>
      <c r="D2867" s="154" t="s">
        <v>9803</v>
      </c>
      <c r="E2867" s="154" t="s">
        <v>243</v>
      </c>
      <c r="F2867" s="180"/>
    </row>
    <row r="2868" customHeight="1" spans="1:6">
      <c r="A2868" s="9" t="s">
        <v>9804</v>
      </c>
      <c r="B2868" s="153" t="s">
        <v>9805</v>
      </c>
      <c r="C2868" s="202" t="s">
        <v>9806</v>
      </c>
      <c r="D2868" s="154"/>
      <c r="E2868" s="154" t="s">
        <v>104</v>
      </c>
      <c r="F2868" s="180"/>
    </row>
    <row r="2869" customHeight="1" spans="1:6">
      <c r="A2869" s="9" t="s">
        <v>9807</v>
      </c>
      <c r="B2869" s="195" t="s">
        <v>9808</v>
      </c>
      <c r="C2869" s="212" t="s">
        <v>9809</v>
      </c>
      <c r="D2869" s="197"/>
      <c r="E2869" s="198" t="s">
        <v>216</v>
      </c>
      <c r="F2869" s="199"/>
    </row>
    <row r="2870" customHeight="1" spans="1:6">
      <c r="A2870" s="9" t="s">
        <v>9810</v>
      </c>
      <c r="B2870" s="233" t="s">
        <v>9811</v>
      </c>
      <c r="C2870" s="233" t="s">
        <v>9812</v>
      </c>
      <c r="D2870" s="204" t="s">
        <v>9813</v>
      </c>
      <c r="E2870" s="204" t="s">
        <v>605</v>
      </c>
      <c r="F2870" s="204" t="s">
        <v>9814</v>
      </c>
    </row>
    <row r="2871" customHeight="1" spans="1:6">
      <c r="A2871" s="9" t="s">
        <v>9815</v>
      </c>
      <c r="B2871" s="200" t="s">
        <v>9816</v>
      </c>
      <c r="C2871" s="202" t="s">
        <v>9817</v>
      </c>
      <c r="D2871" s="152" t="s">
        <v>9818</v>
      </c>
      <c r="E2871" s="154" t="s">
        <v>232</v>
      </c>
      <c r="F2871" s="180"/>
    </row>
    <row r="2872" customHeight="1" spans="1:6">
      <c r="A2872" s="9" t="s">
        <v>9819</v>
      </c>
      <c r="B2872" s="200" t="s">
        <v>9820</v>
      </c>
      <c r="C2872" s="202" t="s">
        <v>9821</v>
      </c>
      <c r="D2872" s="152"/>
      <c r="E2872" s="154" t="s">
        <v>232</v>
      </c>
      <c r="F2872" s="180"/>
    </row>
    <row r="2873" customHeight="1" spans="1:6">
      <c r="A2873" s="9" t="s">
        <v>9822</v>
      </c>
      <c r="B2873" s="153" t="s">
        <v>9823</v>
      </c>
      <c r="C2873" s="202" t="s">
        <v>9824</v>
      </c>
      <c r="D2873" s="154"/>
      <c r="E2873" s="154"/>
      <c r="F2873" s="180"/>
    </row>
    <row r="2874" customHeight="1" spans="1:6">
      <c r="A2874" s="9" t="s">
        <v>9825</v>
      </c>
      <c r="B2874" s="205" t="s">
        <v>9826</v>
      </c>
      <c r="C2874" s="205" t="s">
        <v>9827</v>
      </c>
      <c r="D2874" s="206" t="s">
        <v>9828</v>
      </c>
      <c r="E2874" s="193" t="s">
        <v>120</v>
      </c>
      <c r="F2874" s="237"/>
    </row>
    <row r="2875" customHeight="1" spans="1:6">
      <c r="A2875" s="9" t="s">
        <v>9829</v>
      </c>
      <c r="B2875" s="197" t="s">
        <v>9830</v>
      </c>
      <c r="C2875" s="196" t="s">
        <v>9831</v>
      </c>
      <c r="D2875" s="197" t="s">
        <v>9832</v>
      </c>
      <c r="E2875" s="197" t="s">
        <v>243</v>
      </c>
      <c r="F2875" s="197"/>
    </row>
    <row r="2876" customHeight="1" spans="1:6">
      <c r="A2876" s="9" t="s">
        <v>9833</v>
      </c>
      <c r="B2876" s="231" t="str">
        <f>IFERROR(__xludf.DUMMYFUNCTION("query(Transactions!A2:O1000,""select C,D,E,F,G,H,I,J,K,L,M,N,O where I = date '2023-05-18' "")"),"Assefa Bekele W/Giworgis")</f>
        <v>Assefa Bekele W/Giworgis</v>
      </c>
      <c r="C2876" s="231" t="str">
        <f>IFERROR(__xludf.DUMMYFUNCTION("""COMPUTED_VALUE"""),"አሰፋ በቀለ ወ/ጊዎርጊስ")</f>
        <v>አሰፋ በቀለ ወ/ጊዎርጊስ</v>
      </c>
      <c r="D2876" s="231" t="str">
        <f>IFERROR(__xludf.DUMMYFUNCTION("""COMPUTED_VALUE"""),"911696211
0912200922")</f>
        <v>911696211
0912200922</v>
      </c>
      <c r="E2876" s="231" t="str">
        <f>IFERROR(__xludf.DUMMYFUNCTION("""COMPUTED_VALUE"""),"Addis Ababa")</f>
        <v>Addis Ababa</v>
      </c>
      <c r="F2876" s="231" t="str">
        <f>IFERROR(__xludf.DUMMYFUNCTION("""COMPUTED_VALUE"""),"weldegiorgis@un.org")</f>
        <v>weldegiorgis@un.org</v>
      </c>
    </row>
    <row r="2877" customHeight="1" spans="1:6">
      <c r="A2877" s="9" t="s">
        <v>9834</v>
      </c>
      <c r="B2877" s="284" t="s">
        <v>9835</v>
      </c>
      <c r="C2877" s="318" t="s">
        <v>9836</v>
      </c>
      <c r="D2877" s="286"/>
      <c r="E2877" s="319" t="s">
        <v>202</v>
      </c>
      <c r="F2877" s="320"/>
    </row>
    <row r="2878" customHeight="1" spans="1:6">
      <c r="A2878" s="9" t="s">
        <v>9837</v>
      </c>
      <c r="B2878" s="233" t="s">
        <v>9838</v>
      </c>
      <c r="C2878" s="233" t="s">
        <v>9839</v>
      </c>
      <c r="D2878" s="204" t="s">
        <v>9840</v>
      </c>
      <c r="E2878" s="204" t="s">
        <v>2067</v>
      </c>
      <c r="F2878" s="204" t="s">
        <v>9841</v>
      </c>
    </row>
    <row r="2879" customHeight="1" spans="1:6">
      <c r="A2879" s="9" t="s">
        <v>9842</v>
      </c>
      <c r="B2879" s="223" t="s">
        <v>9843</v>
      </c>
      <c r="C2879" s="223" t="s">
        <v>9844</v>
      </c>
      <c r="D2879" s="204" t="s">
        <v>9845</v>
      </c>
      <c r="E2879" s="173" t="s">
        <v>92</v>
      </c>
      <c r="F2879" s="234"/>
    </row>
    <row r="2880" customHeight="1" spans="1:6">
      <c r="A2880" s="9" t="s">
        <v>9846</v>
      </c>
      <c r="B2880" s="214" t="s">
        <v>9847</v>
      </c>
      <c r="C2880" s="214" t="s">
        <v>9848</v>
      </c>
      <c r="D2880" s="204">
        <v>926686175</v>
      </c>
      <c r="E2880" s="204" t="s">
        <v>92</v>
      </c>
      <c r="F2880" s="204"/>
    </row>
    <row r="2881" customHeight="1" spans="1:6">
      <c r="A2881" s="9" t="s">
        <v>9849</v>
      </c>
      <c r="B2881" s="214" t="s">
        <v>9850</v>
      </c>
      <c r="C2881" s="214" t="s">
        <v>9851</v>
      </c>
      <c r="D2881" s="194"/>
      <c r="E2881" s="204" t="s">
        <v>92</v>
      </c>
      <c r="F2881" s="204"/>
    </row>
    <row r="2882" customHeight="1" spans="1:6">
      <c r="A2882" s="9" t="s">
        <v>9852</v>
      </c>
      <c r="B2882" s="200" t="s">
        <v>9853</v>
      </c>
      <c r="C2882" s="202" t="s">
        <v>9854</v>
      </c>
      <c r="D2882" s="152"/>
      <c r="E2882" s="154" t="s">
        <v>232</v>
      </c>
      <c r="F2882" s="180"/>
    </row>
    <row r="2883" customHeight="1" spans="1:6">
      <c r="A2883" s="9" t="s">
        <v>9855</v>
      </c>
      <c r="B2883" s="321" t="s">
        <v>9856</v>
      </c>
      <c r="C2883" s="196" t="s">
        <v>9857</v>
      </c>
      <c r="D2883" s="198" t="s">
        <v>9858</v>
      </c>
      <c r="E2883" s="197" t="s">
        <v>181</v>
      </c>
      <c r="F2883" s="197"/>
    </row>
    <row r="2884" customHeight="1" spans="1:6">
      <c r="A2884" s="9" t="s">
        <v>9859</v>
      </c>
      <c r="B2884" s="219" t="s">
        <v>9860</v>
      </c>
      <c r="C2884" s="219" t="s">
        <v>9861</v>
      </c>
      <c r="D2884" s="194"/>
      <c r="E2884" s="204" t="s">
        <v>92</v>
      </c>
      <c r="F2884" s="204"/>
    </row>
    <row r="2885" customHeight="1" spans="1:6">
      <c r="A2885" s="9" t="s">
        <v>9862</v>
      </c>
      <c r="B2885" s="195" t="s">
        <v>9863</v>
      </c>
      <c r="C2885" s="202" t="s">
        <v>9864</v>
      </c>
      <c r="D2885" s="152"/>
      <c r="E2885" s="154" t="s">
        <v>104</v>
      </c>
      <c r="F2885" s="180"/>
    </row>
    <row r="2886" customHeight="1" spans="1:6">
      <c r="A2886" s="9" t="s">
        <v>9865</v>
      </c>
      <c r="B2886" s="200" t="s">
        <v>9866</v>
      </c>
      <c r="C2886" s="202" t="s">
        <v>9867</v>
      </c>
      <c r="D2886" s="152"/>
      <c r="E2886" s="154" t="s">
        <v>232</v>
      </c>
      <c r="F2886" s="180"/>
    </row>
    <row r="2887" customHeight="1" spans="1:6">
      <c r="A2887" s="9" t="s">
        <v>9868</v>
      </c>
      <c r="B2887" s="201" t="s">
        <v>9869</v>
      </c>
      <c r="C2887" s="202" t="s">
        <v>9870</v>
      </c>
      <c r="D2887" s="154" t="s">
        <v>9871</v>
      </c>
      <c r="E2887" s="154" t="s">
        <v>211</v>
      </c>
      <c r="F2887" s="180"/>
    </row>
    <row r="2888" customHeight="1" spans="1:6">
      <c r="A2888" s="9" t="s">
        <v>9872</v>
      </c>
      <c r="B2888" s="160" t="s">
        <v>9873</v>
      </c>
      <c r="C2888" s="160" t="s">
        <v>9874</v>
      </c>
      <c r="D2888" s="194"/>
      <c r="E2888" s="204" t="s">
        <v>92</v>
      </c>
      <c r="F2888" s="204"/>
    </row>
    <row r="2889" customHeight="1" spans="1:6">
      <c r="A2889" s="9" t="s">
        <v>9875</v>
      </c>
      <c r="B2889" s="195" t="s">
        <v>9876</v>
      </c>
      <c r="C2889" s="202" t="s">
        <v>9877</v>
      </c>
      <c r="D2889" s="154">
        <v>923093129</v>
      </c>
      <c r="E2889" s="154" t="s">
        <v>1281</v>
      </c>
      <c r="F2889" s="180"/>
    </row>
    <row r="2890" customHeight="1" spans="1:6">
      <c r="A2890" s="9" t="s">
        <v>9878</v>
      </c>
      <c r="B2890" s="215" t="s">
        <v>9879</v>
      </c>
      <c r="C2890" s="205" t="s">
        <v>9880</v>
      </c>
      <c r="D2890" s="255" t="s">
        <v>9881</v>
      </c>
      <c r="E2890" s="26" t="s">
        <v>92</v>
      </c>
      <c r="F2890" s="26" t="s">
        <v>9882</v>
      </c>
    </row>
    <row r="2891" customHeight="1" spans="1:6">
      <c r="A2891" s="9" t="s">
        <v>9883</v>
      </c>
      <c r="B2891" s="223" t="s">
        <v>9884</v>
      </c>
      <c r="C2891" s="223" t="s">
        <v>9885</v>
      </c>
      <c r="D2891" s="204" t="s">
        <v>9886</v>
      </c>
      <c r="E2891" s="204" t="s">
        <v>92</v>
      </c>
      <c r="F2891" s="204"/>
    </row>
    <row r="2892" customHeight="1" spans="1:6">
      <c r="A2892" s="9" t="s">
        <v>9887</v>
      </c>
      <c r="B2892" s="214" t="s">
        <v>9888</v>
      </c>
      <c r="C2892" s="214" t="s">
        <v>9889</v>
      </c>
      <c r="D2892" s="194"/>
      <c r="E2892" s="204" t="s">
        <v>92</v>
      </c>
      <c r="F2892" s="204"/>
    </row>
    <row r="2893" customHeight="1" spans="1:6">
      <c r="A2893" s="9" t="s">
        <v>9890</v>
      </c>
      <c r="B2893" s="223" t="s">
        <v>9891</v>
      </c>
      <c r="C2893" s="223" t="s">
        <v>9892</v>
      </c>
      <c r="D2893" s="204" t="s">
        <v>9893</v>
      </c>
      <c r="E2893" s="204" t="s">
        <v>92</v>
      </c>
      <c r="F2893" s="204"/>
    </row>
    <row r="2894" customHeight="1" spans="1:6">
      <c r="A2894" s="9" t="s">
        <v>9894</v>
      </c>
      <c r="B2894" s="160" t="s">
        <v>9895</v>
      </c>
      <c r="C2894" s="160" t="s">
        <v>9896</v>
      </c>
      <c r="D2894" s="204" t="s">
        <v>6141</v>
      </c>
      <c r="E2894" s="204" t="s">
        <v>92</v>
      </c>
      <c r="F2894" s="204"/>
    </row>
    <row r="2895" customHeight="1" spans="1:6">
      <c r="A2895" s="9" t="s">
        <v>9897</v>
      </c>
      <c r="B2895" s="223" t="s">
        <v>9898</v>
      </c>
      <c r="C2895" s="223" t="s">
        <v>9899</v>
      </c>
      <c r="D2895" s="204" t="s">
        <v>9900</v>
      </c>
      <c r="E2895" s="204" t="s">
        <v>92</v>
      </c>
      <c r="F2895" s="204"/>
    </row>
    <row r="2896" customHeight="1" spans="1:6">
      <c r="A2896" s="9" t="s">
        <v>9901</v>
      </c>
      <c r="B2896" s="322" t="s">
        <v>9902</v>
      </c>
      <c r="C2896" s="322" t="s">
        <v>9903</v>
      </c>
      <c r="D2896" s="194"/>
      <c r="E2896" s="204" t="s">
        <v>92</v>
      </c>
      <c r="F2896" s="204"/>
    </row>
    <row r="2897" customHeight="1" spans="1:6">
      <c r="A2897" s="9" t="s">
        <v>9904</v>
      </c>
      <c r="B2897" s="215" t="s">
        <v>9905</v>
      </c>
      <c r="C2897" s="205" t="s">
        <v>9906</v>
      </c>
      <c r="D2897" s="342" t="s">
        <v>9907</v>
      </c>
      <c r="E2897" s="193" t="s">
        <v>120</v>
      </c>
      <c r="F2897" s="216"/>
    </row>
    <row r="2898" customHeight="1" spans="1:6">
      <c r="A2898" s="9" t="s">
        <v>9908</v>
      </c>
      <c r="B2898" s="200" t="s">
        <v>9909</v>
      </c>
      <c r="C2898" s="202" t="s">
        <v>9910</v>
      </c>
      <c r="D2898" s="152" t="s">
        <v>9911</v>
      </c>
      <c r="E2898" s="154" t="s">
        <v>181</v>
      </c>
      <c r="F2898" s="180"/>
    </row>
    <row r="2899" customHeight="1" spans="1:6">
      <c r="A2899" s="9" t="s">
        <v>9912</v>
      </c>
      <c r="B2899" s="233" t="s">
        <v>9913</v>
      </c>
      <c r="C2899" s="233" t="s">
        <v>9914</v>
      </c>
      <c r="D2899" s="204" t="s">
        <v>9915</v>
      </c>
      <c r="E2899" s="204" t="s">
        <v>92</v>
      </c>
      <c r="F2899" s="204" t="s">
        <v>9916</v>
      </c>
    </row>
    <row r="2900" customHeight="1" spans="1:6">
      <c r="A2900" s="9" t="s">
        <v>9917</v>
      </c>
      <c r="B2900" s="200" t="s">
        <v>9918</v>
      </c>
      <c r="C2900" s="203" t="s">
        <v>9919</v>
      </c>
      <c r="D2900" s="194"/>
      <c r="E2900" s="194" t="s">
        <v>253</v>
      </c>
      <c r="F2900" s="194"/>
    </row>
    <row r="2901" customHeight="1" spans="1:6">
      <c r="A2901" s="9" t="s">
        <v>9920</v>
      </c>
      <c r="B2901" s="200" t="s">
        <v>9921</v>
      </c>
      <c r="C2901" s="192" t="s">
        <v>9922</v>
      </c>
      <c r="D2901" s="194"/>
      <c r="E2901" s="194" t="s">
        <v>125</v>
      </c>
      <c r="F2901" s="194"/>
    </row>
    <row r="2902" customHeight="1" spans="1:6">
      <c r="A2902" s="9" t="s">
        <v>9923</v>
      </c>
      <c r="B2902" s="201" t="s">
        <v>9924</v>
      </c>
      <c r="C2902" s="202" t="s">
        <v>9925</v>
      </c>
      <c r="D2902" s="154" t="s">
        <v>9926</v>
      </c>
      <c r="E2902" s="154"/>
      <c r="F2902" s="180"/>
    </row>
    <row r="2903" customHeight="1" spans="1:6">
      <c r="A2903" s="9" t="s">
        <v>9927</v>
      </c>
      <c r="B2903" s="200" t="s">
        <v>9928</v>
      </c>
      <c r="C2903" s="202" t="s">
        <v>9929</v>
      </c>
      <c r="D2903" s="152"/>
      <c r="E2903" s="154" t="s">
        <v>232</v>
      </c>
      <c r="F2903" s="180"/>
    </row>
    <row r="2904" customHeight="1" spans="1:6">
      <c r="A2904" s="9" t="s">
        <v>9930</v>
      </c>
      <c r="B2904" s="195" t="s">
        <v>9931</v>
      </c>
      <c r="C2904" s="202" t="s">
        <v>9932</v>
      </c>
      <c r="D2904" s="154">
        <v>928564202</v>
      </c>
      <c r="E2904" s="154" t="s">
        <v>104</v>
      </c>
      <c r="F2904" s="180"/>
    </row>
    <row r="2905" customHeight="1" spans="1:6">
      <c r="A2905" s="9" t="s">
        <v>9933</v>
      </c>
      <c r="B2905" s="233" t="s">
        <v>9934</v>
      </c>
      <c r="C2905" s="233" t="s">
        <v>9935</v>
      </c>
      <c r="D2905" s="204" t="s">
        <v>9936</v>
      </c>
      <c r="E2905" s="204" t="s">
        <v>2067</v>
      </c>
      <c r="F2905" s="204" t="s">
        <v>9937</v>
      </c>
    </row>
    <row r="2906" customHeight="1" spans="1:6">
      <c r="A2906" s="9" t="s">
        <v>9938</v>
      </c>
      <c r="B2906" s="266" t="s">
        <v>9934</v>
      </c>
      <c r="C2906" s="266" t="s">
        <v>9935</v>
      </c>
      <c r="D2906" s="256" t="s">
        <v>9939</v>
      </c>
      <c r="E2906" s="26" t="s">
        <v>1701</v>
      </c>
      <c r="F2906" s="207" t="s">
        <v>451</v>
      </c>
    </row>
    <row r="2907" customHeight="1" spans="1:6">
      <c r="A2907" s="9" t="s">
        <v>9940</v>
      </c>
      <c r="B2907" s="195" t="s">
        <v>9941</v>
      </c>
      <c r="C2907" s="202" t="s">
        <v>9942</v>
      </c>
      <c r="D2907" s="152"/>
      <c r="E2907" s="154" t="s">
        <v>232</v>
      </c>
      <c r="F2907" s="180"/>
    </row>
    <row r="2908" customHeight="1" spans="1:6">
      <c r="A2908" s="9" t="s">
        <v>9943</v>
      </c>
      <c r="B2908" s="195" t="s">
        <v>9944</v>
      </c>
      <c r="C2908" s="202" t="s">
        <v>9945</v>
      </c>
      <c r="D2908" s="152"/>
      <c r="E2908" s="154" t="s">
        <v>211</v>
      </c>
      <c r="F2908" s="180"/>
    </row>
    <row r="2909" customHeight="1" spans="1:6">
      <c r="A2909" s="9" t="s">
        <v>9946</v>
      </c>
      <c r="B2909" s="160" t="s">
        <v>9947</v>
      </c>
      <c r="C2909" s="160" t="s">
        <v>9948</v>
      </c>
      <c r="D2909" s="204" t="s">
        <v>9949</v>
      </c>
      <c r="E2909" s="204" t="s">
        <v>92</v>
      </c>
      <c r="F2909" s="204"/>
    </row>
    <row r="2910" customHeight="1" spans="1:6">
      <c r="A2910" s="9" t="s">
        <v>9950</v>
      </c>
      <c r="B2910" s="214" t="s">
        <v>9951</v>
      </c>
      <c r="C2910" s="214" t="s">
        <v>9952</v>
      </c>
      <c r="D2910" s="194"/>
      <c r="E2910" s="204" t="s">
        <v>92</v>
      </c>
      <c r="F2910" s="204"/>
    </row>
    <row r="2911" customHeight="1" spans="1:6">
      <c r="A2911" s="9" t="s">
        <v>9953</v>
      </c>
      <c r="B2911" s="214" t="s">
        <v>9954</v>
      </c>
      <c r="C2911" s="214" t="s">
        <v>9955</v>
      </c>
      <c r="D2911" s="194"/>
      <c r="E2911" s="204" t="s">
        <v>92</v>
      </c>
      <c r="F2911" s="204"/>
    </row>
    <row r="2912" customHeight="1" spans="1:6">
      <c r="A2912" s="9" t="s">
        <v>9956</v>
      </c>
      <c r="B2912" s="214" t="s">
        <v>9957</v>
      </c>
      <c r="C2912" s="214" t="s">
        <v>9958</v>
      </c>
      <c r="D2912" s="194"/>
      <c r="E2912" s="204" t="s">
        <v>92</v>
      </c>
      <c r="F2912" s="204"/>
    </row>
    <row r="2913" customHeight="1" spans="1:6">
      <c r="A2913" s="9" t="s">
        <v>9959</v>
      </c>
      <c r="B2913" s="258" t="s">
        <v>9960</v>
      </c>
      <c r="C2913" s="258" t="s">
        <v>9961</v>
      </c>
      <c r="D2913" s="240" t="s">
        <v>9962</v>
      </c>
      <c r="E2913" s="240" t="s">
        <v>92</v>
      </c>
      <c r="F2913" s="240"/>
    </row>
    <row r="2914" customHeight="1" spans="1:6">
      <c r="A2914" s="9" t="s">
        <v>9963</v>
      </c>
      <c r="B2914" s="195" t="s">
        <v>9964</v>
      </c>
      <c r="C2914" s="213" t="s">
        <v>9965</v>
      </c>
      <c r="D2914" s="197" t="s">
        <v>9966</v>
      </c>
      <c r="E2914" s="197" t="s">
        <v>243</v>
      </c>
      <c r="F2914" s="197"/>
    </row>
    <row r="2915" customHeight="1" spans="1:6">
      <c r="A2915" s="9" t="s">
        <v>9967</v>
      </c>
      <c r="B2915" s="153" t="s">
        <v>9968</v>
      </c>
      <c r="C2915" s="202" t="s">
        <v>9969</v>
      </c>
      <c r="D2915" s="154"/>
      <c r="E2915" s="154" t="s">
        <v>310</v>
      </c>
      <c r="F2915" s="153"/>
    </row>
    <row r="2916" customHeight="1" spans="1:6">
      <c r="A2916" s="9" t="s">
        <v>9970</v>
      </c>
      <c r="B2916" s="276" t="str">
        <f>IFERROR(__xludf.DUMMYFUNCTION("""COMPUTED_VALUE"""),"Aster Asfaw Demissie /W/O")</f>
        <v>Aster Asfaw Demissie /W/O</v>
      </c>
      <c r="C2916" s="276" t="str">
        <f>IFERROR(__xludf.DUMMYFUNCTION("""COMPUTED_VALUE"""),"አስቴር አስፋው ደምሴ /ወ/ሮ")</f>
        <v>አስቴር አስፋው ደምሴ /ወ/ሮ</v>
      </c>
      <c r="D2916" s="276" t="str">
        <f>IFERROR(__xludf.DUMMYFUNCTION("""COMPUTED_VALUE"""),"970210202")</f>
        <v>970210202</v>
      </c>
      <c r="E2916" s="276" t="str">
        <f>IFERROR(__xludf.DUMMYFUNCTION("""COMPUTED_VALUE"""),"addis Ababa")</f>
        <v>addis Ababa</v>
      </c>
      <c r="F2916" s="276"/>
    </row>
    <row r="2917" customHeight="1" spans="1:6">
      <c r="A2917" s="9" t="s">
        <v>9971</v>
      </c>
      <c r="B2917" s="205" t="s">
        <v>9972</v>
      </c>
      <c r="C2917" s="205" t="s">
        <v>9973</v>
      </c>
      <c r="D2917" s="206" t="s">
        <v>9974</v>
      </c>
      <c r="E2917" s="193" t="s">
        <v>120</v>
      </c>
      <c r="F2917" s="221" t="s">
        <v>9975</v>
      </c>
    </row>
    <row r="2918" customHeight="1" spans="1:6">
      <c r="A2918" s="9" t="s">
        <v>9976</v>
      </c>
      <c r="B2918" s="222" t="str">
        <f>IFERROR(__xludf.DUMMYFUNCTION("""COMPUTED_VALUE"""),"Aster Asmare And Or Yohannis Habte")</f>
        <v>Aster Asmare And Or Yohannis Habte</v>
      </c>
      <c r="C2918" s="222" t="str">
        <f>IFERROR(__xludf.DUMMYFUNCTION("""COMPUTED_VALUE"""),"አስቴር አስማረ እና ዩሐንስ ሀብቴ")</f>
        <v>አስቴር አስማረ እና ዩሐንስ ሀብቴ</v>
      </c>
      <c r="D2918" s="222" t="str">
        <f>IFERROR(__xludf.DUMMYFUNCTION("""COMPUTED_VALUE"""),"0966-216894")</f>
        <v>0966-216894</v>
      </c>
      <c r="E2918" s="222" t="str">
        <f>IFERROR(__xludf.DUMMYFUNCTION("""COMPUTED_VALUE"""),"Addis Ababa")</f>
        <v>Addis Ababa</v>
      </c>
      <c r="F2918" s="222"/>
    </row>
    <row r="2919" customHeight="1" spans="1:6">
      <c r="A2919" s="9" t="s">
        <v>9977</v>
      </c>
      <c r="B2919" s="160" t="s">
        <v>9978</v>
      </c>
      <c r="C2919" s="160" t="s">
        <v>9979</v>
      </c>
      <c r="D2919" s="204" t="s">
        <v>9980</v>
      </c>
      <c r="E2919" s="204" t="s">
        <v>92</v>
      </c>
      <c r="F2919" s="204"/>
    </row>
    <row r="2920" customHeight="1" spans="1:6">
      <c r="A2920" s="9" t="s">
        <v>9981</v>
      </c>
      <c r="B2920" s="223" t="s">
        <v>9982</v>
      </c>
      <c r="C2920" s="223" t="s">
        <v>9983</v>
      </c>
      <c r="D2920" s="204" t="s">
        <v>9984</v>
      </c>
      <c r="E2920" s="173" t="s">
        <v>605</v>
      </c>
      <c r="F2920" s="234" t="s">
        <v>9985</v>
      </c>
    </row>
    <row r="2921" customHeight="1" spans="1:6">
      <c r="A2921" s="9" t="s">
        <v>9986</v>
      </c>
      <c r="B2921" s="223" t="s">
        <v>9987</v>
      </c>
      <c r="C2921" s="223" t="s">
        <v>9988</v>
      </c>
      <c r="D2921" s="194"/>
      <c r="E2921" s="204" t="s">
        <v>92</v>
      </c>
      <c r="F2921" s="204"/>
    </row>
    <row r="2922" customHeight="1" spans="1:6">
      <c r="A2922" s="9" t="s">
        <v>9989</v>
      </c>
      <c r="B2922" s="195" t="s">
        <v>9990</v>
      </c>
      <c r="C2922" s="202" t="s">
        <v>9991</v>
      </c>
      <c r="D2922" s="158"/>
      <c r="E2922" s="154" t="s">
        <v>310</v>
      </c>
      <c r="F2922" s="180"/>
    </row>
    <row r="2923" customHeight="1" spans="1:6">
      <c r="A2923" s="9" t="s">
        <v>9992</v>
      </c>
      <c r="B2923" s="220" t="str">
        <f>IFERROR(__xludf.DUMMYFUNCTION("""COMPUTED_VALUE"""),"Aster Bekele Tesema")</f>
        <v>Aster Bekele Tesema</v>
      </c>
      <c r="C2923" s="220" t="str">
        <f>IFERROR(__xludf.DUMMYFUNCTION("""COMPUTED_VALUE"""),"አስቴር በቀለ ተሰማ")</f>
        <v>አስቴር በቀለ ተሰማ</v>
      </c>
      <c r="D2923" s="220" t="str">
        <f>IFERROR(__xludf.DUMMYFUNCTION("""COMPUTED_VALUE"""),"901160034")</f>
        <v>901160034</v>
      </c>
      <c r="E2923" s="220" t="str">
        <f>IFERROR(__xludf.DUMMYFUNCTION("""COMPUTED_VALUE"""),"usa")</f>
        <v>usa</v>
      </c>
      <c r="F2923" s="220" t="str">
        <f>IFERROR(__xludf.DUMMYFUNCTION("""COMPUTED_VALUE"""),"bekelep9@gmail.com")</f>
        <v>bekelep9@gmail.com</v>
      </c>
    </row>
    <row r="2924" customHeight="1" spans="1:6">
      <c r="A2924" s="9" t="s">
        <v>9993</v>
      </c>
      <c r="B2924" s="214" t="s">
        <v>9994</v>
      </c>
      <c r="C2924" s="214" t="s">
        <v>9995</v>
      </c>
      <c r="D2924" s="194"/>
      <c r="E2924" s="204" t="s">
        <v>92</v>
      </c>
      <c r="F2924" s="204"/>
    </row>
    <row r="2925" customHeight="1" spans="1:6">
      <c r="A2925" s="9" t="s">
        <v>9996</v>
      </c>
      <c r="B2925" s="160" t="s">
        <v>9997</v>
      </c>
      <c r="C2925" s="160" t="s">
        <v>9998</v>
      </c>
      <c r="D2925" s="204" t="s">
        <v>9999</v>
      </c>
      <c r="E2925" s="204" t="s">
        <v>92</v>
      </c>
      <c r="F2925" s="204"/>
    </row>
    <row r="2926" customHeight="1" spans="1:6">
      <c r="A2926" s="9" t="s">
        <v>10000</v>
      </c>
      <c r="B2926" s="195" t="s">
        <v>10001</v>
      </c>
      <c r="C2926" s="202" t="s">
        <v>10002</v>
      </c>
      <c r="D2926" s="154"/>
      <c r="E2926" s="154" t="s">
        <v>211</v>
      </c>
      <c r="F2926" s="180"/>
    </row>
    <row r="2927" customHeight="1" spans="1:6">
      <c r="A2927" s="9" t="s">
        <v>10003</v>
      </c>
      <c r="B2927" s="214" t="s">
        <v>10004</v>
      </c>
      <c r="C2927" s="214" t="s">
        <v>10005</v>
      </c>
      <c r="D2927" s="194"/>
      <c r="E2927" s="204" t="s">
        <v>92</v>
      </c>
      <c r="F2927" s="204"/>
    </row>
    <row r="2928" customHeight="1" spans="1:6">
      <c r="A2928" s="9" t="s">
        <v>10006</v>
      </c>
      <c r="B2928" s="214" t="s">
        <v>10007</v>
      </c>
      <c r="C2928" s="214" t="s">
        <v>10008</v>
      </c>
      <c r="D2928" s="232" t="s">
        <v>10009</v>
      </c>
      <c r="E2928" s="204" t="s">
        <v>92</v>
      </c>
      <c r="F2928" s="204"/>
    </row>
    <row r="2929" customHeight="1" spans="1:6">
      <c r="A2929" s="9" t="s">
        <v>10010</v>
      </c>
      <c r="B2929" s="214" t="s">
        <v>10011</v>
      </c>
      <c r="C2929" s="214" t="s">
        <v>10012</v>
      </c>
      <c r="D2929" s="204" t="s">
        <v>10013</v>
      </c>
      <c r="E2929" s="204" t="s">
        <v>92</v>
      </c>
      <c r="F2929" s="204"/>
    </row>
    <row r="2930" customHeight="1" spans="1:6">
      <c r="A2930" s="9" t="s">
        <v>10014</v>
      </c>
      <c r="B2930" s="201" t="s">
        <v>10015</v>
      </c>
      <c r="C2930" s="202" t="s">
        <v>10016</v>
      </c>
      <c r="D2930" s="154"/>
      <c r="E2930" s="154" t="s">
        <v>211</v>
      </c>
      <c r="F2930" s="180"/>
    </row>
    <row r="2931" customHeight="1" spans="1:6">
      <c r="A2931" s="9" t="s">
        <v>10017</v>
      </c>
      <c r="B2931" s="214" t="s">
        <v>10018</v>
      </c>
      <c r="C2931" s="214" t="s">
        <v>10019</v>
      </c>
      <c r="D2931" s="194"/>
      <c r="E2931" s="204" t="s">
        <v>92</v>
      </c>
      <c r="F2931" s="204"/>
    </row>
    <row r="2932" customHeight="1" spans="1:6">
      <c r="A2932" s="9" t="s">
        <v>10020</v>
      </c>
      <c r="B2932" s="222" t="str">
        <f>IFERROR(__xludf.DUMMYFUNCTION("""COMPUTED_VALUE"""),"Aster Gelan Ture /W/o/")</f>
        <v>Aster Gelan Ture /W/o/</v>
      </c>
      <c r="C2932" s="222" t="str">
        <f>IFERROR(__xludf.DUMMYFUNCTION("""COMPUTED_VALUE"""),"አስቴር ገላን ቱሬ /ወ/ሮ")</f>
        <v>አስቴር ገላን ቱሬ /ወ/ሮ</v>
      </c>
      <c r="D2932" s="222"/>
      <c r="E2932" s="222" t="str">
        <f>IFERROR(__xludf.DUMMYFUNCTION("""COMPUTED_VALUE"""),"Usa")</f>
        <v>Usa</v>
      </c>
      <c r="F2932" s="222"/>
    </row>
    <row r="2933" customHeight="1" spans="1:6">
      <c r="A2933" s="9" t="s">
        <v>10021</v>
      </c>
      <c r="B2933" s="166" t="str">
        <f>IFERROR(__xludf.DUMMYFUNCTION("""COMPUTED_VALUE"""),"Aster Gemeda")</f>
        <v>Aster Gemeda</v>
      </c>
      <c r="C2933" s="166" t="str">
        <f>IFERROR(__xludf.DUMMYFUNCTION("""COMPUTED_VALUE"""),"አስቴር ገመዳ")</f>
        <v>አስቴር ገመዳ</v>
      </c>
      <c r="D2933" s="166" t="str">
        <f>IFERROR(__xludf.DUMMYFUNCTION("""COMPUTED_VALUE"""),"910976249")</f>
        <v>910976249</v>
      </c>
      <c r="E2933" s="166" t="str">
        <f>IFERROR(__xludf.DUMMYFUNCTION("""COMPUTED_VALUE"""),"Esrael")</f>
        <v>Esrael</v>
      </c>
      <c r="F2933" s="166"/>
    </row>
    <row r="2934" customHeight="1" spans="1:6">
      <c r="A2934" s="9" t="s">
        <v>10022</v>
      </c>
      <c r="B2934" s="214" t="s">
        <v>10023</v>
      </c>
      <c r="C2934" s="214" t="s">
        <v>10024</v>
      </c>
      <c r="D2934" s="194"/>
      <c r="E2934" s="204" t="s">
        <v>92</v>
      </c>
      <c r="F2934" s="204"/>
    </row>
    <row r="2935" customHeight="1" spans="1:6">
      <c r="A2935" s="9" t="s">
        <v>10025</v>
      </c>
      <c r="B2935" s="266" t="s">
        <v>10026</v>
      </c>
      <c r="C2935" s="292" t="s">
        <v>10027</v>
      </c>
      <c r="D2935" s="256" t="s">
        <v>10028</v>
      </c>
      <c r="E2935" s="26" t="s">
        <v>1701</v>
      </c>
      <c r="F2935" s="290" t="s">
        <v>3226</v>
      </c>
    </row>
    <row r="2936" customHeight="1" spans="1:6">
      <c r="A2936" s="9" t="s">
        <v>10029</v>
      </c>
      <c r="B2936" s="160" t="s">
        <v>10030</v>
      </c>
      <c r="C2936" s="160" t="s">
        <v>10031</v>
      </c>
      <c r="D2936" s="204" t="s">
        <v>10032</v>
      </c>
      <c r="E2936" s="204" t="s">
        <v>92</v>
      </c>
      <c r="F2936" s="204"/>
    </row>
    <row r="2937" customHeight="1" spans="1:6">
      <c r="A2937" s="9" t="s">
        <v>10033</v>
      </c>
      <c r="B2937" s="276" t="str">
        <f>IFERROR(__xludf.DUMMYFUNCTION("""COMPUTED_VALUE"""),"Aster H/Gebreal /W/o/ and/or Seifu Shibru /Ato.")</f>
        <v>Aster H/Gebreal /W/o/ and/or Seifu Shibru /Ato.</v>
      </c>
      <c r="C2937" s="276" t="str">
        <f>IFERROR(__xludf.DUMMYFUNCTION("""COMPUTED_VALUE"""),"አስቴር ሀ/ገብርኤል /ወ/ሮ/ እና/ወይም ሰይፉ ሽብሩ /አቶ/")</f>
        <v>አስቴር ሀ/ገብርኤል /ወ/ሮ/ እና/ወይም ሰይፉ ሽብሩ /አቶ/</v>
      </c>
      <c r="D2937" s="276" t="str">
        <f>IFERROR(__xludf.DUMMYFUNCTION("""COMPUTED_VALUE"""),"911127048")</f>
        <v>911127048</v>
      </c>
      <c r="E2937" s="276" t="str">
        <f>IFERROR(__xludf.DUMMYFUNCTION("""COMPUTED_VALUE"""),"Addis Ababa")</f>
        <v>Addis Ababa</v>
      </c>
      <c r="F2937" s="276"/>
    </row>
    <row r="2938" customHeight="1" spans="1:6">
      <c r="A2938" s="9" t="s">
        <v>10034</v>
      </c>
      <c r="B2938" s="205" t="s">
        <v>10035</v>
      </c>
      <c r="C2938" s="205" t="s">
        <v>10036</v>
      </c>
      <c r="D2938" s="206" t="s">
        <v>10037</v>
      </c>
      <c r="E2938" s="193" t="s">
        <v>120</v>
      </c>
      <c r="F2938" s="239" t="s">
        <v>10038</v>
      </c>
    </row>
    <row r="2939" customHeight="1" spans="1:6">
      <c r="A2939" s="9" t="s">
        <v>10039</v>
      </c>
      <c r="B2939" s="323" t="s">
        <v>10040</v>
      </c>
      <c r="C2939" s="323" t="s">
        <v>10041</v>
      </c>
      <c r="D2939" s="204" t="s">
        <v>10042</v>
      </c>
      <c r="E2939" s="232" t="s">
        <v>92</v>
      </c>
      <c r="F2939" s="232"/>
    </row>
    <row r="2940" customHeight="1" spans="1:6">
      <c r="A2940" s="9" t="s">
        <v>10043</v>
      </c>
      <c r="B2940" s="205" t="s">
        <v>10044</v>
      </c>
      <c r="C2940" s="205" t="s">
        <v>10045</v>
      </c>
      <c r="D2940" s="206" t="s">
        <v>10046</v>
      </c>
      <c r="E2940" s="193" t="s">
        <v>120</v>
      </c>
      <c r="F2940" s="221" t="s">
        <v>10047</v>
      </c>
    </row>
    <row r="2941" customHeight="1" spans="1:6">
      <c r="A2941" s="9" t="s">
        <v>10048</v>
      </c>
      <c r="B2941" s="214" t="s">
        <v>10049</v>
      </c>
      <c r="C2941" s="214" t="s">
        <v>10050</v>
      </c>
      <c r="D2941" s="194"/>
      <c r="E2941" s="204" t="s">
        <v>92</v>
      </c>
      <c r="F2941" s="204"/>
    </row>
    <row r="2942" customHeight="1" spans="1:6">
      <c r="A2942" s="9" t="s">
        <v>10051</v>
      </c>
      <c r="B2942" s="223" t="s">
        <v>10052</v>
      </c>
      <c r="C2942" s="223" t="s">
        <v>10053</v>
      </c>
      <c r="D2942" s="204" t="s">
        <v>10054</v>
      </c>
      <c r="E2942" s="204" t="s">
        <v>92</v>
      </c>
      <c r="F2942" s="204"/>
    </row>
    <row r="2943" customHeight="1" spans="1:6">
      <c r="A2943" s="9" t="s">
        <v>10055</v>
      </c>
      <c r="B2943" s="223" t="s">
        <v>10056</v>
      </c>
      <c r="C2943" s="223" t="s">
        <v>10057</v>
      </c>
      <c r="D2943" s="204" t="s">
        <v>10058</v>
      </c>
      <c r="E2943" s="204" t="s">
        <v>92</v>
      </c>
      <c r="F2943" s="204"/>
    </row>
    <row r="2944" customHeight="1" spans="1:6">
      <c r="A2944" s="9" t="s">
        <v>10059</v>
      </c>
      <c r="B2944" s="223" t="s">
        <v>10060</v>
      </c>
      <c r="C2944" s="223" t="s">
        <v>10061</v>
      </c>
      <c r="D2944" s="204" t="s">
        <v>10062</v>
      </c>
      <c r="E2944" s="204" t="s">
        <v>92</v>
      </c>
      <c r="F2944" s="204"/>
    </row>
    <row r="2945" customHeight="1" spans="1:6">
      <c r="A2945" s="9" t="s">
        <v>10063</v>
      </c>
      <c r="B2945" s="223" t="s">
        <v>10064</v>
      </c>
      <c r="C2945" s="223" t="s">
        <v>10065</v>
      </c>
      <c r="D2945" s="204" t="s">
        <v>10066</v>
      </c>
      <c r="E2945" s="173" t="s">
        <v>92</v>
      </c>
      <c r="F2945" s="234" t="s">
        <v>10067</v>
      </c>
    </row>
    <row r="2946" customHeight="1" spans="1:6">
      <c r="A2946" s="9" t="s">
        <v>10068</v>
      </c>
      <c r="B2946" s="204" t="s">
        <v>10069</v>
      </c>
      <c r="C2946" s="204" t="s">
        <v>10070</v>
      </c>
      <c r="D2946" s="194"/>
      <c r="E2946" s="204" t="s">
        <v>92</v>
      </c>
      <c r="F2946" s="204"/>
    </row>
    <row r="2947" customHeight="1" spans="1:6">
      <c r="A2947" s="9" t="s">
        <v>10071</v>
      </c>
      <c r="B2947" s="205" t="s">
        <v>10072</v>
      </c>
      <c r="C2947" s="205" t="s">
        <v>10073</v>
      </c>
      <c r="D2947" s="206" t="s">
        <v>10074</v>
      </c>
      <c r="E2947" s="193" t="s">
        <v>120</v>
      </c>
      <c r="F2947" s="239" t="s">
        <v>10075</v>
      </c>
    </row>
    <row r="2948" customHeight="1" spans="1:6">
      <c r="A2948" s="9" t="s">
        <v>10076</v>
      </c>
      <c r="B2948" s="160" t="s">
        <v>10077</v>
      </c>
      <c r="C2948" s="160" t="s">
        <v>10078</v>
      </c>
      <c r="D2948" s="204" t="s">
        <v>10079</v>
      </c>
      <c r="E2948" s="204" t="s">
        <v>92</v>
      </c>
      <c r="F2948" s="204"/>
    </row>
    <row r="2949" customHeight="1" spans="1:6">
      <c r="A2949" s="9" t="s">
        <v>10080</v>
      </c>
      <c r="B2949" s="215" t="s">
        <v>10081</v>
      </c>
      <c r="C2949" s="205" t="s">
        <v>10082</v>
      </c>
      <c r="D2949" s="244" t="s">
        <v>10083</v>
      </c>
      <c r="E2949" s="26" t="s">
        <v>92</v>
      </c>
      <c r="F2949" s="26"/>
    </row>
    <row r="2950" customHeight="1" spans="1:6">
      <c r="A2950" s="9" t="s">
        <v>10084</v>
      </c>
      <c r="B2950" s="205" t="s">
        <v>10085</v>
      </c>
      <c r="C2950" s="205" t="s">
        <v>10082</v>
      </c>
      <c r="D2950" s="206" t="s">
        <v>10083</v>
      </c>
      <c r="E2950" s="193" t="s">
        <v>120</v>
      </c>
      <c r="F2950" s="239"/>
    </row>
    <row r="2951" customHeight="1" spans="1:6">
      <c r="A2951" s="9" t="s">
        <v>10086</v>
      </c>
      <c r="B2951" s="160" t="s">
        <v>10087</v>
      </c>
      <c r="C2951" s="160" t="s">
        <v>10088</v>
      </c>
      <c r="D2951" s="204" t="s">
        <v>10089</v>
      </c>
      <c r="E2951" s="204" t="s">
        <v>92</v>
      </c>
      <c r="F2951" s="204"/>
    </row>
    <row r="2952" customHeight="1" spans="1:6">
      <c r="A2952" s="9" t="s">
        <v>10090</v>
      </c>
      <c r="B2952" s="214" t="s">
        <v>10091</v>
      </c>
      <c r="C2952" s="214" t="s">
        <v>10092</v>
      </c>
      <c r="D2952" s="194"/>
      <c r="E2952" s="204" t="s">
        <v>92</v>
      </c>
      <c r="F2952" s="204"/>
    </row>
    <row r="2953" customHeight="1" spans="1:6">
      <c r="A2953" s="9" t="s">
        <v>10093</v>
      </c>
      <c r="B2953" s="201" t="s">
        <v>10094</v>
      </c>
      <c r="C2953" s="202" t="s">
        <v>10095</v>
      </c>
      <c r="D2953" s="154" t="s">
        <v>10096</v>
      </c>
      <c r="E2953" s="154" t="s">
        <v>243</v>
      </c>
      <c r="F2953" s="180"/>
    </row>
    <row r="2954" customHeight="1" spans="1:6">
      <c r="A2954" s="9" t="s">
        <v>10097</v>
      </c>
      <c r="B2954" s="201" t="s">
        <v>10098</v>
      </c>
      <c r="C2954" s="202" t="s">
        <v>10099</v>
      </c>
      <c r="D2954" s="154" t="s">
        <v>10100</v>
      </c>
      <c r="E2954" s="154" t="s">
        <v>1395</v>
      </c>
      <c r="F2954" s="180"/>
    </row>
    <row r="2955" customHeight="1" spans="1:6">
      <c r="A2955" s="9" t="s">
        <v>10101</v>
      </c>
      <c r="B2955" s="205" t="s">
        <v>10102</v>
      </c>
      <c r="C2955" s="205" t="s">
        <v>10103</v>
      </c>
      <c r="D2955" s="206" t="s">
        <v>10104</v>
      </c>
      <c r="E2955" s="193" t="s">
        <v>120</v>
      </c>
      <c r="F2955" s="221"/>
    </row>
    <row r="2956" customHeight="1" spans="1:6">
      <c r="A2956" s="9" t="s">
        <v>10105</v>
      </c>
      <c r="B2956" s="223" t="s">
        <v>10106</v>
      </c>
      <c r="C2956" s="223" t="s">
        <v>10107</v>
      </c>
      <c r="D2956" s="204" t="s">
        <v>10108</v>
      </c>
      <c r="E2956" s="204" t="s">
        <v>92</v>
      </c>
      <c r="F2956" s="204"/>
    </row>
    <row r="2957" customHeight="1" spans="1:6">
      <c r="A2957" s="9" t="s">
        <v>10109</v>
      </c>
      <c r="B2957" s="205" t="s">
        <v>10110</v>
      </c>
      <c r="C2957" s="205" t="s">
        <v>10111</v>
      </c>
      <c r="D2957" s="206" t="s">
        <v>10112</v>
      </c>
      <c r="E2957" s="193" t="s">
        <v>120</v>
      </c>
      <c r="F2957" s="239"/>
    </row>
    <row r="2958" customHeight="1" spans="1:6">
      <c r="A2958" s="9" t="s">
        <v>10113</v>
      </c>
      <c r="B2958" s="215" t="s">
        <v>10114</v>
      </c>
      <c r="C2958" s="205" t="s">
        <v>10115</v>
      </c>
      <c r="D2958" s="206" t="s">
        <v>10116</v>
      </c>
      <c r="E2958" s="193" t="s">
        <v>120</v>
      </c>
      <c r="F2958" s="221"/>
    </row>
    <row r="2959" customHeight="1" spans="1:6">
      <c r="A2959" s="9" t="s">
        <v>10117</v>
      </c>
      <c r="B2959" s="160" t="s">
        <v>10118</v>
      </c>
      <c r="C2959" s="160" t="s">
        <v>10119</v>
      </c>
      <c r="D2959" s="204" t="s">
        <v>10120</v>
      </c>
      <c r="E2959" s="204" t="s">
        <v>92</v>
      </c>
      <c r="F2959" s="204"/>
    </row>
    <row r="2960" customHeight="1" spans="1:6">
      <c r="A2960" s="9" t="s">
        <v>10121</v>
      </c>
      <c r="B2960" s="205" t="s">
        <v>10122</v>
      </c>
      <c r="C2960" s="205" t="s">
        <v>10123</v>
      </c>
      <c r="D2960" s="206" t="s">
        <v>10124</v>
      </c>
      <c r="E2960" s="193" t="s">
        <v>120</v>
      </c>
      <c r="F2960" s="221" t="s">
        <v>10125</v>
      </c>
    </row>
    <row r="2961" customHeight="1" spans="1:6">
      <c r="A2961" s="9" t="s">
        <v>10126</v>
      </c>
      <c r="B2961" s="153" t="s">
        <v>10127</v>
      </c>
      <c r="C2961" s="202" t="s">
        <v>10128</v>
      </c>
      <c r="D2961" s="154"/>
      <c r="E2961" s="154" t="s">
        <v>181</v>
      </c>
      <c r="F2961" s="180"/>
    </row>
    <row r="2962" customHeight="1" spans="1:6">
      <c r="A2962" s="9" t="s">
        <v>10129</v>
      </c>
      <c r="B2962" s="153" t="s">
        <v>10130</v>
      </c>
      <c r="C2962" s="202" t="s">
        <v>10131</v>
      </c>
      <c r="D2962" s="158"/>
      <c r="E2962" s="154" t="s">
        <v>310</v>
      </c>
      <c r="F2962" s="180"/>
    </row>
    <row r="2963" customHeight="1" spans="1:6">
      <c r="A2963" s="9" t="s">
        <v>10132</v>
      </c>
      <c r="B2963" s="233" t="s">
        <v>10133</v>
      </c>
      <c r="C2963" s="233" t="s">
        <v>10134</v>
      </c>
      <c r="D2963" s="204" t="s">
        <v>10135</v>
      </c>
      <c r="E2963" s="204" t="s">
        <v>2067</v>
      </c>
      <c r="F2963" s="204" t="s">
        <v>10136</v>
      </c>
    </row>
    <row r="2964" customHeight="1" spans="1:6">
      <c r="A2964" s="9" t="s">
        <v>10137</v>
      </c>
      <c r="B2964" s="215" t="s">
        <v>10138</v>
      </c>
      <c r="C2964" s="205" t="s">
        <v>10139</v>
      </c>
      <c r="D2964" s="206" t="s">
        <v>10140</v>
      </c>
      <c r="E2964" s="193" t="s">
        <v>120</v>
      </c>
      <c r="F2964" s="221"/>
    </row>
    <row r="2965" customHeight="1" spans="1:6">
      <c r="A2965" s="9" t="s">
        <v>10141</v>
      </c>
      <c r="B2965" s="214" t="s">
        <v>10142</v>
      </c>
      <c r="C2965" s="214" t="s">
        <v>10143</v>
      </c>
      <c r="D2965" s="204" t="s">
        <v>10144</v>
      </c>
      <c r="E2965" s="204" t="s">
        <v>92</v>
      </c>
      <c r="F2965" s="204"/>
    </row>
    <row r="2966" customHeight="1" spans="1:6">
      <c r="A2966" s="9" t="s">
        <v>10145</v>
      </c>
      <c r="B2966" s="214" t="s">
        <v>10146</v>
      </c>
      <c r="C2966" s="214" t="s">
        <v>10147</v>
      </c>
      <c r="D2966" s="204" t="s">
        <v>10148</v>
      </c>
      <c r="E2966" s="204" t="s">
        <v>92</v>
      </c>
      <c r="F2966" s="204"/>
    </row>
    <row r="2967" customHeight="1" spans="1:6">
      <c r="A2967" s="9" t="s">
        <v>10149</v>
      </c>
      <c r="B2967" s="223" t="s">
        <v>10150</v>
      </c>
      <c r="C2967" s="223" t="s">
        <v>10151</v>
      </c>
      <c r="D2967" s="194"/>
      <c r="E2967" s="204" t="s">
        <v>92</v>
      </c>
      <c r="F2967" s="204"/>
    </row>
    <row r="2968" customHeight="1" spans="1:6">
      <c r="A2968" s="9" t="s">
        <v>10152</v>
      </c>
      <c r="B2968" s="201" t="s">
        <v>10153</v>
      </c>
      <c r="C2968" s="202" t="s">
        <v>10154</v>
      </c>
      <c r="D2968" s="154"/>
      <c r="E2968" s="154"/>
      <c r="F2968" s="180"/>
    </row>
    <row r="2969" customHeight="1" spans="1:6">
      <c r="A2969" s="9" t="s">
        <v>10155</v>
      </c>
      <c r="B2969" s="201" t="s">
        <v>10156</v>
      </c>
      <c r="C2969" s="202" t="s">
        <v>10157</v>
      </c>
      <c r="D2969" s="154"/>
      <c r="E2969" s="154" t="s">
        <v>211</v>
      </c>
      <c r="F2969" s="180"/>
    </row>
    <row r="2970" customHeight="1" spans="1:6">
      <c r="A2970" s="9" t="s">
        <v>10158</v>
      </c>
      <c r="B2970" s="201" t="s">
        <v>10159</v>
      </c>
      <c r="C2970" s="202" t="s">
        <v>10160</v>
      </c>
      <c r="D2970" s="154" t="s">
        <v>10161</v>
      </c>
      <c r="E2970" s="154" t="s">
        <v>211</v>
      </c>
      <c r="F2970" s="180"/>
    </row>
    <row r="2971" customHeight="1" spans="1:6">
      <c r="A2971" s="9" t="s">
        <v>10162</v>
      </c>
      <c r="B2971" s="200" t="s">
        <v>10163</v>
      </c>
      <c r="C2971" s="192" t="s">
        <v>10164</v>
      </c>
      <c r="D2971" s="194"/>
      <c r="E2971" s="193" t="s">
        <v>202</v>
      </c>
      <c r="F2971" s="191"/>
    </row>
    <row r="2972" customHeight="1" spans="1:6">
      <c r="A2972" s="9" t="s">
        <v>10165</v>
      </c>
      <c r="B2972" s="201" t="s">
        <v>10166</v>
      </c>
      <c r="C2972" s="202" t="s">
        <v>10167</v>
      </c>
      <c r="D2972" s="154" t="s">
        <v>10168</v>
      </c>
      <c r="E2972" s="154" t="s">
        <v>1395</v>
      </c>
      <c r="F2972" s="180"/>
    </row>
    <row r="2973" customHeight="1" spans="1:6">
      <c r="A2973" s="9" t="s">
        <v>10169</v>
      </c>
      <c r="B2973" s="201" t="s">
        <v>10170</v>
      </c>
      <c r="C2973" s="202" t="s">
        <v>10171</v>
      </c>
      <c r="D2973" s="154" t="s">
        <v>10172</v>
      </c>
      <c r="E2973" s="154" t="s">
        <v>58</v>
      </c>
      <c r="F2973" s="180"/>
    </row>
    <row r="2974" customHeight="1" spans="1:6">
      <c r="A2974" s="9" t="s">
        <v>10173</v>
      </c>
      <c r="B2974" s="200" t="s">
        <v>10174</v>
      </c>
      <c r="C2974" s="246" t="s">
        <v>10175</v>
      </c>
      <c r="D2974" s="194"/>
      <c r="E2974" s="194" t="s">
        <v>202</v>
      </c>
      <c r="F2974" s="194"/>
    </row>
    <row r="2975" customHeight="1" spans="1:6">
      <c r="A2975" s="9" t="s">
        <v>10176</v>
      </c>
      <c r="B2975" s="153" t="s">
        <v>10177</v>
      </c>
      <c r="C2975" s="202" t="s">
        <v>10178</v>
      </c>
      <c r="D2975" s="154"/>
      <c r="E2975" s="154" t="s">
        <v>104</v>
      </c>
      <c r="F2975" s="180"/>
    </row>
    <row r="2976" customHeight="1" spans="1:6">
      <c r="A2976" s="9" t="s">
        <v>10179</v>
      </c>
      <c r="B2976" s="200" t="s">
        <v>10180</v>
      </c>
      <c r="C2976" s="192" t="s">
        <v>10181</v>
      </c>
      <c r="D2976" s="194"/>
      <c r="E2976" s="193" t="s">
        <v>216</v>
      </c>
      <c r="F2976" s="191"/>
    </row>
    <row r="2977" customHeight="1" spans="1:6">
      <c r="A2977" s="9" t="s">
        <v>10182</v>
      </c>
      <c r="B2977" s="195" t="s">
        <v>10183</v>
      </c>
      <c r="C2977" s="202" t="s">
        <v>10184</v>
      </c>
      <c r="D2977" s="152"/>
      <c r="E2977" s="154" t="s">
        <v>104</v>
      </c>
      <c r="F2977" s="180"/>
    </row>
    <row r="2978" customHeight="1" spans="1:6">
      <c r="A2978" s="9" t="s">
        <v>10185</v>
      </c>
      <c r="B2978" s="195" t="s">
        <v>10186</v>
      </c>
      <c r="C2978" s="202" t="s">
        <v>10187</v>
      </c>
      <c r="D2978" s="154"/>
      <c r="E2978" s="154" t="s">
        <v>104</v>
      </c>
      <c r="F2978" s="180"/>
    </row>
    <row r="2979" customHeight="1" spans="1:6">
      <c r="A2979" s="9" t="s">
        <v>10188</v>
      </c>
      <c r="B2979" s="195" t="s">
        <v>10189</v>
      </c>
      <c r="C2979" s="202" t="s">
        <v>10190</v>
      </c>
      <c r="D2979" s="152"/>
      <c r="E2979" s="154" t="s">
        <v>232</v>
      </c>
      <c r="F2979" s="180"/>
    </row>
    <row r="2980" customHeight="1" spans="1:6">
      <c r="A2980" s="9" t="s">
        <v>10191</v>
      </c>
      <c r="B2980" s="197" t="s">
        <v>10192</v>
      </c>
      <c r="C2980" s="254" t="s">
        <v>10193</v>
      </c>
      <c r="D2980" s="197"/>
      <c r="E2980" s="158" t="s">
        <v>216</v>
      </c>
      <c r="F2980" s="158"/>
    </row>
    <row r="2981" customHeight="1" spans="1:6">
      <c r="A2981" s="9" t="s">
        <v>10194</v>
      </c>
      <c r="B2981" s="200" t="s">
        <v>10195</v>
      </c>
      <c r="C2981" s="202" t="s">
        <v>10196</v>
      </c>
      <c r="D2981" s="152"/>
      <c r="E2981" s="154" t="s">
        <v>232</v>
      </c>
      <c r="F2981" s="180"/>
    </row>
    <row r="2982" customHeight="1" spans="1:6">
      <c r="A2982" s="9" t="s">
        <v>10197</v>
      </c>
      <c r="B2982" s="153" t="s">
        <v>10198</v>
      </c>
      <c r="C2982" s="202" t="s">
        <v>10199</v>
      </c>
      <c r="D2982" s="154">
        <v>924406469</v>
      </c>
      <c r="E2982" s="210" t="s">
        <v>104</v>
      </c>
      <c r="F2982" s="211"/>
    </row>
    <row r="2983" customHeight="1" spans="1:6">
      <c r="A2983" s="9" t="s">
        <v>10200</v>
      </c>
      <c r="B2983" s="200" t="s">
        <v>10201</v>
      </c>
      <c r="C2983" s="202" t="s">
        <v>10202</v>
      </c>
      <c r="D2983" s="152" t="s">
        <v>10203</v>
      </c>
      <c r="E2983" s="154" t="s">
        <v>232</v>
      </c>
      <c r="F2983" s="180"/>
    </row>
    <row r="2984" customHeight="1" spans="1:6">
      <c r="A2984" s="9" t="s">
        <v>10204</v>
      </c>
      <c r="B2984" s="195" t="s">
        <v>10205</v>
      </c>
      <c r="C2984" s="196" t="s">
        <v>10206</v>
      </c>
      <c r="D2984" s="197"/>
      <c r="E2984" s="198" t="s">
        <v>202</v>
      </c>
      <c r="F2984" s="199"/>
    </row>
    <row r="2985" customHeight="1" spans="1:6">
      <c r="A2985" s="9" t="s">
        <v>10207</v>
      </c>
      <c r="B2985" s="200" t="s">
        <v>10208</v>
      </c>
      <c r="C2985" s="202" t="s">
        <v>10209</v>
      </c>
      <c r="D2985" s="152"/>
      <c r="E2985" s="154" t="s">
        <v>181</v>
      </c>
      <c r="F2985" s="180"/>
    </row>
    <row r="2986" customHeight="1" spans="1:6">
      <c r="A2986" s="9" t="s">
        <v>10210</v>
      </c>
      <c r="B2986" s="195" t="s">
        <v>10211</v>
      </c>
      <c r="C2986" s="212" t="s">
        <v>10212</v>
      </c>
      <c r="D2986" s="197"/>
      <c r="E2986" s="197" t="s">
        <v>3811</v>
      </c>
      <c r="F2986" s="197"/>
    </row>
    <row r="2987" customHeight="1" spans="1:6">
      <c r="A2987" s="9" t="s">
        <v>10213</v>
      </c>
      <c r="B2987" s="195" t="s">
        <v>10214</v>
      </c>
      <c r="C2987" s="196" t="s">
        <v>10215</v>
      </c>
      <c r="D2987" s="197"/>
      <c r="E2987" s="198" t="s">
        <v>202</v>
      </c>
      <c r="F2987" s="199"/>
    </row>
    <row r="2988" customHeight="1" spans="1:6">
      <c r="A2988" s="9" t="s">
        <v>10216</v>
      </c>
      <c r="B2988" s="200" t="s">
        <v>10217</v>
      </c>
      <c r="C2988" s="192" t="s">
        <v>10218</v>
      </c>
      <c r="D2988" s="194" t="s">
        <v>10219</v>
      </c>
      <c r="E2988" s="194" t="s">
        <v>988</v>
      </c>
      <c r="F2988" s="194"/>
    </row>
    <row r="2989" customHeight="1" spans="1:6">
      <c r="A2989" s="9" t="s">
        <v>10220</v>
      </c>
      <c r="B2989" s="153" t="s">
        <v>10221</v>
      </c>
      <c r="C2989" s="202" t="s">
        <v>10222</v>
      </c>
      <c r="D2989" s="154">
        <v>952837266</v>
      </c>
      <c r="E2989" s="154" t="s">
        <v>202</v>
      </c>
      <c r="F2989" s="180"/>
    </row>
    <row r="2990" customHeight="1" spans="1:6">
      <c r="A2990" s="9" t="s">
        <v>10223</v>
      </c>
      <c r="B2990" s="214" t="s">
        <v>10224</v>
      </c>
      <c r="C2990" s="214" t="s">
        <v>10225</v>
      </c>
      <c r="D2990" s="194"/>
      <c r="E2990" s="204" t="s">
        <v>92</v>
      </c>
      <c r="F2990" s="204"/>
    </row>
    <row r="2991" customHeight="1" spans="1:6">
      <c r="A2991" s="9" t="s">
        <v>10226</v>
      </c>
      <c r="B2991" s="195" t="s">
        <v>10227</v>
      </c>
      <c r="C2991" s="203" t="s">
        <v>10228</v>
      </c>
      <c r="D2991" s="197"/>
      <c r="E2991" s="197" t="s">
        <v>104</v>
      </c>
      <c r="F2991" s="197"/>
    </row>
    <row r="2992" customHeight="1" spans="1:6">
      <c r="A2992" s="9" t="s">
        <v>10229</v>
      </c>
      <c r="B2992" s="200" t="s">
        <v>10230</v>
      </c>
      <c r="C2992" s="192" t="s">
        <v>10231</v>
      </c>
      <c r="D2992" s="194" t="s">
        <v>10232</v>
      </c>
      <c r="E2992" s="194" t="s">
        <v>202</v>
      </c>
      <c r="F2992" s="194"/>
    </row>
    <row r="2993" customHeight="1" spans="1:6">
      <c r="A2993" s="9" t="s">
        <v>10233</v>
      </c>
      <c r="B2993" s="194" t="s">
        <v>10234</v>
      </c>
      <c r="C2993" s="192" t="s">
        <v>10235</v>
      </c>
      <c r="D2993" s="194"/>
      <c r="E2993" s="194" t="s">
        <v>202</v>
      </c>
      <c r="F2993" s="194"/>
    </row>
    <row r="2994" customHeight="1" spans="1:6">
      <c r="A2994" s="9" t="s">
        <v>10236</v>
      </c>
      <c r="B2994" s="200" t="s">
        <v>10237</v>
      </c>
      <c r="C2994" s="192" t="s">
        <v>10238</v>
      </c>
      <c r="D2994" s="194"/>
      <c r="E2994" s="194" t="s">
        <v>273</v>
      </c>
      <c r="F2994" s="194"/>
    </row>
    <row r="2995" customHeight="1" spans="1:6">
      <c r="A2995" s="9" t="s">
        <v>10239</v>
      </c>
      <c r="B2995" s="205" t="s">
        <v>10240</v>
      </c>
      <c r="C2995" s="205" t="s">
        <v>10241</v>
      </c>
      <c r="D2995" s="206" t="s">
        <v>10242</v>
      </c>
      <c r="E2995" s="193" t="s">
        <v>120</v>
      </c>
      <c r="F2995" s="221" t="s">
        <v>10243</v>
      </c>
    </row>
    <row r="2996" customHeight="1" spans="1:6">
      <c r="A2996" s="9" t="s">
        <v>10244</v>
      </c>
      <c r="B2996" s="201" t="s">
        <v>10245</v>
      </c>
      <c r="C2996" s="202" t="s">
        <v>10246</v>
      </c>
      <c r="D2996" s="154" t="s">
        <v>10247</v>
      </c>
      <c r="E2996" s="154" t="s">
        <v>3349</v>
      </c>
      <c r="F2996" s="180"/>
    </row>
    <row r="2997" customHeight="1" spans="1:6">
      <c r="A2997" s="9" t="s">
        <v>10248</v>
      </c>
      <c r="B2997" s="200" t="s">
        <v>10249</v>
      </c>
      <c r="C2997" s="202" t="s">
        <v>10250</v>
      </c>
      <c r="D2997" s="152" t="s">
        <v>10251</v>
      </c>
      <c r="E2997" s="154" t="s">
        <v>232</v>
      </c>
      <c r="F2997" s="180"/>
    </row>
    <row r="2998" customHeight="1" spans="1:6">
      <c r="A2998" s="9" t="s">
        <v>10252</v>
      </c>
      <c r="B2998" s="200" t="s">
        <v>10253</v>
      </c>
      <c r="C2998" s="202" t="s">
        <v>10254</v>
      </c>
      <c r="D2998" s="158"/>
      <c r="E2998" s="154" t="s">
        <v>202</v>
      </c>
      <c r="F2998" s="180"/>
    </row>
    <row r="2999" customHeight="1" spans="1:6">
      <c r="A2999" s="9" t="s">
        <v>10255</v>
      </c>
      <c r="B2999" s="201" t="s">
        <v>10256</v>
      </c>
      <c r="C2999" s="202" t="s">
        <v>10257</v>
      </c>
      <c r="D2999" s="154" t="s">
        <v>10258</v>
      </c>
      <c r="E2999" s="154" t="s">
        <v>211</v>
      </c>
      <c r="F2999" s="180"/>
    </row>
    <row r="3000" customHeight="1" spans="1:6">
      <c r="A3000" s="9" t="s">
        <v>10259</v>
      </c>
      <c r="B3000" s="195" t="s">
        <v>10260</v>
      </c>
      <c r="C3000" s="202" t="s">
        <v>10261</v>
      </c>
      <c r="D3000" s="152" t="s">
        <v>10262</v>
      </c>
      <c r="E3000" s="154" t="s">
        <v>232</v>
      </c>
      <c r="F3000" s="180"/>
    </row>
    <row r="3001" customHeight="1" spans="1:6">
      <c r="A3001" s="9" t="s">
        <v>10263</v>
      </c>
      <c r="B3001" s="214" t="s">
        <v>10264</v>
      </c>
      <c r="C3001" s="214" t="s">
        <v>10265</v>
      </c>
      <c r="D3001" s="194"/>
      <c r="E3001" s="204" t="s">
        <v>92</v>
      </c>
      <c r="F3001" s="204"/>
    </row>
    <row r="3002" customHeight="1" spans="1:6">
      <c r="A3002" s="9" t="s">
        <v>10266</v>
      </c>
      <c r="B3002" s="223" t="s">
        <v>10267</v>
      </c>
      <c r="C3002" s="223" t="s">
        <v>10268</v>
      </c>
      <c r="D3002" s="204" t="s">
        <v>1750</v>
      </c>
      <c r="E3002" s="204" t="s">
        <v>92</v>
      </c>
      <c r="F3002" s="204"/>
    </row>
    <row r="3003" customHeight="1" spans="1:6">
      <c r="A3003" s="9" t="s">
        <v>10269</v>
      </c>
      <c r="B3003" s="195" t="s">
        <v>10270</v>
      </c>
      <c r="C3003" s="212" t="s">
        <v>10271</v>
      </c>
      <c r="D3003" s="197"/>
      <c r="E3003" s="198" t="s">
        <v>216</v>
      </c>
      <c r="F3003" s="199"/>
    </row>
    <row r="3004" customHeight="1" spans="1:6">
      <c r="A3004" s="9" t="s">
        <v>10272</v>
      </c>
      <c r="B3004" s="195" t="s">
        <v>10273</v>
      </c>
      <c r="C3004" s="202" t="s">
        <v>10274</v>
      </c>
      <c r="D3004" s="154">
        <v>947028580</v>
      </c>
      <c r="E3004" s="154" t="s">
        <v>104</v>
      </c>
      <c r="F3004" s="180"/>
    </row>
    <row r="3005" customHeight="1" spans="1:6">
      <c r="A3005" s="9" t="s">
        <v>10275</v>
      </c>
      <c r="B3005" s="195" t="s">
        <v>10276</v>
      </c>
      <c r="C3005" s="202" t="s">
        <v>10277</v>
      </c>
      <c r="D3005" s="154"/>
      <c r="E3005" s="154" t="s">
        <v>104</v>
      </c>
      <c r="F3005" s="180"/>
    </row>
    <row r="3006" customHeight="1" spans="1:6">
      <c r="A3006" s="9" t="s">
        <v>10278</v>
      </c>
      <c r="B3006" s="200" t="s">
        <v>10279</v>
      </c>
      <c r="C3006" s="202" t="s">
        <v>10280</v>
      </c>
      <c r="D3006" s="152" t="s">
        <v>10281</v>
      </c>
      <c r="E3006" s="154" t="s">
        <v>104</v>
      </c>
      <c r="F3006" s="180"/>
    </row>
    <row r="3007" customHeight="1" spans="1:6">
      <c r="A3007" s="9" t="s">
        <v>10282</v>
      </c>
      <c r="B3007" s="200" t="s">
        <v>10283</v>
      </c>
      <c r="C3007" s="202" t="s">
        <v>10284</v>
      </c>
      <c r="D3007" s="152"/>
      <c r="E3007" s="154" t="s">
        <v>104</v>
      </c>
      <c r="F3007" s="180"/>
    </row>
    <row r="3008" customHeight="1" spans="1:6">
      <c r="A3008" s="9" t="s">
        <v>10285</v>
      </c>
      <c r="B3008" s="200" t="s">
        <v>10286</v>
      </c>
      <c r="C3008" s="236" t="s">
        <v>10287</v>
      </c>
      <c r="D3008" s="194" t="s">
        <v>10288</v>
      </c>
      <c r="E3008" s="193" t="s">
        <v>216</v>
      </c>
      <c r="F3008" s="191"/>
    </row>
    <row r="3009" customHeight="1" spans="1:6">
      <c r="A3009" s="9" t="s">
        <v>10289</v>
      </c>
      <c r="B3009" s="195" t="s">
        <v>10290</v>
      </c>
      <c r="C3009" s="196" t="s">
        <v>10291</v>
      </c>
      <c r="D3009" s="197"/>
      <c r="E3009" s="197" t="s">
        <v>202</v>
      </c>
      <c r="F3009" s="197"/>
    </row>
    <row r="3010" customHeight="1" spans="1:6">
      <c r="A3010" s="9" t="s">
        <v>10292</v>
      </c>
      <c r="B3010" s="194" t="s">
        <v>10293</v>
      </c>
      <c r="C3010" s="264" t="s">
        <v>10294</v>
      </c>
      <c r="D3010" s="194"/>
      <c r="E3010" s="194" t="s">
        <v>202</v>
      </c>
      <c r="F3010" s="194"/>
    </row>
    <row r="3011" customHeight="1" spans="1:6">
      <c r="A3011" s="9" t="s">
        <v>10295</v>
      </c>
      <c r="B3011" s="200" t="s">
        <v>10296</v>
      </c>
      <c r="C3011" s="236" t="s">
        <v>10297</v>
      </c>
      <c r="D3011" s="194"/>
      <c r="E3011" s="193" t="s">
        <v>216</v>
      </c>
      <c r="F3011" s="191"/>
    </row>
    <row r="3012" customHeight="1" spans="1:6">
      <c r="A3012" s="9" t="s">
        <v>10298</v>
      </c>
      <c r="B3012" s="195" t="s">
        <v>10299</v>
      </c>
      <c r="C3012" s="202" t="s">
        <v>10300</v>
      </c>
      <c r="D3012" s="152"/>
      <c r="E3012" s="154" t="s">
        <v>232</v>
      </c>
      <c r="F3012" s="180"/>
    </row>
    <row r="3013" customHeight="1" spans="1:6">
      <c r="A3013" s="9" t="s">
        <v>10301</v>
      </c>
      <c r="B3013" s="200" t="s">
        <v>10302</v>
      </c>
      <c r="C3013" s="236" t="s">
        <v>10303</v>
      </c>
      <c r="D3013" s="194"/>
      <c r="E3013" s="193" t="s">
        <v>2783</v>
      </c>
      <c r="F3013" s="191"/>
    </row>
    <row r="3014" customHeight="1" spans="1:6">
      <c r="A3014" s="9" t="s">
        <v>10304</v>
      </c>
      <c r="B3014" s="195" t="s">
        <v>10305</v>
      </c>
      <c r="C3014" s="196" t="s">
        <v>10306</v>
      </c>
      <c r="D3014" s="197"/>
      <c r="E3014" s="197" t="s">
        <v>3119</v>
      </c>
      <c r="F3014" s="197"/>
    </row>
    <row r="3015" customHeight="1" spans="1:6">
      <c r="A3015" s="9" t="s">
        <v>10307</v>
      </c>
      <c r="B3015" s="200" t="s">
        <v>10308</v>
      </c>
      <c r="C3015" s="192" t="s">
        <v>10309</v>
      </c>
      <c r="D3015" s="194"/>
      <c r="E3015" s="194" t="s">
        <v>3119</v>
      </c>
      <c r="F3015" s="194"/>
    </row>
    <row r="3016" customHeight="1" spans="1:6">
      <c r="A3016" s="9" t="s">
        <v>10310</v>
      </c>
      <c r="B3016" s="201" t="s">
        <v>10311</v>
      </c>
      <c r="C3016" s="202" t="s">
        <v>10312</v>
      </c>
      <c r="D3016" s="154" t="s">
        <v>10313</v>
      </c>
      <c r="E3016" s="154"/>
      <c r="F3016" s="180"/>
    </row>
    <row r="3017" customHeight="1" spans="1:6">
      <c r="A3017" s="9" t="s">
        <v>10314</v>
      </c>
      <c r="B3017" s="195" t="s">
        <v>10315</v>
      </c>
      <c r="C3017" s="202" t="s">
        <v>10316</v>
      </c>
      <c r="D3017" s="154">
        <v>96344801</v>
      </c>
      <c r="E3017" s="154" t="s">
        <v>104</v>
      </c>
      <c r="F3017" s="180"/>
    </row>
    <row r="3018" customHeight="1" spans="1:6">
      <c r="A3018" s="9" t="s">
        <v>10317</v>
      </c>
      <c r="B3018" s="200" t="s">
        <v>10318</v>
      </c>
      <c r="C3018" s="202" t="s">
        <v>10319</v>
      </c>
      <c r="D3018" s="152"/>
      <c r="E3018" s="154" t="s">
        <v>232</v>
      </c>
      <c r="F3018" s="180"/>
    </row>
    <row r="3019" customHeight="1" spans="1:6">
      <c r="A3019" s="9" t="s">
        <v>10320</v>
      </c>
      <c r="B3019" s="195" t="s">
        <v>10321</v>
      </c>
      <c r="C3019" s="202" t="s">
        <v>10322</v>
      </c>
      <c r="D3019" s="152" t="s">
        <v>10323</v>
      </c>
      <c r="E3019" s="154" t="s">
        <v>9</v>
      </c>
      <c r="F3019" s="180"/>
    </row>
    <row r="3020" customHeight="1" spans="1:6">
      <c r="A3020" s="9" t="s">
        <v>10324</v>
      </c>
      <c r="B3020" s="200" t="s">
        <v>10325</v>
      </c>
      <c r="C3020" s="192" t="s">
        <v>10326</v>
      </c>
      <c r="D3020" s="194" t="s">
        <v>10327</v>
      </c>
      <c r="E3020" s="194" t="s">
        <v>58</v>
      </c>
      <c r="F3020" s="194"/>
    </row>
    <row r="3021" customHeight="1" spans="1:6">
      <c r="A3021" s="9" t="s">
        <v>10328</v>
      </c>
      <c r="B3021" s="195" t="s">
        <v>10329</v>
      </c>
      <c r="C3021" s="202" t="s">
        <v>10330</v>
      </c>
      <c r="D3021" s="324" t="s">
        <v>10331</v>
      </c>
      <c r="E3021" s="154"/>
      <c r="F3021" s="180"/>
    </row>
    <row r="3022" customHeight="1" spans="1:6">
      <c r="A3022" s="9" t="s">
        <v>10332</v>
      </c>
      <c r="B3022" s="233" t="s">
        <v>10333</v>
      </c>
      <c r="C3022" s="233" t="s">
        <v>10334</v>
      </c>
      <c r="D3022" s="204" t="s">
        <v>10335</v>
      </c>
      <c r="E3022" s="204" t="s">
        <v>605</v>
      </c>
      <c r="F3022" s="204" t="s">
        <v>10336</v>
      </c>
    </row>
    <row r="3023" customHeight="1" spans="1:6">
      <c r="A3023" s="9" t="s">
        <v>10337</v>
      </c>
      <c r="B3023" s="195" t="s">
        <v>10338</v>
      </c>
      <c r="C3023" s="202" t="s">
        <v>10339</v>
      </c>
      <c r="D3023" s="152"/>
      <c r="E3023" s="154" t="s">
        <v>232</v>
      </c>
      <c r="F3023" s="180"/>
    </row>
    <row r="3024" customHeight="1" spans="1:6">
      <c r="A3024" s="9" t="s">
        <v>10340</v>
      </c>
      <c r="B3024" s="200" t="s">
        <v>10341</v>
      </c>
      <c r="C3024" s="202" t="s">
        <v>10342</v>
      </c>
      <c r="D3024" s="158" t="s">
        <v>10343</v>
      </c>
      <c r="E3024" s="154" t="s">
        <v>202</v>
      </c>
      <c r="F3024" s="180"/>
    </row>
    <row r="3025" customHeight="1" spans="1:6">
      <c r="A3025" s="9" t="s">
        <v>10344</v>
      </c>
      <c r="B3025" s="201" t="s">
        <v>10345</v>
      </c>
      <c r="C3025" s="202" t="s">
        <v>10346</v>
      </c>
      <c r="D3025" s="153"/>
      <c r="E3025" s="180" t="s">
        <v>104</v>
      </c>
      <c r="F3025" s="180"/>
    </row>
    <row r="3026" customHeight="1" spans="1:6">
      <c r="A3026" s="9" t="s">
        <v>10347</v>
      </c>
      <c r="B3026" s="201" t="s">
        <v>10348</v>
      </c>
      <c r="C3026" s="202" t="s">
        <v>10349</v>
      </c>
      <c r="D3026" s="153"/>
      <c r="E3026" s="180" t="s">
        <v>104</v>
      </c>
      <c r="F3026" s="180"/>
    </row>
    <row r="3027" customHeight="1" spans="1:6">
      <c r="A3027" s="9" t="s">
        <v>10350</v>
      </c>
      <c r="B3027" s="222" t="str">
        <f>IFERROR(__xludf.DUMMYFUNCTION("""COMPUTED_VALUE"""),"Ato/Ashenafi Mitike and/or Bitaniya Dereje")</f>
        <v>Ato/Ashenafi Mitike and/or Bitaniya Dereje</v>
      </c>
      <c r="C3027" s="222" t="str">
        <f>IFERROR(__xludf.DUMMYFUNCTION("""COMPUTED_VALUE"""),"አቶ/ አሸናፊ ምትኬ እና /ወይም ቢታኒያ ደረጀ")</f>
        <v>አቶ/ አሸናፊ ምትኬ እና /ወይም ቢታኒያ ደረጀ</v>
      </c>
      <c r="D3027" s="222" t="str">
        <f>IFERROR(__xludf.DUMMYFUNCTION("""COMPUTED_VALUE"""),"0945-65484")</f>
        <v>0945-65484</v>
      </c>
      <c r="E3027" s="222" t="str">
        <f>IFERROR(__xludf.DUMMYFUNCTION("""COMPUTED_VALUE"""),"addis abeba")</f>
        <v>addis abeba</v>
      </c>
      <c r="F3027" s="222" t="str">
        <f>IFERROR(__xludf.DUMMYFUNCTION("""COMPUTED_VALUE"""),"mesislove@gmail.com")</f>
        <v>mesislove@gmail.com</v>
      </c>
    </row>
    <row r="3028" customHeight="1" spans="1:6">
      <c r="A3028" s="9" t="s">
        <v>10351</v>
      </c>
      <c r="B3028" s="195" t="s">
        <v>10352</v>
      </c>
      <c r="C3028" s="196" t="s">
        <v>10353</v>
      </c>
      <c r="D3028" s="197"/>
      <c r="E3028" s="198" t="s">
        <v>1958</v>
      </c>
      <c r="F3028" s="199"/>
    </row>
    <row r="3029" customHeight="1" spans="1:6">
      <c r="A3029" s="9" t="s">
        <v>10354</v>
      </c>
      <c r="B3029" s="200" t="s">
        <v>10355</v>
      </c>
      <c r="C3029" s="236" t="s">
        <v>10356</v>
      </c>
      <c r="D3029" s="194"/>
      <c r="E3029" s="194" t="s">
        <v>3811</v>
      </c>
      <c r="F3029" s="194"/>
    </row>
    <row r="3030" customHeight="1" spans="1:6">
      <c r="A3030" s="9" t="s">
        <v>10357</v>
      </c>
      <c r="B3030" s="153" t="s">
        <v>10358</v>
      </c>
      <c r="C3030" s="196" t="s">
        <v>10359</v>
      </c>
      <c r="D3030" s="197"/>
      <c r="E3030" s="198" t="s">
        <v>216</v>
      </c>
      <c r="F3030" s="199"/>
    </row>
    <row r="3031" customHeight="1" spans="1:6">
      <c r="A3031" s="9" t="s">
        <v>10360</v>
      </c>
      <c r="B3031" s="220" t="str">
        <f>IFERROR(__xludf.DUMMYFUNCTION("""COMPUTED_VALUE"""),"Atrsaw Andargie  /Ato/ for Yared Atrsaw Andargei /Mionr/")</f>
        <v>Atrsaw Andargie  /Ato/ for Yared Atrsaw Andargei /Mionr/</v>
      </c>
      <c r="C3031" s="220" t="str">
        <f>IFERROR(__xludf.DUMMYFUNCTION("""COMPUTED_VALUE"""),"አትርሳው አንዳርጌ /አቶ ለህፃን ያሬድ አትርሳው አንዳርጌ")</f>
        <v>አትርሳው አንዳርጌ /አቶ ለህፃን ያሬድ አትርሳው አንዳርጌ</v>
      </c>
      <c r="D3031" s="220" t="str">
        <f>IFERROR(__xludf.DUMMYFUNCTION("""COMPUTED_VALUE"""),"0911212417
0940069695")</f>
        <v>0911212417
0940069695</v>
      </c>
      <c r="E3031" s="220" t="str">
        <f>IFERROR(__xludf.DUMMYFUNCTION("""COMPUTED_VALUE"""),"Addis Ababa")</f>
        <v>Addis Ababa</v>
      </c>
      <c r="F3031" s="220"/>
    </row>
    <row r="3032" customHeight="1" spans="1:6">
      <c r="A3032" s="9" t="s">
        <v>10361</v>
      </c>
      <c r="B3032" s="220" t="str">
        <f>IFERROR(__xludf.DUMMYFUNCTION("""COMPUTED_VALUE"""),"Atrsaw Andargie /Ato/ for Tsion Atrsaw Andargei /Mionr/")</f>
        <v>Atrsaw Andargie /Ato/ for Tsion Atrsaw Andargei /Mionr/</v>
      </c>
      <c r="C3032" s="220" t="str">
        <f>IFERROR(__xludf.DUMMYFUNCTION("""COMPUTED_VALUE"""),"አትርሳው አንዳርጌ /አቶ ለህፃን ጽዮን አትርሳው አንዳርጌ")</f>
        <v>አትርሳው አንዳርጌ /አቶ ለህፃን ጽዮን አትርሳው አንዳርጌ</v>
      </c>
      <c r="D3032" s="220" t="str">
        <f>IFERROR(__xludf.DUMMYFUNCTION("""COMPUTED_VALUE"""),"0911212417
0940069695")</f>
        <v>0911212417
0940069695</v>
      </c>
      <c r="E3032" s="220" t="str">
        <f>IFERROR(__xludf.DUMMYFUNCTION("""COMPUTED_VALUE"""),"addis abeba")</f>
        <v>addis abeba</v>
      </c>
      <c r="F3032" s="220"/>
    </row>
    <row r="3033" customHeight="1" spans="1:6">
      <c r="A3033" s="9" t="s">
        <v>10362</v>
      </c>
      <c r="B3033" s="276" t="str">
        <f>IFERROR(__xludf.DUMMYFUNCTION("""COMPUTED_VALUE"""),"Atsede Kassaye Eyasu")</f>
        <v>Atsede Kassaye Eyasu</v>
      </c>
      <c r="C3033" s="276" t="str">
        <f>IFERROR(__xludf.DUMMYFUNCTION("""COMPUTED_VALUE"""),"አፀደ ካሳዬ እያሱ")</f>
        <v>አፀደ ካሳዬ እያሱ</v>
      </c>
      <c r="D3033" s="276" t="str">
        <f>IFERROR(__xludf.DUMMYFUNCTION("""COMPUTED_VALUE"""),"0911861953/0911409635")</f>
        <v>0911861953/0911409635</v>
      </c>
      <c r="E3033" s="276" t="str">
        <f>IFERROR(__xludf.DUMMYFUNCTION("""COMPUTED_VALUE"""),"Addis Ababa")</f>
        <v>Addis Ababa</v>
      </c>
      <c r="F3033" s="276" t="str">
        <f>IFERROR(__xludf.DUMMYFUNCTION("""COMPUTED_VALUE"""),"atseeyasu@gmail.com")</f>
        <v>atseeyasu@gmail.com</v>
      </c>
    </row>
    <row r="3034" customHeight="1" spans="1:6">
      <c r="A3034" s="9" t="s">
        <v>10363</v>
      </c>
      <c r="B3034" s="215" t="s">
        <v>10364</v>
      </c>
      <c r="C3034" s="205" t="s">
        <v>10365</v>
      </c>
      <c r="D3034" s="244" t="s">
        <v>10366</v>
      </c>
      <c r="E3034" s="26" t="s">
        <v>92</v>
      </c>
      <c r="F3034" s="26"/>
    </row>
    <row r="3035" customHeight="1" spans="1:6">
      <c r="A3035" s="9" t="s">
        <v>10367</v>
      </c>
      <c r="B3035" s="214" t="s">
        <v>10368</v>
      </c>
      <c r="C3035" s="214" t="s">
        <v>10369</v>
      </c>
      <c r="D3035" s="194"/>
      <c r="E3035" s="204" t="s">
        <v>92</v>
      </c>
      <c r="F3035" s="204"/>
    </row>
    <row r="3036" customHeight="1" spans="1:6">
      <c r="A3036" s="9" t="s">
        <v>10370</v>
      </c>
      <c r="B3036" s="258" t="s">
        <v>10371</v>
      </c>
      <c r="C3036" s="258" t="s">
        <v>10372</v>
      </c>
      <c r="D3036" s="240" t="s">
        <v>10373</v>
      </c>
      <c r="E3036" s="240" t="s">
        <v>92</v>
      </c>
      <c r="F3036" s="240"/>
    </row>
    <row r="3037" customHeight="1" spans="1:6">
      <c r="A3037" s="9" t="s">
        <v>10374</v>
      </c>
      <c r="B3037" s="214" t="s">
        <v>10375</v>
      </c>
      <c r="C3037" s="214" t="s">
        <v>10376</v>
      </c>
      <c r="D3037" s="194"/>
      <c r="E3037" s="204" t="s">
        <v>92</v>
      </c>
      <c r="F3037" s="204"/>
    </row>
    <row r="3038" customHeight="1" spans="1:6">
      <c r="A3038" s="9" t="s">
        <v>10377</v>
      </c>
      <c r="B3038" s="160" t="s">
        <v>10378</v>
      </c>
      <c r="C3038" s="160" t="s">
        <v>10379</v>
      </c>
      <c r="D3038" s="204" t="s">
        <v>10380</v>
      </c>
      <c r="E3038" s="204" t="s">
        <v>92</v>
      </c>
      <c r="F3038" s="204"/>
    </row>
    <row r="3039" customHeight="1" spans="1:6">
      <c r="A3039" s="9" t="s">
        <v>10381</v>
      </c>
      <c r="B3039" s="160" t="s">
        <v>10382</v>
      </c>
      <c r="C3039" s="160" t="s">
        <v>10383</v>
      </c>
      <c r="D3039" s="204" t="s">
        <v>10384</v>
      </c>
      <c r="E3039" s="204" t="s">
        <v>92</v>
      </c>
      <c r="F3039" s="204"/>
    </row>
    <row r="3040" customHeight="1" spans="1:6">
      <c r="A3040" s="9" t="s">
        <v>10385</v>
      </c>
      <c r="B3040" s="223" t="s">
        <v>10386</v>
      </c>
      <c r="C3040" s="223" t="s">
        <v>10387</v>
      </c>
      <c r="D3040" s="204" t="s">
        <v>10388</v>
      </c>
      <c r="E3040" s="204" t="s">
        <v>92</v>
      </c>
      <c r="F3040" s="204"/>
    </row>
    <row r="3041" customHeight="1" spans="1:6">
      <c r="A3041" s="9" t="s">
        <v>10389</v>
      </c>
      <c r="B3041" s="325" t="s">
        <v>10390</v>
      </c>
      <c r="C3041" s="205" t="s">
        <v>10387</v>
      </c>
      <c r="D3041" s="206" t="s">
        <v>10391</v>
      </c>
      <c r="E3041" s="193" t="s">
        <v>120</v>
      </c>
      <c r="F3041" s="207" t="s">
        <v>10392</v>
      </c>
    </row>
    <row r="3042" customHeight="1" spans="1:6">
      <c r="A3042" s="9" t="s">
        <v>10393</v>
      </c>
      <c r="B3042" s="255" t="s">
        <v>10394</v>
      </c>
      <c r="C3042" s="255" t="s">
        <v>10387</v>
      </c>
      <c r="D3042" s="256" t="s">
        <v>10391</v>
      </c>
      <c r="E3042" s="26" t="s">
        <v>1701</v>
      </c>
      <c r="F3042" s="257" t="s">
        <v>10395</v>
      </c>
    </row>
    <row r="3043" customHeight="1" spans="1:6">
      <c r="A3043" s="9" t="s">
        <v>10396</v>
      </c>
      <c r="B3043" s="200" t="s">
        <v>10397</v>
      </c>
      <c r="C3043" s="192" t="s">
        <v>10398</v>
      </c>
      <c r="D3043" s="194"/>
      <c r="E3043" s="194" t="s">
        <v>243</v>
      </c>
      <c r="F3043" s="194"/>
    </row>
    <row r="3044" customHeight="1" spans="1:6">
      <c r="A3044" s="9" t="s">
        <v>10399</v>
      </c>
      <c r="B3044" s="205" t="s">
        <v>10400</v>
      </c>
      <c r="C3044" s="205" t="s">
        <v>10401</v>
      </c>
      <c r="D3044" s="206" t="s">
        <v>10402</v>
      </c>
      <c r="E3044" s="193" t="s">
        <v>120</v>
      </c>
      <c r="F3044" s="221"/>
    </row>
    <row r="3045" customHeight="1" spans="1:6">
      <c r="A3045" s="9" t="s">
        <v>10403</v>
      </c>
      <c r="B3045" s="215" t="s">
        <v>10400</v>
      </c>
      <c r="C3045" s="205" t="s">
        <v>10401</v>
      </c>
      <c r="D3045" s="255" t="s">
        <v>10404</v>
      </c>
      <c r="E3045" s="26" t="s">
        <v>92</v>
      </c>
      <c r="F3045" s="26" t="s">
        <v>10405</v>
      </c>
    </row>
    <row r="3046" customHeight="1" spans="1:6">
      <c r="A3046" s="9" t="s">
        <v>10406</v>
      </c>
      <c r="B3046" s="201" t="s">
        <v>10407</v>
      </c>
      <c r="C3046" s="202" t="s">
        <v>10408</v>
      </c>
      <c r="D3046" s="154"/>
      <c r="E3046" s="154" t="s">
        <v>243</v>
      </c>
      <c r="F3046" s="180"/>
    </row>
    <row r="3047" customHeight="1" spans="1:6">
      <c r="A3047" s="9" t="s">
        <v>10409</v>
      </c>
      <c r="B3047" s="160" t="s">
        <v>10410</v>
      </c>
      <c r="C3047" s="160" t="s">
        <v>10411</v>
      </c>
      <c r="D3047" s="204" t="s">
        <v>10412</v>
      </c>
      <c r="E3047" s="204" t="s">
        <v>92</v>
      </c>
      <c r="F3047" s="204"/>
    </row>
    <row r="3048" customHeight="1" spans="1:6">
      <c r="A3048" s="9" t="s">
        <v>10413</v>
      </c>
      <c r="B3048" s="223" t="s">
        <v>10414</v>
      </c>
      <c r="C3048" s="223" t="s">
        <v>10415</v>
      </c>
      <c r="D3048" s="204" t="s">
        <v>10416</v>
      </c>
      <c r="E3048" s="173" t="s">
        <v>92</v>
      </c>
      <c r="F3048" s="234"/>
    </row>
    <row r="3049" customHeight="1" spans="1:6">
      <c r="A3049" s="9" t="s">
        <v>10417</v>
      </c>
      <c r="B3049" s="205" t="s">
        <v>10418</v>
      </c>
      <c r="C3049" s="205" t="s">
        <v>10419</v>
      </c>
      <c r="D3049" s="206" t="s">
        <v>10420</v>
      </c>
      <c r="E3049" s="193" t="s">
        <v>120</v>
      </c>
      <c r="F3049" s="207" t="s">
        <v>10421</v>
      </c>
    </row>
    <row r="3050" customHeight="1" spans="1:6">
      <c r="A3050" s="9" t="s">
        <v>10422</v>
      </c>
      <c r="B3050" s="201" t="s">
        <v>10423</v>
      </c>
      <c r="C3050" s="202" t="s">
        <v>10424</v>
      </c>
      <c r="D3050" s="154"/>
      <c r="E3050" s="154"/>
      <c r="F3050" s="180"/>
    </row>
    <row r="3051" customHeight="1" spans="1:6">
      <c r="A3051" s="9" t="s">
        <v>10425</v>
      </c>
      <c r="B3051" s="201" t="s">
        <v>10426</v>
      </c>
      <c r="C3051" s="202" t="s">
        <v>10427</v>
      </c>
      <c r="D3051" s="154"/>
      <c r="E3051" s="154" t="s">
        <v>479</v>
      </c>
      <c r="F3051" s="180"/>
    </row>
    <row r="3052" customHeight="1" spans="1:6">
      <c r="A3052" s="9" t="s">
        <v>10428</v>
      </c>
      <c r="B3052" s="201" t="s">
        <v>10429</v>
      </c>
      <c r="C3052" s="202" t="s">
        <v>10430</v>
      </c>
      <c r="D3052" s="154" t="s">
        <v>10431</v>
      </c>
      <c r="E3052" s="154" t="s">
        <v>479</v>
      </c>
      <c r="F3052" s="180"/>
    </row>
    <row r="3053" customHeight="1" spans="1:6">
      <c r="A3053" s="9" t="s">
        <v>10432</v>
      </c>
      <c r="B3053" s="194" t="s">
        <v>10433</v>
      </c>
      <c r="C3053" s="202" t="s">
        <v>10434</v>
      </c>
      <c r="D3053" s="158" t="s">
        <v>10435</v>
      </c>
      <c r="E3053" s="154" t="s">
        <v>243</v>
      </c>
      <c r="F3053" s="250"/>
    </row>
    <row r="3054" customHeight="1" spans="1:6">
      <c r="A3054" s="9" t="s">
        <v>10436</v>
      </c>
      <c r="B3054" s="195" t="s">
        <v>10437</v>
      </c>
      <c r="C3054" s="202" t="s">
        <v>10438</v>
      </c>
      <c r="D3054" s="152" t="s">
        <v>10439</v>
      </c>
      <c r="E3054" s="154"/>
      <c r="F3054" s="180"/>
    </row>
    <row r="3055" customHeight="1" spans="1:6">
      <c r="A3055" s="9" t="s">
        <v>10440</v>
      </c>
      <c r="B3055" s="197" t="s">
        <v>10441</v>
      </c>
      <c r="C3055" s="196" t="s">
        <v>10442</v>
      </c>
      <c r="D3055" s="197"/>
      <c r="E3055" s="197" t="s">
        <v>310</v>
      </c>
      <c r="F3055" s="197"/>
    </row>
    <row r="3056" customHeight="1" spans="1:6">
      <c r="A3056" s="9" t="s">
        <v>10443</v>
      </c>
      <c r="B3056" s="200" t="s">
        <v>10444</v>
      </c>
      <c r="C3056" s="202" t="s">
        <v>10445</v>
      </c>
      <c r="D3056" s="152" t="s">
        <v>10446</v>
      </c>
      <c r="E3056" s="154" t="s">
        <v>232</v>
      </c>
      <c r="F3056" s="180"/>
    </row>
    <row r="3057" customHeight="1" spans="1:6">
      <c r="A3057" s="9" t="s">
        <v>10447</v>
      </c>
      <c r="B3057" s="160" t="s">
        <v>10448</v>
      </c>
      <c r="C3057" s="160" t="s">
        <v>10449</v>
      </c>
      <c r="D3057" s="194"/>
      <c r="E3057" s="204" t="s">
        <v>92</v>
      </c>
      <c r="F3057" s="204"/>
    </row>
    <row r="3058" customHeight="1" spans="1:6">
      <c r="A3058" s="9" t="s">
        <v>10450</v>
      </c>
      <c r="B3058" s="180" t="s">
        <v>10451</v>
      </c>
      <c r="C3058" s="243" t="s">
        <v>10452</v>
      </c>
      <c r="D3058" s="154"/>
      <c r="E3058" s="158" t="s">
        <v>968</v>
      </c>
      <c r="F3058" s="153"/>
    </row>
    <row r="3059" customHeight="1" spans="1:6">
      <c r="A3059" s="9" t="s">
        <v>10453</v>
      </c>
      <c r="B3059" s="194" t="s">
        <v>10454</v>
      </c>
      <c r="C3059" s="202" t="s">
        <v>10455</v>
      </c>
      <c r="D3059" s="154" t="s">
        <v>10456</v>
      </c>
      <c r="E3059" s="210" t="s">
        <v>104</v>
      </c>
      <c r="F3059" s="211"/>
    </row>
    <row r="3060" customHeight="1" spans="1:6">
      <c r="A3060" s="9" t="s">
        <v>10457</v>
      </c>
      <c r="B3060" s="160" t="s">
        <v>10458</v>
      </c>
      <c r="C3060" s="160" t="s">
        <v>10459</v>
      </c>
      <c r="D3060" s="204" t="s">
        <v>10460</v>
      </c>
      <c r="E3060" s="204" t="s">
        <v>92</v>
      </c>
      <c r="F3060" s="204"/>
    </row>
    <row r="3061" customHeight="1" spans="1:6">
      <c r="A3061" s="9" t="s">
        <v>10461</v>
      </c>
      <c r="B3061" s="153" t="s">
        <v>10462</v>
      </c>
      <c r="C3061" s="202" t="s">
        <v>10463</v>
      </c>
      <c r="D3061" s="154">
        <v>920092315</v>
      </c>
      <c r="E3061" s="154" t="s">
        <v>202</v>
      </c>
      <c r="F3061" s="180"/>
    </row>
    <row r="3062" customHeight="1" spans="1:6">
      <c r="A3062" s="9" t="s">
        <v>10464</v>
      </c>
      <c r="B3062" s="200" t="s">
        <v>10465</v>
      </c>
      <c r="C3062" s="192" t="s">
        <v>10466</v>
      </c>
      <c r="D3062" s="194"/>
      <c r="E3062" s="193" t="s">
        <v>202</v>
      </c>
      <c r="F3062" s="191"/>
    </row>
    <row r="3063" customHeight="1" spans="1:6">
      <c r="A3063" s="9" t="s">
        <v>10467</v>
      </c>
      <c r="B3063" s="195" t="s">
        <v>10468</v>
      </c>
      <c r="C3063" s="203" t="s">
        <v>10469</v>
      </c>
      <c r="D3063" s="197"/>
      <c r="E3063" s="197" t="s">
        <v>273</v>
      </c>
      <c r="F3063" s="197"/>
    </row>
    <row r="3064" customHeight="1" spans="1:6">
      <c r="A3064" s="9" t="s">
        <v>10470</v>
      </c>
      <c r="B3064" s="200" t="s">
        <v>10471</v>
      </c>
      <c r="C3064" s="202" t="s">
        <v>10472</v>
      </c>
      <c r="D3064" s="154"/>
      <c r="E3064" s="154" t="s">
        <v>104</v>
      </c>
      <c r="F3064" s="180"/>
    </row>
    <row r="3065" customHeight="1" spans="1:6">
      <c r="A3065" s="9" t="s">
        <v>10473</v>
      </c>
      <c r="B3065" s="183" t="str">
        <f>IFERROR(__xludf.DUMMYFUNCTION("""COMPUTED_VALUE"""),"Aweke Hune Ayalew")</f>
        <v>Aweke Hune Ayalew</v>
      </c>
      <c r="C3065" s="183" t="str">
        <f>IFERROR(__xludf.DUMMYFUNCTION("""COMPUTED_VALUE"""),"አወቀ ሁኔ አያሌው")</f>
        <v>አወቀ ሁኔ አያሌው</v>
      </c>
      <c r="D3065" s="183" t="str">
        <f>IFERROR(__xludf.DUMMYFUNCTION("""COMPUTED_VALUE"""),"911311598")</f>
        <v>911311598</v>
      </c>
      <c r="E3065" s="183" t="str">
        <f>IFERROR(__xludf.DUMMYFUNCTION("""COMPUTED_VALUE"""),"Addis Ababa")</f>
        <v>Addis Ababa</v>
      </c>
      <c r="F3065" s="183"/>
    </row>
    <row r="3066" customHeight="1" spans="1:6">
      <c r="A3066" s="9" t="s">
        <v>10474</v>
      </c>
      <c r="B3066" s="200" t="s">
        <v>10475</v>
      </c>
      <c r="C3066" s="202" t="s">
        <v>10476</v>
      </c>
      <c r="D3066" s="158">
        <v>918246688</v>
      </c>
      <c r="E3066" s="154" t="s">
        <v>104</v>
      </c>
      <c r="F3066" s="180"/>
    </row>
    <row r="3067" customHeight="1" spans="1:6">
      <c r="A3067" s="9" t="s">
        <v>10477</v>
      </c>
      <c r="B3067" s="153" t="s">
        <v>10478</v>
      </c>
      <c r="C3067" s="202" t="s">
        <v>10479</v>
      </c>
      <c r="D3067" s="345" t="s">
        <v>10480</v>
      </c>
      <c r="E3067" s="154" t="s">
        <v>253</v>
      </c>
      <c r="F3067" s="180"/>
    </row>
    <row r="3068" customHeight="1" spans="1:6">
      <c r="A3068" s="9" t="s">
        <v>10481</v>
      </c>
      <c r="B3068" s="200" t="s">
        <v>10482</v>
      </c>
      <c r="C3068" s="192" t="s">
        <v>10483</v>
      </c>
      <c r="D3068" s="194"/>
      <c r="E3068" s="194" t="s">
        <v>202</v>
      </c>
      <c r="F3068" s="194"/>
    </row>
    <row r="3069" customHeight="1" spans="1:6">
      <c r="A3069" s="9" t="s">
        <v>10484</v>
      </c>
      <c r="B3069" s="195" t="s">
        <v>10485</v>
      </c>
      <c r="C3069" s="203" t="s">
        <v>10486</v>
      </c>
      <c r="D3069" s="197"/>
      <c r="E3069" s="197" t="s">
        <v>273</v>
      </c>
      <c r="F3069" s="197"/>
    </row>
    <row r="3070" customHeight="1" spans="1:6">
      <c r="A3070" s="9" t="s">
        <v>10487</v>
      </c>
      <c r="B3070" s="214" t="s">
        <v>10488</v>
      </c>
      <c r="C3070" s="214" t="s">
        <v>10489</v>
      </c>
      <c r="D3070" s="194"/>
      <c r="E3070" s="204" t="s">
        <v>92</v>
      </c>
      <c r="F3070" s="204"/>
    </row>
    <row r="3071" customHeight="1" spans="1:6">
      <c r="A3071" s="9" t="s">
        <v>10490</v>
      </c>
      <c r="B3071" s="166" t="str">
        <f>IFERROR(__xludf.DUMMYFUNCTION("""COMPUTED_VALUE"""),"Awet G/selasie, Elonai Efrem, Elbethel Efrem, Elnatan Kidus efrem")</f>
        <v>Awet G/selasie, Elonai Efrem, Elbethel Efrem, Elnatan Kidus efrem</v>
      </c>
      <c r="C3071" s="166" t="str">
        <f>IFERROR(B648__xludf.DUMMYFUNCTION("""COMPUTED_VALUE"""),"አወት ገ/ስላሴ፣ ኤሎናይ ኤፍሬም ፣ ኤልቤቴል ኤፍሬም፣ ኤልናታን ቅዱስ ኤፍሬም")</f>
        <v>አወት ገ/ስላሴ፣ ኤሎናይ ኤፍሬም ፣ ኤልቤቴል ኤፍሬም፣ ኤልናታን ቅዱስ ኤፍሬም</v>
      </c>
      <c r="D3071" s="166" t="str">
        <f>IFERROR(__xludf.DUMMYFUNCTION("""COMPUTED_VALUE"""),"922324235")</f>
        <v>922324235</v>
      </c>
      <c r="E3071" s="166" t="str">
        <f>IFERROR(__xludf.DUMMYFUNCTION("""COMPUTED_VALUE"""),"OROMIYA (LEGETAFO)")</f>
        <v>OROMIYA (LEGETAFO)</v>
      </c>
      <c r="F3071" s="166" t="str">
        <f>IFERROR(__xludf.DUMMYFUNCTION("""COMPUTED_VALUE"""),"awetg@hotmail.com")</f>
        <v>awetg@hotmail.com</v>
      </c>
    </row>
    <row r="3072" customHeight="1" spans="1:6">
      <c r="A3072" s="9" t="s">
        <v>10491</v>
      </c>
      <c r="B3072" s="180" t="s">
        <v>10492</v>
      </c>
      <c r="C3072" s="243" t="s">
        <v>10493</v>
      </c>
      <c r="D3072" s="154"/>
      <c r="E3072" s="158" t="s">
        <v>243</v>
      </c>
      <c r="F3072" s="153"/>
    </row>
    <row r="3073" customHeight="1" spans="1:6">
      <c r="A3073" s="9" t="s">
        <v>10494</v>
      </c>
      <c r="B3073" s="215" t="s">
        <v>10495</v>
      </c>
      <c r="C3073" s="205" t="s">
        <v>10449</v>
      </c>
      <c r="D3073" s="227" t="s">
        <v>10496</v>
      </c>
      <c r="E3073" s="193" t="s">
        <v>120</v>
      </c>
      <c r="F3073" s="216"/>
    </row>
    <row r="3074" customHeight="1" spans="1:6">
      <c r="A3074" s="9" t="s">
        <v>10497</v>
      </c>
      <c r="B3074" s="200" t="s">
        <v>10498</v>
      </c>
      <c r="C3074" s="202" t="s">
        <v>10499</v>
      </c>
      <c r="D3074" s="152"/>
      <c r="E3074" s="154"/>
      <c r="F3074" s="180"/>
    </row>
    <row r="3075" customHeight="1" spans="1:6">
      <c r="A3075" s="9" t="s">
        <v>10500</v>
      </c>
      <c r="B3075" s="200" t="s">
        <v>10501</v>
      </c>
      <c r="C3075" s="192" t="s">
        <v>10502</v>
      </c>
      <c r="D3075" s="194" t="s">
        <v>10503</v>
      </c>
      <c r="E3075" s="194" t="s">
        <v>58</v>
      </c>
      <c r="F3075" s="194"/>
    </row>
    <row r="3076" customHeight="1" spans="1:6">
      <c r="A3076" s="9" t="s">
        <v>10504</v>
      </c>
      <c r="B3076" s="195" t="s">
        <v>10505</v>
      </c>
      <c r="C3076" s="202" t="s">
        <v>10506</v>
      </c>
      <c r="D3076" s="158"/>
      <c r="E3076" s="154" t="s">
        <v>104</v>
      </c>
      <c r="F3076" s="180"/>
    </row>
    <row r="3077" customHeight="1" spans="1:6">
      <c r="A3077" s="9" t="s">
        <v>10507</v>
      </c>
      <c r="B3077" s="195" t="s">
        <v>10508</v>
      </c>
      <c r="C3077" s="254" t="s">
        <v>10509</v>
      </c>
      <c r="D3077" s="197"/>
      <c r="E3077" s="197" t="s">
        <v>243</v>
      </c>
      <c r="F3077" s="197"/>
    </row>
    <row r="3078" customHeight="1" spans="1:6">
      <c r="A3078" s="9" t="s">
        <v>10510</v>
      </c>
      <c r="B3078" s="200" t="s">
        <v>10511</v>
      </c>
      <c r="C3078" s="192" t="s">
        <v>10512</v>
      </c>
      <c r="D3078" s="194"/>
      <c r="E3078" s="194" t="s">
        <v>202</v>
      </c>
      <c r="F3078" s="194"/>
    </row>
    <row r="3079" customHeight="1" spans="1:6">
      <c r="A3079" s="9" t="s">
        <v>10513</v>
      </c>
      <c r="B3079" s="200" t="s">
        <v>10514</v>
      </c>
      <c r="C3079" s="202" t="s">
        <v>10515</v>
      </c>
      <c r="D3079" s="152"/>
      <c r="E3079" s="154" t="s">
        <v>104</v>
      </c>
      <c r="F3079" s="180"/>
    </row>
    <row r="3080" customHeight="1" spans="1:6">
      <c r="A3080" s="9" t="s">
        <v>10516</v>
      </c>
      <c r="B3080" s="200" t="s">
        <v>10517</v>
      </c>
      <c r="C3080" s="202" t="s">
        <v>10518</v>
      </c>
      <c r="D3080" s="152"/>
      <c r="E3080" s="154" t="s">
        <v>104</v>
      </c>
      <c r="F3080" s="180"/>
    </row>
    <row r="3081" customHeight="1" spans="1:6">
      <c r="A3081" s="9" t="s">
        <v>10519</v>
      </c>
      <c r="B3081" s="200" t="s">
        <v>10520</v>
      </c>
      <c r="C3081" s="202" t="s">
        <v>10521</v>
      </c>
      <c r="D3081" s="152" t="s">
        <v>10522</v>
      </c>
      <c r="E3081" s="154"/>
      <c r="F3081" s="180"/>
    </row>
    <row r="3082" customHeight="1" spans="1:6">
      <c r="A3082" s="9" t="s">
        <v>10523</v>
      </c>
      <c r="B3082" s="153" t="s">
        <v>10524</v>
      </c>
      <c r="C3082" s="196" t="s">
        <v>10525</v>
      </c>
      <c r="D3082" s="197"/>
      <c r="E3082" s="198" t="s">
        <v>216</v>
      </c>
      <c r="F3082" s="199"/>
    </row>
    <row r="3083" customHeight="1" spans="1:6">
      <c r="A3083" s="9" t="s">
        <v>10526</v>
      </c>
      <c r="B3083" s="195" t="s">
        <v>10527</v>
      </c>
      <c r="C3083" s="202" t="s">
        <v>10528</v>
      </c>
      <c r="D3083" s="152" t="s">
        <v>4283</v>
      </c>
      <c r="E3083" s="154" t="s">
        <v>181</v>
      </c>
      <c r="F3083" s="180"/>
    </row>
    <row r="3084" customHeight="1" spans="1:6">
      <c r="A3084" s="9" t="s">
        <v>10529</v>
      </c>
      <c r="B3084" s="171" t="s">
        <v>10530</v>
      </c>
      <c r="C3084" s="218" t="s">
        <v>10531</v>
      </c>
      <c r="D3084" s="155" t="s">
        <v>10532</v>
      </c>
      <c r="E3084" s="154" t="s">
        <v>253</v>
      </c>
      <c r="F3084" s="180"/>
    </row>
    <row r="3085" customHeight="1" spans="1:6">
      <c r="A3085" s="9" t="s">
        <v>10533</v>
      </c>
      <c r="B3085" s="200" t="s">
        <v>10534</v>
      </c>
      <c r="C3085" s="202" t="s">
        <v>10535</v>
      </c>
      <c r="D3085" s="152"/>
      <c r="E3085" s="154" t="s">
        <v>232</v>
      </c>
      <c r="F3085" s="180"/>
    </row>
    <row r="3086" customHeight="1" spans="1:6">
      <c r="A3086" s="9" t="s">
        <v>10536</v>
      </c>
      <c r="B3086" s="195" t="s">
        <v>10537</v>
      </c>
      <c r="C3086" s="196" t="s">
        <v>10538</v>
      </c>
      <c r="D3086" s="197"/>
      <c r="E3086" s="197" t="s">
        <v>202</v>
      </c>
      <c r="F3086" s="197"/>
    </row>
    <row r="3087" customHeight="1" spans="1:6">
      <c r="A3087" s="9" t="s">
        <v>10539</v>
      </c>
      <c r="B3087" s="200" t="s">
        <v>10540</v>
      </c>
      <c r="C3087" s="192" t="s">
        <v>10541</v>
      </c>
      <c r="D3087" s="194"/>
      <c r="E3087" s="194" t="s">
        <v>125</v>
      </c>
      <c r="F3087" s="194"/>
    </row>
    <row r="3088" customHeight="1" spans="1:6">
      <c r="A3088" s="9" t="s">
        <v>10542</v>
      </c>
      <c r="B3088" s="200" t="s">
        <v>10543</v>
      </c>
      <c r="C3088" s="202" t="s">
        <v>10544</v>
      </c>
      <c r="D3088" s="152" t="s">
        <v>10545</v>
      </c>
      <c r="E3088" s="154" t="s">
        <v>232</v>
      </c>
      <c r="F3088" s="180"/>
    </row>
    <row r="3089" customHeight="1" spans="1:6">
      <c r="A3089" s="9" t="s">
        <v>10546</v>
      </c>
      <c r="B3089" s="200" t="s">
        <v>10547</v>
      </c>
      <c r="C3089" s="202" t="s">
        <v>10548</v>
      </c>
      <c r="D3089" s="154"/>
      <c r="E3089" s="154" t="s">
        <v>104</v>
      </c>
      <c r="F3089" s="180"/>
    </row>
    <row r="3090" customHeight="1" spans="1:6">
      <c r="A3090" s="9" t="s">
        <v>10549</v>
      </c>
      <c r="B3090" s="194" t="s">
        <v>10550</v>
      </c>
      <c r="C3090" s="202" t="s">
        <v>10551</v>
      </c>
      <c r="D3090" s="248"/>
      <c r="E3090" s="154" t="s">
        <v>104</v>
      </c>
      <c r="F3090" s="180"/>
    </row>
    <row r="3091" customHeight="1" spans="1:6">
      <c r="A3091" s="9" t="s">
        <v>10552</v>
      </c>
      <c r="B3091" s="194" t="s">
        <v>10553</v>
      </c>
      <c r="C3091" s="202" t="s">
        <v>10554</v>
      </c>
      <c r="D3091" s="158" t="s">
        <v>10555</v>
      </c>
      <c r="E3091" s="154" t="s">
        <v>104</v>
      </c>
      <c r="F3091" s="180"/>
    </row>
    <row r="3092" customHeight="1" spans="1:6">
      <c r="A3092" s="9" t="s">
        <v>10556</v>
      </c>
      <c r="B3092" s="231" t="str">
        <f>IFERROR(__xludf.DUMMYFUNCTION("""COMPUTED_VALUE"""),"Awoke Geto Zeleke /Ato")</f>
        <v>Awoke Geto Zeleke /Ato</v>
      </c>
      <c r="C3092" s="231" t="str">
        <f>IFERROR(__xludf.DUMMYFUNCTION("""COMPUTED_VALUE"""),"አወቀ ጌቶ ዘለቀ /አቶ")</f>
        <v>አወቀ ጌቶ ዘለቀ /አቶ</v>
      </c>
      <c r="D3092" s="231" t="str">
        <f>IFERROR(__xludf.DUMMYFUNCTION("""COMPUTED_VALUE"""),"913806297")</f>
        <v>913806297</v>
      </c>
      <c r="E3092" s="231" t="str">
        <f>IFERROR(__xludf.DUMMYFUNCTION("""COMPUTED_VALUE"""),"Addis Ababa")</f>
        <v>Addis Ababa</v>
      </c>
      <c r="F3092" s="231" t="str">
        <f>IFERROR(__xludf.DUMMYFUNCTION("""COMPUTED_VALUE"""),"awoke2015@gmail.com")</f>
        <v>awoke2015@gmail.com</v>
      </c>
    </row>
    <row r="3093" customHeight="1" spans="1:6">
      <c r="A3093" s="9" t="s">
        <v>10556</v>
      </c>
      <c r="B3093" s="231" t="str">
        <f>IFERROR(__xludf.DUMMYFUNCTION("""COMPUTED_VALUE"""),"Awoke Geto Zeleke /Ato")</f>
        <v>Awoke Geto Zeleke /Ato</v>
      </c>
      <c r="C3093" s="231" t="str">
        <f>IFERROR(__xludf.DUMMYFUNCTION("""COMPUTED_VALUE"""),"አወቀ ጌቶ ዘለቀ /አቶ")</f>
        <v>አወቀ ጌቶ ዘለቀ /አቶ</v>
      </c>
      <c r="D3093" s="231" t="str">
        <f>IFERROR(__xludf.DUMMYFUNCTION("""COMPUTED_VALUE"""),"913806298")</f>
        <v>913806298</v>
      </c>
      <c r="E3093" s="231" t="str">
        <f>IFERROR(__xludf.DUMMYFUNCTION("""COMPUTED_VALUE"""),"Addis Ababa")</f>
        <v>Addis Ababa</v>
      </c>
      <c r="F3093" s="231" t="str">
        <f>IFERROR(__xludf.DUMMYFUNCTION("""COMPUTED_VALUE"""),"awoke2015@gmail.com")</f>
        <v>awoke2015@gmail.com</v>
      </c>
    </row>
    <row r="3094" customHeight="1" spans="1:6">
      <c r="A3094" s="9" t="s">
        <v>10557</v>
      </c>
      <c r="B3094" s="195" t="s">
        <v>10558</v>
      </c>
      <c r="C3094" s="202" t="s">
        <v>10559</v>
      </c>
      <c r="D3094" s="152"/>
      <c r="E3094" s="154" t="s">
        <v>232</v>
      </c>
      <c r="F3094" s="180"/>
    </row>
    <row r="3095" customHeight="1" spans="1:6">
      <c r="A3095" s="9" t="s">
        <v>10560</v>
      </c>
      <c r="B3095" s="200" t="s">
        <v>10561</v>
      </c>
      <c r="C3095" s="202" t="s">
        <v>10562</v>
      </c>
      <c r="D3095" s="152"/>
      <c r="E3095" s="154" t="s">
        <v>232</v>
      </c>
      <c r="F3095" s="180"/>
    </row>
    <row r="3096" customHeight="1" spans="1:6">
      <c r="A3096" s="9" t="s">
        <v>10563</v>
      </c>
      <c r="B3096" s="195" t="s">
        <v>10564</v>
      </c>
      <c r="C3096" s="254" t="s">
        <v>10565</v>
      </c>
      <c r="D3096" s="197"/>
      <c r="E3096" s="197" t="s">
        <v>202</v>
      </c>
      <c r="F3096" s="197"/>
    </row>
    <row r="3097" customHeight="1" spans="1:6">
      <c r="A3097" s="9" t="s">
        <v>10566</v>
      </c>
      <c r="B3097" s="200" t="s">
        <v>10567</v>
      </c>
      <c r="C3097" s="202" t="s">
        <v>10568</v>
      </c>
      <c r="D3097" s="152"/>
      <c r="E3097" s="154" t="s">
        <v>232</v>
      </c>
      <c r="F3097" s="180"/>
    </row>
    <row r="3098" customHeight="1" spans="1:6">
      <c r="A3098" s="9" t="s">
        <v>10569</v>
      </c>
      <c r="B3098" s="158" t="s">
        <v>10570</v>
      </c>
      <c r="C3098" s="202" t="s">
        <v>10571</v>
      </c>
      <c r="D3098" s="158">
        <v>964394548</v>
      </c>
      <c r="E3098" s="154" t="s">
        <v>497</v>
      </c>
      <c r="F3098" s="180"/>
    </row>
    <row r="3099" customHeight="1" spans="1:6">
      <c r="A3099" s="9" t="s">
        <v>10572</v>
      </c>
      <c r="B3099" s="160" t="s">
        <v>10573</v>
      </c>
      <c r="C3099" s="160" t="s">
        <v>10574</v>
      </c>
      <c r="D3099" s="223" t="s">
        <v>10575</v>
      </c>
      <c r="E3099" s="204" t="s">
        <v>92</v>
      </c>
      <c r="F3099" s="204" t="s">
        <v>10576</v>
      </c>
    </row>
    <row r="3100" customHeight="1" spans="1:6">
      <c r="A3100" s="9" t="s">
        <v>10577</v>
      </c>
      <c r="B3100" s="153" t="s">
        <v>10578</v>
      </c>
      <c r="C3100" s="202" t="s">
        <v>10579</v>
      </c>
      <c r="D3100" s="154">
        <v>918323821</v>
      </c>
      <c r="E3100" s="154" t="s">
        <v>232</v>
      </c>
      <c r="F3100" s="180"/>
    </row>
    <row r="3101" customHeight="1" spans="1:6">
      <c r="A3101" s="9" t="s">
        <v>10580</v>
      </c>
      <c r="B3101" s="194" t="s">
        <v>10581</v>
      </c>
      <c r="C3101" s="203" t="s">
        <v>10582</v>
      </c>
      <c r="D3101" s="197"/>
      <c r="E3101" s="197" t="s">
        <v>253</v>
      </c>
      <c r="F3101" s="197"/>
    </row>
    <row r="3102" customHeight="1" spans="1:6">
      <c r="A3102" s="9" t="s">
        <v>10583</v>
      </c>
      <c r="B3102" s="195" t="s">
        <v>10584</v>
      </c>
      <c r="C3102" s="202" t="s">
        <v>10585</v>
      </c>
      <c r="D3102" s="152"/>
      <c r="E3102" s="154" t="s">
        <v>232</v>
      </c>
      <c r="F3102" s="180"/>
    </row>
    <row r="3103" customHeight="1" spans="1:6">
      <c r="A3103" s="9" t="s">
        <v>10586</v>
      </c>
      <c r="B3103" s="195" t="s">
        <v>10587</v>
      </c>
      <c r="C3103" s="202" t="s">
        <v>10588</v>
      </c>
      <c r="D3103" s="152" t="s">
        <v>10589</v>
      </c>
      <c r="E3103" s="154" t="s">
        <v>232</v>
      </c>
      <c r="F3103" s="180"/>
    </row>
    <row r="3104" customHeight="1" spans="1:6">
      <c r="A3104" s="9" t="s">
        <v>10590</v>
      </c>
      <c r="B3104" s="195" t="s">
        <v>10591</v>
      </c>
      <c r="C3104" s="202" t="s">
        <v>10592</v>
      </c>
      <c r="D3104" s="152"/>
      <c r="E3104" s="154" t="s">
        <v>232</v>
      </c>
      <c r="F3104" s="180"/>
    </row>
    <row r="3105" customHeight="1" spans="1:6">
      <c r="A3105" s="9" t="s">
        <v>10593</v>
      </c>
      <c r="B3105" s="200" t="s">
        <v>10594</v>
      </c>
      <c r="C3105" s="202" t="s">
        <v>10595</v>
      </c>
      <c r="D3105" s="152"/>
      <c r="E3105" s="154" t="s">
        <v>232</v>
      </c>
      <c r="F3105" s="180"/>
    </row>
    <row r="3106" customHeight="1" spans="1:6">
      <c r="A3106" s="9" t="s">
        <v>10596</v>
      </c>
      <c r="B3106" s="153" t="s">
        <v>10597</v>
      </c>
      <c r="C3106" s="202" t="s">
        <v>10598</v>
      </c>
      <c r="D3106" s="154"/>
      <c r="E3106" s="154" t="s">
        <v>104</v>
      </c>
      <c r="F3106" s="180"/>
    </row>
    <row r="3107" customHeight="1" spans="1:6">
      <c r="A3107" s="9" t="s">
        <v>10599</v>
      </c>
      <c r="B3107" s="195" t="s">
        <v>10600</v>
      </c>
      <c r="C3107" s="202" t="s">
        <v>10601</v>
      </c>
      <c r="D3107" s="152"/>
      <c r="E3107" s="154"/>
      <c r="F3107" s="180"/>
    </row>
    <row r="3108" customHeight="1" spans="1:6">
      <c r="A3108" s="9" t="s">
        <v>10602</v>
      </c>
      <c r="B3108" s="201" t="s">
        <v>10603</v>
      </c>
      <c r="C3108" s="202" t="s">
        <v>10604</v>
      </c>
      <c r="D3108" s="153">
        <v>974415073</v>
      </c>
      <c r="E3108" s="180" t="s">
        <v>104</v>
      </c>
      <c r="F3108" s="180"/>
    </row>
    <row r="3109" customHeight="1" spans="1:6">
      <c r="A3109" s="9" t="s">
        <v>10605</v>
      </c>
      <c r="B3109" s="160" t="s">
        <v>10606</v>
      </c>
      <c r="C3109" s="160" t="s">
        <v>10607</v>
      </c>
      <c r="D3109" s="204" t="s">
        <v>10608</v>
      </c>
      <c r="E3109" s="204" t="s">
        <v>92</v>
      </c>
      <c r="F3109" s="204"/>
    </row>
    <row r="3110" customHeight="1" spans="1:6">
      <c r="A3110" s="9" t="s">
        <v>10609</v>
      </c>
      <c r="B3110" s="194" t="s">
        <v>10610</v>
      </c>
      <c r="C3110" s="264" t="s">
        <v>10611</v>
      </c>
      <c r="D3110" s="194"/>
      <c r="E3110" s="194"/>
      <c r="F3110" s="194"/>
    </row>
    <row r="3111" customHeight="1" spans="1:6">
      <c r="A3111" s="9" t="s">
        <v>10612</v>
      </c>
      <c r="B3111" s="195" t="s">
        <v>10613</v>
      </c>
      <c r="C3111" s="196" t="s">
        <v>10614</v>
      </c>
      <c r="D3111" s="197" t="s">
        <v>10615</v>
      </c>
      <c r="E3111" s="198" t="s">
        <v>13</v>
      </c>
      <c r="F3111" s="199"/>
    </row>
    <row r="3112" customHeight="1" spans="1:6">
      <c r="A3112" s="9" t="s">
        <v>10616</v>
      </c>
      <c r="B3112" s="201" t="s">
        <v>10617</v>
      </c>
      <c r="C3112" s="202" t="s">
        <v>10618</v>
      </c>
      <c r="D3112" s="154" t="s">
        <v>10619</v>
      </c>
      <c r="E3112" s="154" t="s">
        <v>84</v>
      </c>
      <c r="F3112" s="180"/>
    </row>
    <row r="3113" customHeight="1" spans="1:6">
      <c r="A3113" s="9" t="s">
        <v>10620</v>
      </c>
      <c r="B3113" s="201" t="s">
        <v>10621</v>
      </c>
      <c r="C3113" s="202" t="s">
        <v>10622</v>
      </c>
      <c r="D3113" s="154" t="s">
        <v>10623</v>
      </c>
      <c r="E3113" s="154"/>
      <c r="F3113" s="180"/>
    </row>
    <row r="3114" customHeight="1" spans="1:6">
      <c r="A3114" s="9" t="s">
        <v>10624</v>
      </c>
      <c r="B3114" s="200" t="s">
        <v>10625</v>
      </c>
      <c r="C3114" s="192" t="s">
        <v>10626</v>
      </c>
      <c r="D3114" s="194" t="s">
        <v>10627</v>
      </c>
      <c r="E3114" s="193" t="s">
        <v>13</v>
      </c>
      <c r="F3114" s="191"/>
    </row>
    <row r="3115" customHeight="1" spans="1:6">
      <c r="A3115" s="9" t="s">
        <v>10628</v>
      </c>
      <c r="B3115" s="258" t="s">
        <v>10629</v>
      </c>
      <c r="C3115" s="258" t="s">
        <v>10630</v>
      </c>
      <c r="D3115" s="240" t="s">
        <v>10631</v>
      </c>
      <c r="E3115" s="240" t="s">
        <v>92</v>
      </c>
      <c r="F3115" s="240"/>
    </row>
    <row r="3116" customHeight="1" spans="1:6">
      <c r="A3116" s="9" t="s">
        <v>10632</v>
      </c>
      <c r="B3116" s="160" t="s">
        <v>10633</v>
      </c>
      <c r="C3116" s="160" t="s">
        <v>10634</v>
      </c>
      <c r="D3116" s="204" t="s">
        <v>10635</v>
      </c>
      <c r="E3116" s="204" t="s">
        <v>92</v>
      </c>
      <c r="F3116" s="204"/>
    </row>
    <row r="3117" customHeight="1" spans="1:6">
      <c r="A3117" s="9" t="s">
        <v>10636</v>
      </c>
      <c r="B3117" s="199" t="s">
        <v>10637</v>
      </c>
      <c r="C3117" s="196" t="s">
        <v>10638</v>
      </c>
      <c r="D3117" s="198" t="s">
        <v>10639</v>
      </c>
      <c r="E3117" s="197" t="s">
        <v>9</v>
      </c>
      <c r="F3117" s="197"/>
    </row>
    <row r="3118" customHeight="1" spans="1:6">
      <c r="A3118" s="9" t="s">
        <v>10640</v>
      </c>
      <c r="B3118" s="201" t="s">
        <v>10641</v>
      </c>
      <c r="C3118" s="202" t="s">
        <v>10642</v>
      </c>
      <c r="D3118" s="154"/>
      <c r="E3118" s="154" t="s">
        <v>243</v>
      </c>
      <c r="F3118" s="180"/>
    </row>
    <row r="3119" customHeight="1" spans="1:6">
      <c r="A3119" s="9" t="s">
        <v>10643</v>
      </c>
      <c r="B3119" s="201" t="s">
        <v>10644</v>
      </c>
      <c r="C3119" s="202" t="s">
        <v>10645</v>
      </c>
      <c r="D3119" s="154" t="s">
        <v>10646</v>
      </c>
      <c r="E3119" s="154" t="s">
        <v>479</v>
      </c>
      <c r="F3119" s="180"/>
    </row>
    <row r="3120" customHeight="1" spans="1:6">
      <c r="A3120" s="9" t="s">
        <v>10647</v>
      </c>
      <c r="B3120" s="200" t="s">
        <v>10648</v>
      </c>
      <c r="C3120" s="202" t="s">
        <v>10649</v>
      </c>
      <c r="D3120" s="152" t="s">
        <v>10650</v>
      </c>
      <c r="E3120" s="154"/>
      <c r="F3120" s="180"/>
    </row>
    <row r="3121" customHeight="1" spans="1:6">
      <c r="A3121" s="9" t="s">
        <v>10651</v>
      </c>
      <c r="B3121" s="195" t="s">
        <v>10652</v>
      </c>
      <c r="C3121" s="202" t="s">
        <v>10653</v>
      </c>
      <c r="D3121" s="152" t="s">
        <v>10654</v>
      </c>
      <c r="E3121" s="154" t="s">
        <v>104</v>
      </c>
      <c r="F3121" s="180"/>
    </row>
    <row r="3122" customHeight="1" spans="1:6">
      <c r="A3122" s="9" t="s">
        <v>10655</v>
      </c>
      <c r="B3122" s="201" t="s">
        <v>10656</v>
      </c>
      <c r="C3122" s="202" t="s">
        <v>10657</v>
      </c>
      <c r="D3122" s="154" t="s">
        <v>10658</v>
      </c>
      <c r="E3122" s="154" t="s">
        <v>211</v>
      </c>
      <c r="F3122" s="180"/>
    </row>
    <row r="3123" customHeight="1" spans="1:6">
      <c r="A3123" s="9" t="s">
        <v>10659</v>
      </c>
      <c r="B3123" s="180" t="s">
        <v>10660</v>
      </c>
      <c r="C3123" s="243" t="s">
        <v>10661</v>
      </c>
      <c r="D3123" s="154"/>
      <c r="E3123" s="158" t="s">
        <v>968</v>
      </c>
      <c r="F3123" s="153"/>
    </row>
    <row r="3124" customHeight="1" spans="1:6">
      <c r="A3124" s="9" t="s">
        <v>10662</v>
      </c>
      <c r="B3124" s="223" t="s">
        <v>10663</v>
      </c>
      <c r="C3124" s="223" t="s">
        <v>10664</v>
      </c>
      <c r="D3124" s="204" t="s">
        <v>10665</v>
      </c>
      <c r="E3124" s="204" t="s">
        <v>92</v>
      </c>
      <c r="F3124" s="204"/>
    </row>
    <row r="3125" customHeight="1" spans="1:6">
      <c r="A3125" s="9" t="s">
        <v>10666</v>
      </c>
      <c r="B3125" s="234" t="s">
        <v>10667</v>
      </c>
      <c r="C3125" s="235" t="s">
        <v>10668</v>
      </c>
      <c r="D3125" s="344" t="s">
        <v>10669</v>
      </c>
      <c r="E3125" s="45" t="s">
        <v>691</v>
      </c>
      <c r="F3125" s="288" t="s">
        <v>10670</v>
      </c>
    </row>
    <row r="3126" customHeight="1" spans="1:6">
      <c r="A3126" s="9" t="s">
        <v>10671</v>
      </c>
      <c r="B3126" s="158" t="s">
        <v>10672</v>
      </c>
      <c r="C3126" s="202" t="s">
        <v>10673</v>
      </c>
      <c r="D3126" s="158">
        <v>910011489</v>
      </c>
      <c r="E3126" s="154" t="s">
        <v>497</v>
      </c>
      <c r="F3126" s="180"/>
    </row>
    <row r="3127" customHeight="1" spans="1:6">
      <c r="A3127" s="9" t="s">
        <v>10674</v>
      </c>
      <c r="B3127" s="194" t="s">
        <v>10675</v>
      </c>
      <c r="C3127" s="202" t="s">
        <v>10676</v>
      </c>
      <c r="D3127" s="153"/>
      <c r="E3127" s="180" t="s">
        <v>216</v>
      </c>
      <c r="F3127" s="180"/>
    </row>
    <row r="3128" customHeight="1" spans="1:6">
      <c r="A3128" s="9" t="s">
        <v>10677</v>
      </c>
      <c r="B3128" s="195" t="s">
        <v>10678</v>
      </c>
      <c r="C3128" s="212" t="s">
        <v>10679</v>
      </c>
      <c r="D3128" s="197" t="s">
        <v>10680</v>
      </c>
      <c r="E3128" s="154" t="s">
        <v>104</v>
      </c>
      <c r="F3128" s="199"/>
    </row>
    <row r="3129" customHeight="1" spans="1:6">
      <c r="A3129" s="9" t="s">
        <v>10681</v>
      </c>
      <c r="B3129" s="201" t="s">
        <v>10682</v>
      </c>
      <c r="C3129" s="202" t="s">
        <v>10683</v>
      </c>
      <c r="D3129" s="154" t="s">
        <v>10684</v>
      </c>
      <c r="E3129" s="154" t="s">
        <v>1395</v>
      </c>
      <c r="F3129" s="180"/>
    </row>
    <row r="3130" customHeight="1" spans="1:6">
      <c r="A3130" s="9" t="s">
        <v>10685</v>
      </c>
      <c r="B3130" s="201" t="s">
        <v>10686</v>
      </c>
      <c r="C3130" s="202" t="s">
        <v>10687</v>
      </c>
      <c r="D3130" s="154" t="s">
        <v>10688</v>
      </c>
      <c r="E3130" s="154" t="s">
        <v>211</v>
      </c>
      <c r="F3130" s="180"/>
    </row>
    <row r="3131" customHeight="1" spans="1:6">
      <c r="A3131" s="9" t="s">
        <v>10689</v>
      </c>
      <c r="B3131" s="200" t="s">
        <v>10690</v>
      </c>
      <c r="C3131" s="192" t="s">
        <v>10691</v>
      </c>
      <c r="D3131" s="194" t="s">
        <v>10692</v>
      </c>
      <c r="E3131" s="194" t="s">
        <v>10693</v>
      </c>
      <c r="F3131" s="194"/>
    </row>
    <row r="3132" customHeight="1" spans="1:6">
      <c r="A3132" s="9" t="s">
        <v>10694</v>
      </c>
      <c r="B3132" s="223" t="s">
        <v>10695</v>
      </c>
      <c r="C3132" s="223" t="s">
        <v>10696</v>
      </c>
      <c r="D3132" s="204" t="s">
        <v>10697</v>
      </c>
      <c r="E3132" s="204" t="s">
        <v>92</v>
      </c>
      <c r="F3132" s="204"/>
    </row>
    <row r="3133" customHeight="1" spans="1:6">
      <c r="A3133" s="9" t="s">
        <v>10698</v>
      </c>
      <c r="B3133" s="195" t="s">
        <v>10699</v>
      </c>
      <c r="C3133" s="202" t="s">
        <v>10700</v>
      </c>
      <c r="D3133" s="152"/>
      <c r="E3133" s="154" t="s">
        <v>181</v>
      </c>
      <c r="F3133" s="180"/>
    </row>
    <row r="3134" customHeight="1" spans="1:6">
      <c r="A3134" s="9" t="s">
        <v>10701</v>
      </c>
      <c r="B3134" s="195" t="s">
        <v>10702</v>
      </c>
      <c r="C3134" s="202" t="s">
        <v>10703</v>
      </c>
      <c r="D3134" s="152"/>
      <c r="E3134" s="154" t="s">
        <v>104</v>
      </c>
      <c r="F3134" s="180"/>
    </row>
    <row r="3135" customHeight="1" spans="1:6">
      <c r="A3135" s="9" t="s">
        <v>10704</v>
      </c>
      <c r="B3135" s="158" t="s">
        <v>10705</v>
      </c>
      <c r="C3135" s="202" t="s">
        <v>10706</v>
      </c>
      <c r="D3135" s="158">
        <v>964534176</v>
      </c>
      <c r="E3135" s="154" t="s">
        <v>104</v>
      </c>
      <c r="F3135" s="180"/>
    </row>
    <row r="3136" customHeight="1" spans="1:6">
      <c r="A3136" s="9" t="s">
        <v>10707</v>
      </c>
      <c r="B3136" s="195" t="s">
        <v>10708</v>
      </c>
      <c r="C3136" s="202" t="s">
        <v>10709</v>
      </c>
      <c r="D3136" s="152"/>
      <c r="E3136" s="154" t="s">
        <v>232</v>
      </c>
      <c r="F3136" s="180"/>
    </row>
    <row r="3137" customHeight="1" spans="1:6">
      <c r="A3137" s="9" t="s">
        <v>10710</v>
      </c>
      <c r="B3137" s="153" t="s">
        <v>10711</v>
      </c>
      <c r="C3137" s="202" t="s">
        <v>10712</v>
      </c>
      <c r="D3137" s="154" t="s">
        <v>10713</v>
      </c>
      <c r="E3137" s="154" t="s">
        <v>202</v>
      </c>
      <c r="F3137" s="180"/>
    </row>
    <row r="3138" customHeight="1" spans="1:6">
      <c r="A3138" s="9" t="s">
        <v>10714</v>
      </c>
      <c r="B3138" s="200" t="s">
        <v>10715</v>
      </c>
      <c r="C3138" s="246" t="s">
        <v>10716</v>
      </c>
      <c r="D3138" s="194"/>
      <c r="E3138" s="194" t="s">
        <v>202</v>
      </c>
      <c r="F3138" s="194"/>
    </row>
    <row r="3139" customHeight="1" spans="1:6">
      <c r="A3139" s="9" t="s">
        <v>10717</v>
      </c>
      <c r="B3139" s="223" t="s">
        <v>10718</v>
      </c>
      <c r="C3139" s="223" t="s">
        <v>10719</v>
      </c>
      <c r="D3139" s="204" t="s">
        <v>10720</v>
      </c>
      <c r="E3139" s="204" t="s">
        <v>92</v>
      </c>
      <c r="F3139" s="204"/>
    </row>
    <row r="3140" customHeight="1" spans="1:6">
      <c r="A3140" s="9" t="s">
        <v>10721</v>
      </c>
      <c r="B3140" s="233" t="s">
        <v>10722</v>
      </c>
      <c r="C3140" s="233" t="s">
        <v>10723</v>
      </c>
      <c r="D3140" s="204" t="s">
        <v>10724</v>
      </c>
      <c r="E3140" s="204" t="s">
        <v>605</v>
      </c>
      <c r="F3140" s="204" t="s">
        <v>10725</v>
      </c>
    </row>
    <row r="3141" customHeight="1" spans="1:6">
      <c r="A3141" s="9" t="s">
        <v>10726</v>
      </c>
      <c r="B3141" s="195" t="s">
        <v>10727</v>
      </c>
      <c r="C3141" s="254" t="s">
        <v>10728</v>
      </c>
      <c r="D3141" s="197"/>
      <c r="E3141" s="197" t="s">
        <v>243</v>
      </c>
      <c r="F3141" s="197"/>
    </row>
    <row r="3142" customHeight="1" spans="1:6">
      <c r="A3142" s="9" t="s">
        <v>10729</v>
      </c>
      <c r="B3142" s="280" t="s">
        <v>10730</v>
      </c>
      <c r="C3142" s="202" t="s">
        <v>10731</v>
      </c>
      <c r="D3142" s="153">
        <v>976623000</v>
      </c>
      <c r="E3142" s="180" t="s">
        <v>104</v>
      </c>
      <c r="F3142" s="180"/>
    </row>
    <row r="3143" customHeight="1" spans="1:6">
      <c r="A3143" s="9" t="s">
        <v>10732</v>
      </c>
      <c r="B3143" s="195" t="s">
        <v>10733</v>
      </c>
      <c r="C3143" s="196" t="s">
        <v>10734</v>
      </c>
      <c r="D3143" s="197" t="s">
        <v>10735</v>
      </c>
      <c r="E3143" s="198" t="s">
        <v>216</v>
      </c>
      <c r="F3143" s="199"/>
    </row>
    <row r="3144" customHeight="1" spans="1:6">
      <c r="A3144" s="9" t="s">
        <v>10736</v>
      </c>
      <c r="B3144" s="214" t="s">
        <v>10737</v>
      </c>
      <c r="C3144" s="214" t="s">
        <v>10738</v>
      </c>
      <c r="D3144" s="194"/>
      <c r="E3144" s="204" t="s">
        <v>92</v>
      </c>
      <c r="F3144" s="204"/>
    </row>
    <row r="3145" customHeight="1" spans="1:6">
      <c r="A3145" s="9" t="s">
        <v>10739</v>
      </c>
      <c r="B3145" s="195" t="s">
        <v>10740</v>
      </c>
      <c r="C3145" s="196" t="s">
        <v>10741</v>
      </c>
      <c r="D3145" s="197"/>
      <c r="E3145" s="197" t="s">
        <v>3119</v>
      </c>
      <c r="F3145" s="197"/>
    </row>
    <row r="3146" customHeight="1" spans="1:6">
      <c r="A3146" s="9" t="s">
        <v>10742</v>
      </c>
      <c r="B3146" s="195" t="s">
        <v>10743</v>
      </c>
      <c r="C3146" s="202" t="s">
        <v>10744</v>
      </c>
      <c r="D3146" s="152"/>
      <c r="E3146" s="154" t="s">
        <v>232</v>
      </c>
      <c r="F3146" s="180"/>
    </row>
    <row r="3147" customHeight="1" spans="1:6">
      <c r="A3147" s="9" t="s">
        <v>10745</v>
      </c>
      <c r="B3147" s="200" t="s">
        <v>10746</v>
      </c>
      <c r="C3147" s="202" t="s">
        <v>10747</v>
      </c>
      <c r="D3147" s="152"/>
      <c r="E3147" s="154" t="s">
        <v>232</v>
      </c>
      <c r="F3147" s="180"/>
    </row>
    <row r="3148" customHeight="1" spans="1:6">
      <c r="A3148" s="9" t="s">
        <v>10748</v>
      </c>
      <c r="B3148" s="224" t="s">
        <v>10749</v>
      </c>
      <c r="C3148" s="225" t="s">
        <v>10750</v>
      </c>
      <c r="D3148" s="228" t="s">
        <v>10751</v>
      </c>
      <c r="E3148" s="229" t="s">
        <v>120</v>
      </c>
      <c r="F3148" s="230" t="s">
        <v>10752</v>
      </c>
    </row>
    <row r="3149" customHeight="1" spans="1:6">
      <c r="A3149" s="9" t="s">
        <v>10748</v>
      </c>
      <c r="B3149" s="224" t="s">
        <v>10749</v>
      </c>
      <c r="C3149" s="225" t="s">
        <v>10750</v>
      </c>
      <c r="D3149" s="226" t="s">
        <v>10751</v>
      </c>
      <c r="E3149" s="29" t="s">
        <v>92</v>
      </c>
      <c r="F3149" s="29" t="s">
        <v>10753</v>
      </c>
    </row>
    <row r="3150" customHeight="1" spans="1:6">
      <c r="A3150" s="9" t="s">
        <v>10754</v>
      </c>
      <c r="B3150" s="195" t="s">
        <v>10755</v>
      </c>
      <c r="C3150" s="196" t="s">
        <v>10756</v>
      </c>
      <c r="D3150" s="197" t="s">
        <v>10757</v>
      </c>
      <c r="E3150" s="198" t="s">
        <v>216</v>
      </c>
      <c r="F3150" s="199"/>
    </row>
    <row r="3151" customHeight="1" spans="1:6">
      <c r="A3151" s="9" t="s">
        <v>10758</v>
      </c>
      <c r="B3151" s="195" t="s">
        <v>10759</v>
      </c>
      <c r="C3151" s="202" t="s">
        <v>10760</v>
      </c>
      <c r="D3151" s="152"/>
      <c r="E3151" s="154" t="s">
        <v>232</v>
      </c>
      <c r="F3151" s="180"/>
    </row>
    <row r="3152" customHeight="1" spans="1:6">
      <c r="A3152" s="9" t="s">
        <v>10761</v>
      </c>
      <c r="B3152" s="233" t="s">
        <v>10762</v>
      </c>
      <c r="C3152" s="233" t="s">
        <v>10763</v>
      </c>
      <c r="D3152" s="204" t="s">
        <v>10764</v>
      </c>
      <c r="E3152" s="204" t="s">
        <v>2067</v>
      </c>
      <c r="F3152" s="204" t="s">
        <v>10765</v>
      </c>
    </row>
    <row r="3153" customHeight="1" spans="1:6">
      <c r="A3153" s="9" t="s">
        <v>10766</v>
      </c>
      <c r="B3153" s="162" t="s">
        <v>10767</v>
      </c>
      <c r="C3153" s="205" t="s">
        <v>10768</v>
      </c>
      <c r="D3153" s="206" t="s">
        <v>10769</v>
      </c>
      <c r="E3153" s="193" t="s">
        <v>120</v>
      </c>
      <c r="F3153" s="221" t="s">
        <v>10770</v>
      </c>
    </row>
    <row r="3154" customHeight="1" spans="1:6">
      <c r="A3154" s="9" t="s">
        <v>10771</v>
      </c>
      <c r="B3154" s="200" t="s">
        <v>10772</v>
      </c>
      <c r="C3154" s="202" t="s">
        <v>10773</v>
      </c>
      <c r="D3154" s="158"/>
      <c r="E3154" s="154" t="s">
        <v>202</v>
      </c>
      <c r="F3154" s="180"/>
    </row>
    <row r="3155" customHeight="1" spans="1:6">
      <c r="A3155" s="9" t="s">
        <v>10774</v>
      </c>
      <c r="B3155" s="200" t="s">
        <v>10775</v>
      </c>
      <c r="C3155" s="192" t="s">
        <v>10776</v>
      </c>
      <c r="D3155" s="274"/>
      <c r="E3155" s="193" t="s">
        <v>1395</v>
      </c>
      <c r="F3155" s="191"/>
    </row>
    <row r="3156" customHeight="1" spans="1:6">
      <c r="A3156" s="9" t="s">
        <v>10777</v>
      </c>
      <c r="B3156" s="201" t="s">
        <v>10778</v>
      </c>
      <c r="C3156" s="202" t="s">
        <v>10779</v>
      </c>
      <c r="D3156" s="154"/>
      <c r="E3156" s="154" t="s">
        <v>1395</v>
      </c>
      <c r="F3156" s="180"/>
    </row>
    <row r="3157" customHeight="1" spans="1:6">
      <c r="A3157" s="9" t="s">
        <v>10780</v>
      </c>
      <c r="B3157" s="201" t="s">
        <v>10781</v>
      </c>
      <c r="C3157" s="202" t="s">
        <v>10782</v>
      </c>
      <c r="D3157" s="154"/>
      <c r="E3157" s="154" t="s">
        <v>58</v>
      </c>
      <c r="F3157" s="180"/>
    </row>
    <row r="3158" customHeight="1" spans="1:6">
      <c r="A3158" s="9" t="s">
        <v>10783</v>
      </c>
      <c r="B3158" s="195" t="s">
        <v>10784</v>
      </c>
      <c r="C3158" s="196" t="s">
        <v>10785</v>
      </c>
      <c r="D3158" s="197" t="s">
        <v>10786</v>
      </c>
      <c r="E3158" s="198" t="s">
        <v>216</v>
      </c>
      <c r="F3158" s="199"/>
    </row>
    <row r="3159" customHeight="1" spans="1:6">
      <c r="A3159" s="9" t="s">
        <v>10787</v>
      </c>
      <c r="B3159" s="195" t="s">
        <v>10788</v>
      </c>
      <c r="C3159" s="202" t="s">
        <v>10789</v>
      </c>
      <c r="D3159" s="152" t="s">
        <v>10790</v>
      </c>
      <c r="E3159" s="154" t="s">
        <v>232</v>
      </c>
      <c r="F3159" s="180"/>
    </row>
    <row r="3160" customHeight="1" spans="1:6">
      <c r="A3160" s="9" t="s">
        <v>10791</v>
      </c>
      <c r="B3160" s="214" t="s">
        <v>10792</v>
      </c>
      <c r="C3160" s="214" t="s">
        <v>10793</v>
      </c>
      <c r="D3160" s="194"/>
      <c r="E3160" s="204" t="s">
        <v>92</v>
      </c>
      <c r="F3160" s="204"/>
    </row>
    <row r="3161" customHeight="1" spans="1:6">
      <c r="A3161" s="9" t="s">
        <v>10794</v>
      </c>
      <c r="B3161" s="205" t="s">
        <v>10792</v>
      </c>
      <c r="C3161" s="205" t="s">
        <v>10795</v>
      </c>
      <c r="D3161" s="206" t="s">
        <v>10796</v>
      </c>
      <c r="E3161" s="193" t="s">
        <v>120</v>
      </c>
      <c r="F3161" s="221" t="s">
        <v>10797</v>
      </c>
    </row>
    <row r="3162" customHeight="1" spans="1:6">
      <c r="A3162" s="9" t="s">
        <v>10798</v>
      </c>
      <c r="B3162" s="215" t="s">
        <v>10799</v>
      </c>
      <c r="C3162" s="205" t="s">
        <v>10800</v>
      </c>
      <c r="D3162" s="206" t="s">
        <v>10801</v>
      </c>
      <c r="E3162" s="193" t="s">
        <v>120</v>
      </c>
      <c r="F3162" s="221" t="s">
        <v>10802</v>
      </c>
    </row>
    <row r="3163" customHeight="1" spans="1:6">
      <c r="A3163" s="9" t="s">
        <v>10803</v>
      </c>
      <c r="B3163" s="200" t="s">
        <v>10804</v>
      </c>
      <c r="C3163" s="202" t="s">
        <v>10805</v>
      </c>
      <c r="D3163" s="152"/>
      <c r="E3163" s="154" t="s">
        <v>104</v>
      </c>
      <c r="F3163" s="180"/>
    </row>
    <row r="3164" customHeight="1" spans="1:6">
      <c r="A3164" s="9" t="s">
        <v>10806</v>
      </c>
      <c r="B3164" s="195" t="s">
        <v>10807</v>
      </c>
      <c r="C3164" s="212" t="s">
        <v>10808</v>
      </c>
      <c r="D3164" s="197"/>
      <c r="E3164" s="198" t="s">
        <v>216</v>
      </c>
      <c r="F3164" s="199"/>
    </row>
    <row r="3165" customHeight="1" spans="1:6">
      <c r="A3165" s="9" t="s">
        <v>10809</v>
      </c>
      <c r="B3165" s="195" t="s">
        <v>10810</v>
      </c>
      <c r="C3165" s="202" t="s">
        <v>10811</v>
      </c>
      <c r="D3165" s="152"/>
      <c r="E3165" s="154" t="s">
        <v>232</v>
      </c>
      <c r="F3165" s="180"/>
    </row>
    <row r="3166" customHeight="1" spans="1:6">
      <c r="A3166" s="9" t="s">
        <v>10812</v>
      </c>
      <c r="B3166" s="197" t="s">
        <v>10813</v>
      </c>
      <c r="C3166" s="196" t="s">
        <v>10814</v>
      </c>
      <c r="D3166" s="197"/>
      <c r="E3166" s="197" t="s">
        <v>243</v>
      </c>
      <c r="F3166" s="197"/>
    </row>
    <row r="3167" customHeight="1" spans="1:6">
      <c r="A3167" s="9" t="s">
        <v>10815</v>
      </c>
      <c r="B3167" s="195" t="s">
        <v>10816</v>
      </c>
      <c r="C3167" s="196" t="s">
        <v>10817</v>
      </c>
      <c r="D3167" s="197" t="s">
        <v>10818</v>
      </c>
      <c r="E3167" s="198" t="s">
        <v>202</v>
      </c>
      <c r="F3167" s="199"/>
    </row>
    <row r="3168" customHeight="1" spans="1:6">
      <c r="A3168" s="9" t="s">
        <v>10819</v>
      </c>
      <c r="B3168" s="200" t="s">
        <v>10820</v>
      </c>
      <c r="C3168" s="202" t="s">
        <v>10821</v>
      </c>
      <c r="D3168" s="152" t="s">
        <v>10822</v>
      </c>
      <c r="E3168" s="154" t="s">
        <v>232</v>
      </c>
      <c r="F3168" s="180"/>
    </row>
    <row r="3169" customHeight="1" spans="1:6">
      <c r="A3169" s="9" t="s">
        <v>10823</v>
      </c>
      <c r="B3169" s="200" t="s">
        <v>10824</v>
      </c>
      <c r="C3169" s="202" t="s">
        <v>10825</v>
      </c>
      <c r="D3169" s="154"/>
      <c r="E3169" s="154" t="s">
        <v>104</v>
      </c>
      <c r="F3169" s="180"/>
    </row>
    <row r="3170" customHeight="1" spans="1:6">
      <c r="A3170" s="9" t="s">
        <v>10826</v>
      </c>
      <c r="B3170" s="200" t="s">
        <v>10827</v>
      </c>
      <c r="C3170" s="192" t="s">
        <v>10828</v>
      </c>
      <c r="D3170" s="194"/>
      <c r="E3170" s="193" t="s">
        <v>202</v>
      </c>
      <c r="F3170" s="191"/>
    </row>
    <row r="3171" customHeight="1" spans="1:6">
      <c r="A3171" s="9" t="s">
        <v>10829</v>
      </c>
      <c r="B3171" s="200" t="s">
        <v>10830</v>
      </c>
      <c r="C3171" s="192" t="s">
        <v>10831</v>
      </c>
      <c r="D3171" s="194"/>
      <c r="E3171" s="193" t="s">
        <v>202</v>
      </c>
      <c r="F3171" s="191"/>
    </row>
    <row r="3172" customHeight="1" spans="1:6">
      <c r="A3172" s="9" t="s">
        <v>10832</v>
      </c>
      <c r="B3172" s="195" t="s">
        <v>10833</v>
      </c>
      <c r="C3172" s="202" t="s">
        <v>10834</v>
      </c>
      <c r="D3172" s="158" t="s">
        <v>10835</v>
      </c>
      <c r="E3172" s="154" t="s">
        <v>202</v>
      </c>
      <c r="F3172" s="180"/>
    </row>
    <row r="3173" customHeight="1" spans="1:6">
      <c r="A3173" s="9" t="s">
        <v>10836</v>
      </c>
      <c r="B3173" s="195" t="s">
        <v>10837</v>
      </c>
      <c r="C3173" s="196" t="s">
        <v>10838</v>
      </c>
      <c r="D3173" s="197" t="s">
        <v>10839</v>
      </c>
      <c r="E3173" s="198" t="s">
        <v>216</v>
      </c>
      <c r="F3173" s="199"/>
    </row>
    <row r="3174" customHeight="1" spans="1:6">
      <c r="A3174" s="9" t="s">
        <v>10840</v>
      </c>
      <c r="B3174" s="255" t="s">
        <v>10841</v>
      </c>
      <c r="C3174" s="255" t="s">
        <v>10842</v>
      </c>
      <c r="D3174" s="256" t="s">
        <v>10843</v>
      </c>
      <c r="E3174" s="26" t="s">
        <v>1701</v>
      </c>
      <c r="F3174" s="257" t="s">
        <v>10844</v>
      </c>
    </row>
    <row r="3175" customHeight="1" spans="1:6">
      <c r="A3175" s="9" t="s">
        <v>10845</v>
      </c>
      <c r="B3175" s="200" t="s">
        <v>10846</v>
      </c>
      <c r="C3175" s="192" t="s">
        <v>10847</v>
      </c>
      <c r="D3175" s="194" t="s">
        <v>10848</v>
      </c>
      <c r="E3175" s="193" t="s">
        <v>202</v>
      </c>
      <c r="F3175" s="191"/>
    </row>
    <row r="3176" customHeight="1" spans="1:6">
      <c r="A3176" s="9" t="s">
        <v>10849</v>
      </c>
      <c r="B3176" s="195" t="s">
        <v>10850</v>
      </c>
      <c r="C3176" s="202" t="s">
        <v>10851</v>
      </c>
      <c r="D3176" s="158" t="s">
        <v>10852</v>
      </c>
      <c r="E3176" s="154" t="s">
        <v>202</v>
      </c>
      <c r="F3176" s="180"/>
    </row>
    <row r="3177" customHeight="1" spans="1:6">
      <c r="A3177" s="9" t="s">
        <v>10853</v>
      </c>
      <c r="B3177" s="153" t="s">
        <v>10854</v>
      </c>
      <c r="C3177" s="202" t="s">
        <v>10855</v>
      </c>
      <c r="D3177" s="154"/>
      <c r="E3177" s="154" t="s">
        <v>104</v>
      </c>
      <c r="F3177" s="180"/>
    </row>
    <row r="3178" customHeight="1" spans="1:6">
      <c r="A3178" s="9" t="s">
        <v>10856</v>
      </c>
      <c r="B3178" s="197" t="s">
        <v>10857</v>
      </c>
      <c r="C3178" s="254" t="s">
        <v>10858</v>
      </c>
      <c r="D3178" s="197"/>
      <c r="E3178" s="197" t="s">
        <v>202</v>
      </c>
      <c r="F3178" s="197"/>
    </row>
    <row r="3179" customHeight="1" spans="1:6">
      <c r="A3179" s="9" t="s">
        <v>10859</v>
      </c>
      <c r="B3179" s="233" t="s">
        <v>10860</v>
      </c>
      <c r="C3179" s="233" t="s">
        <v>10861</v>
      </c>
      <c r="D3179" s="204" t="s">
        <v>10862</v>
      </c>
      <c r="E3179" s="204" t="s">
        <v>92</v>
      </c>
      <c r="F3179" s="204" t="s">
        <v>10863</v>
      </c>
    </row>
    <row r="3180" customHeight="1" spans="1:6">
      <c r="A3180" s="9" t="s">
        <v>10864</v>
      </c>
      <c r="B3180" s="194" t="s">
        <v>10865</v>
      </c>
      <c r="C3180" s="264" t="s">
        <v>10866</v>
      </c>
      <c r="D3180" s="194"/>
      <c r="E3180" s="194" t="s">
        <v>202</v>
      </c>
      <c r="F3180" s="194"/>
    </row>
    <row r="3181" customHeight="1" spans="1:6">
      <c r="A3181" s="9" t="s">
        <v>10867</v>
      </c>
      <c r="B3181" s="200" t="s">
        <v>10868</v>
      </c>
      <c r="C3181" s="202" t="s">
        <v>10869</v>
      </c>
      <c r="D3181" s="152" t="s">
        <v>10870</v>
      </c>
      <c r="E3181" s="154" t="s">
        <v>232</v>
      </c>
      <c r="F3181" s="180"/>
    </row>
    <row r="3182" customHeight="1" spans="1:6">
      <c r="A3182" s="9" t="s">
        <v>10871</v>
      </c>
      <c r="B3182" s="200" t="s">
        <v>10872</v>
      </c>
      <c r="C3182" s="202" t="s">
        <v>10873</v>
      </c>
      <c r="D3182" s="152" t="s">
        <v>10874</v>
      </c>
      <c r="E3182" s="154" t="s">
        <v>232</v>
      </c>
      <c r="F3182" s="180"/>
    </row>
    <row r="3183" customHeight="1" spans="1:6">
      <c r="A3183" s="9" t="s">
        <v>10875</v>
      </c>
      <c r="B3183" s="160" t="s">
        <v>10876</v>
      </c>
      <c r="C3183" s="160" t="s">
        <v>10877</v>
      </c>
      <c r="D3183" s="204" t="s">
        <v>10878</v>
      </c>
      <c r="E3183" s="204" t="s">
        <v>92</v>
      </c>
      <c r="F3183" s="204"/>
    </row>
    <row r="3184" customHeight="1" spans="1:6">
      <c r="A3184" s="9" t="s">
        <v>10879</v>
      </c>
      <c r="B3184" s="194" t="s">
        <v>10880</v>
      </c>
      <c r="C3184" s="192" t="s">
        <v>10881</v>
      </c>
      <c r="D3184" s="194"/>
      <c r="E3184" s="194" t="s">
        <v>104</v>
      </c>
      <c r="F3184" s="194"/>
    </row>
    <row r="3185" customHeight="1" spans="1:6">
      <c r="A3185" s="9" t="s">
        <v>10882</v>
      </c>
      <c r="B3185" s="195" t="s">
        <v>10883</v>
      </c>
      <c r="C3185" s="202" t="s">
        <v>10884</v>
      </c>
      <c r="D3185" s="152"/>
      <c r="E3185" s="154" t="s">
        <v>232</v>
      </c>
      <c r="F3185" s="180"/>
    </row>
    <row r="3186" customHeight="1" spans="1:6">
      <c r="A3186" s="9" t="s">
        <v>10885</v>
      </c>
      <c r="B3186" s="201" t="s">
        <v>10886</v>
      </c>
      <c r="C3186" s="202" t="s">
        <v>10887</v>
      </c>
      <c r="D3186" s="154"/>
      <c r="E3186" s="154"/>
      <c r="F3186" s="180"/>
    </row>
    <row r="3187" customHeight="1" spans="1:6">
      <c r="A3187" s="9" t="s">
        <v>10888</v>
      </c>
      <c r="B3187" s="200" t="s">
        <v>10889</v>
      </c>
      <c r="C3187" s="202" t="s">
        <v>10890</v>
      </c>
      <c r="D3187" s="152" t="s">
        <v>10891</v>
      </c>
      <c r="E3187" s="154"/>
      <c r="F3187" s="180"/>
    </row>
    <row r="3188" customHeight="1" spans="1:6">
      <c r="A3188" s="9" t="s">
        <v>10892</v>
      </c>
      <c r="B3188" s="194" t="s">
        <v>10893</v>
      </c>
      <c r="C3188" s="192" t="s">
        <v>10894</v>
      </c>
      <c r="D3188" s="194"/>
      <c r="E3188" s="194" t="s">
        <v>104</v>
      </c>
      <c r="F3188" s="194"/>
    </row>
    <row r="3189" customHeight="1" spans="1:6">
      <c r="A3189" s="9" t="s">
        <v>10895</v>
      </c>
      <c r="B3189" s="200" t="s">
        <v>10896</v>
      </c>
      <c r="C3189" s="202" t="s">
        <v>10897</v>
      </c>
      <c r="D3189" s="152"/>
      <c r="E3189" s="154" t="s">
        <v>232</v>
      </c>
      <c r="F3189" s="180"/>
    </row>
    <row r="3190" customHeight="1" spans="1:6">
      <c r="A3190" s="9" t="s">
        <v>10898</v>
      </c>
      <c r="B3190" s="195" t="s">
        <v>10899</v>
      </c>
      <c r="C3190" s="202" t="s">
        <v>10900</v>
      </c>
      <c r="D3190" s="152" t="s">
        <v>10901</v>
      </c>
      <c r="E3190" s="154" t="s">
        <v>181</v>
      </c>
      <c r="F3190" s="180"/>
    </row>
    <row r="3191" customHeight="1" spans="1:6">
      <c r="A3191" s="9" t="s">
        <v>10902</v>
      </c>
      <c r="B3191" s="200" t="s">
        <v>10903</v>
      </c>
      <c r="C3191" s="246" t="s">
        <v>10904</v>
      </c>
      <c r="D3191" s="194"/>
      <c r="E3191" s="194" t="s">
        <v>186</v>
      </c>
      <c r="F3191" s="194"/>
    </row>
    <row r="3192" customHeight="1" spans="1:6">
      <c r="A3192" s="9" t="s">
        <v>10905</v>
      </c>
      <c r="B3192" s="214" t="s">
        <v>10906</v>
      </c>
      <c r="C3192" s="214" t="s">
        <v>10907</v>
      </c>
      <c r="D3192" s="194"/>
      <c r="E3192" s="204" t="s">
        <v>92</v>
      </c>
      <c r="F3192" s="204"/>
    </row>
    <row r="3193" customHeight="1" spans="1:6">
      <c r="A3193" s="9" t="s">
        <v>10908</v>
      </c>
      <c r="B3193" s="214" t="s">
        <v>10909</v>
      </c>
      <c r="C3193" s="214" t="s">
        <v>10910</v>
      </c>
      <c r="D3193" s="194"/>
      <c r="E3193" s="204" t="s">
        <v>92</v>
      </c>
      <c r="F3193" s="204"/>
    </row>
    <row r="3194" customHeight="1" spans="1:6">
      <c r="A3194" s="9" t="s">
        <v>10911</v>
      </c>
      <c r="B3194" s="197" t="s">
        <v>10912</v>
      </c>
      <c r="C3194" s="196" t="s">
        <v>10913</v>
      </c>
      <c r="D3194" s="197"/>
      <c r="E3194" s="197" t="s">
        <v>202</v>
      </c>
      <c r="F3194" s="197"/>
    </row>
    <row r="3195" customHeight="1" spans="1:6">
      <c r="A3195" s="9" t="s">
        <v>10914</v>
      </c>
      <c r="B3195" s="197" t="s">
        <v>10915</v>
      </c>
      <c r="C3195" s="196" t="s">
        <v>10916</v>
      </c>
      <c r="D3195" s="197" t="s">
        <v>10917</v>
      </c>
      <c r="E3195" s="197" t="s">
        <v>561</v>
      </c>
      <c r="F3195" s="197"/>
    </row>
    <row r="3196" customHeight="1" spans="1:6">
      <c r="A3196" s="9" t="s">
        <v>10918</v>
      </c>
      <c r="B3196" s="222" t="str">
        <f>IFERROR(__xludf.DUMMYFUNCTION("""COMPUTED_VALUE"""),"Aychelhuem Legesse Negash /Ato")</f>
        <v>Aychelhuem Legesse Negash /Ato</v>
      </c>
      <c r="C3196" s="222" t="str">
        <f>IFERROR(__xludf.DUMMYFUNCTION("""COMPUTED_VALUE"""),"አይችልሁም ለገሰ ነጋሽ /አቶ")</f>
        <v>አይችልሁም ለገሰ ነጋሽ /አቶ</v>
      </c>
      <c r="D3196" s="222" t="str">
        <f>IFERROR(__xludf.DUMMYFUNCTION("""COMPUTED_VALUE"""),"0911573664
0911450874")</f>
        <v>0911573664
0911450874</v>
      </c>
      <c r="E3196" s="222" t="str">
        <f>IFERROR(__xludf.DUMMYFUNCTION("""COMPUTED_VALUE"""),"Addis Ababa")</f>
        <v>Addis Ababa</v>
      </c>
      <c r="F3196" s="222" t="str">
        <f>IFERROR(__xludf.DUMMYFUNCTION("""COMPUTED_VALUE"""),"legesse1@vehzon.net")</f>
        <v>legesse1@vehzon.net</v>
      </c>
    </row>
    <row r="3197" customHeight="1" spans="1:6">
      <c r="A3197" s="9" t="s">
        <v>10919</v>
      </c>
      <c r="B3197" s="160" t="s">
        <v>10920</v>
      </c>
      <c r="C3197" s="160" t="s">
        <v>10921</v>
      </c>
      <c r="D3197" s="204" t="s">
        <v>10922</v>
      </c>
      <c r="E3197" s="204" t="s">
        <v>92</v>
      </c>
      <c r="F3197" s="204"/>
    </row>
    <row r="3198" customHeight="1" spans="1:6">
      <c r="A3198" s="9" t="s">
        <v>10923</v>
      </c>
      <c r="B3198" s="201" t="s">
        <v>10924</v>
      </c>
      <c r="C3198" s="202" t="s">
        <v>10925</v>
      </c>
      <c r="D3198" s="154" t="s">
        <v>10926</v>
      </c>
      <c r="E3198" s="154" t="s">
        <v>58</v>
      </c>
      <c r="F3198" s="180"/>
    </row>
    <row r="3199" customHeight="1" spans="1:6">
      <c r="A3199" s="9" t="s">
        <v>10927</v>
      </c>
      <c r="B3199" s="201" t="s">
        <v>10928</v>
      </c>
      <c r="C3199" s="202" t="s">
        <v>10929</v>
      </c>
      <c r="D3199" s="154"/>
      <c r="E3199" s="154"/>
      <c r="F3199" s="180"/>
    </row>
    <row r="3200" customHeight="1" spans="1:6">
      <c r="A3200" s="9" t="s">
        <v>10930</v>
      </c>
      <c r="B3200" s="195" t="s">
        <v>10931</v>
      </c>
      <c r="C3200" s="202" t="s">
        <v>10932</v>
      </c>
      <c r="D3200" s="152"/>
      <c r="E3200" s="154"/>
      <c r="F3200" s="180"/>
    </row>
    <row r="3201" customHeight="1" spans="1:6">
      <c r="A3201" s="9" t="s">
        <v>10933</v>
      </c>
      <c r="B3201" s="205" t="s">
        <v>10934</v>
      </c>
      <c r="C3201" s="205" t="s">
        <v>10935</v>
      </c>
      <c r="D3201" s="206" t="s">
        <v>10936</v>
      </c>
      <c r="E3201" s="193" t="s">
        <v>120</v>
      </c>
      <c r="F3201" s="207"/>
    </row>
    <row r="3202" customHeight="1" spans="1:6">
      <c r="A3202" s="9" t="s">
        <v>10937</v>
      </c>
      <c r="B3202" s="214" t="s">
        <v>10938</v>
      </c>
      <c r="C3202" s="214" t="s">
        <v>10939</v>
      </c>
      <c r="D3202" s="194"/>
      <c r="E3202" s="204"/>
      <c r="F3202" s="204"/>
    </row>
    <row r="3203" customHeight="1" spans="1:6">
      <c r="A3203" s="9" t="s">
        <v>10940</v>
      </c>
      <c r="B3203" s="197" t="s">
        <v>10941</v>
      </c>
      <c r="C3203" s="203" t="s">
        <v>10942</v>
      </c>
      <c r="D3203" s="197"/>
      <c r="E3203" s="197" t="s">
        <v>273</v>
      </c>
      <c r="F3203" s="197"/>
    </row>
    <row r="3204" customHeight="1" spans="1:6">
      <c r="A3204" s="9" t="s">
        <v>10943</v>
      </c>
      <c r="B3204" s="195" t="s">
        <v>10944</v>
      </c>
      <c r="C3204" s="203" t="s">
        <v>10945</v>
      </c>
      <c r="D3204" s="197"/>
      <c r="E3204" s="197" t="s">
        <v>104</v>
      </c>
      <c r="F3204" s="197"/>
    </row>
    <row r="3205" customHeight="1" spans="1:6">
      <c r="A3205" s="9" t="s">
        <v>10946</v>
      </c>
      <c r="B3205" s="200" t="s">
        <v>10947</v>
      </c>
      <c r="C3205" s="246" t="s">
        <v>10948</v>
      </c>
      <c r="D3205" s="194"/>
      <c r="E3205" s="194" t="s">
        <v>202</v>
      </c>
      <c r="F3205" s="194"/>
    </row>
    <row r="3206" customHeight="1" spans="1:6">
      <c r="A3206" s="9" t="s">
        <v>10949</v>
      </c>
      <c r="B3206" s="195" t="s">
        <v>10950</v>
      </c>
      <c r="C3206" s="202" t="s">
        <v>10951</v>
      </c>
      <c r="D3206" s="152"/>
      <c r="E3206" s="154" t="s">
        <v>232</v>
      </c>
      <c r="F3206" s="180"/>
    </row>
    <row r="3207" customHeight="1" spans="1:6">
      <c r="A3207" s="9" t="s">
        <v>10952</v>
      </c>
      <c r="B3207" s="201" t="s">
        <v>10953</v>
      </c>
      <c r="C3207" s="202" t="s">
        <v>10954</v>
      </c>
      <c r="D3207" s="154"/>
      <c r="E3207" s="154" t="s">
        <v>58</v>
      </c>
      <c r="F3207" s="180"/>
    </row>
    <row r="3208" customHeight="1" spans="1:6">
      <c r="A3208" s="9" t="s">
        <v>10955</v>
      </c>
      <c r="B3208" s="197" t="s">
        <v>10956</v>
      </c>
      <c r="C3208" s="202" t="s">
        <v>10957</v>
      </c>
      <c r="D3208" s="248"/>
      <c r="E3208" s="154" t="s">
        <v>104</v>
      </c>
      <c r="F3208" s="180"/>
    </row>
    <row r="3209" customHeight="1" spans="1:6">
      <c r="A3209" s="9" t="s">
        <v>10958</v>
      </c>
      <c r="B3209" s="153" t="s">
        <v>10959</v>
      </c>
      <c r="C3209" s="202" t="s">
        <v>10960</v>
      </c>
      <c r="D3209" s="154"/>
      <c r="E3209" s="210" t="s">
        <v>104</v>
      </c>
      <c r="F3209" s="211"/>
    </row>
    <row r="3210" customHeight="1" spans="1:6">
      <c r="A3210" s="9" t="s">
        <v>10961</v>
      </c>
      <c r="B3210" s="201" t="s">
        <v>10962</v>
      </c>
      <c r="C3210" s="202" t="s">
        <v>10963</v>
      </c>
      <c r="D3210" s="154" t="s">
        <v>10964</v>
      </c>
      <c r="E3210" s="154"/>
      <c r="F3210" s="180"/>
    </row>
    <row r="3211" customHeight="1" spans="1:6">
      <c r="A3211" s="9" t="s">
        <v>10965</v>
      </c>
      <c r="B3211" s="195" t="s">
        <v>10966</v>
      </c>
      <c r="C3211" s="212" t="s">
        <v>10967</v>
      </c>
      <c r="D3211" s="197" t="s">
        <v>10968</v>
      </c>
      <c r="E3211" s="198" t="s">
        <v>216</v>
      </c>
      <c r="F3211" s="199"/>
    </row>
    <row r="3212" customHeight="1" spans="1:6">
      <c r="A3212" s="9" t="s">
        <v>10969</v>
      </c>
      <c r="B3212" s="201" t="s">
        <v>10970</v>
      </c>
      <c r="C3212" s="202" t="s">
        <v>10971</v>
      </c>
      <c r="D3212" s="154" t="s">
        <v>10972</v>
      </c>
      <c r="E3212" s="154"/>
      <c r="F3212" s="180"/>
    </row>
    <row r="3213" customHeight="1" spans="1:6">
      <c r="A3213" s="9" t="s">
        <v>10973</v>
      </c>
      <c r="B3213" s="222" t="str">
        <f>IFERROR(__xludf.DUMMYFUNCTION("""COMPUTED_VALUE"""),"Ayele Abera Bejiga")</f>
        <v>Ayele Abera Bejiga</v>
      </c>
      <c r="C3213" s="222" t="str">
        <f>IFERROR(__xludf.DUMMYFUNCTION("""COMPUTED_VALUE"""),"አየለ አበራ በጂጋ")</f>
        <v>አየለ አበራ በጂጋ</v>
      </c>
      <c r="D3213" s="222" t="str">
        <f>IFERROR(__xludf.DUMMYFUNCTION("""COMPUTED_VALUE"""),"913098883")</f>
        <v>913098883</v>
      </c>
      <c r="E3213" s="222" t="str">
        <f>IFERROR(__xludf.DUMMYFUNCTION("""COMPUTED_VALUE"""),"addis abeba")</f>
        <v>addis abeba</v>
      </c>
      <c r="F3213" s="222"/>
    </row>
    <row r="3214" customHeight="1" spans="1:6">
      <c r="A3214" s="9" t="s">
        <v>10974</v>
      </c>
      <c r="B3214" s="195" t="s">
        <v>10975</v>
      </c>
      <c r="C3214" s="196" t="s">
        <v>10976</v>
      </c>
      <c r="D3214" s="197"/>
      <c r="E3214" s="197" t="s">
        <v>243</v>
      </c>
      <c r="F3214" s="197"/>
    </row>
    <row r="3215" customHeight="1" spans="1:6">
      <c r="A3215" s="9" t="s">
        <v>10977</v>
      </c>
      <c r="B3215" s="201" t="s">
        <v>10978</v>
      </c>
      <c r="C3215" s="202" t="s">
        <v>10979</v>
      </c>
      <c r="D3215" s="154"/>
      <c r="E3215" s="154" t="s">
        <v>211</v>
      </c>
      <c r="F3215" s="180"/>
    </row>
    <row r="3216" customHeight="1" spans="1:6">
      <c r="A3216" s="9" t="s">
        <v>10980</v>
      </c>
      <c r="B3216" s="200" t="s">
        <v>10981</v>
      </c>
      <c r="C3216" s="192" t="s">
        <v>10982</v>
      </c>
      <c r="D3216" s="194" t="s">
        <v>10983</v>
      </c>
      <c r="E3216" s="193" t="s">
        <v>216</v>
      </c>
      <c r="F3216" s="191"/>
    </row>
    <row r="3217" customHeight="1" spans="1:6">
      <c r="A3217" s="9" t="s">
        <v>10984</v>
      </c>
      <c r="B3217" s="233" t="s">
        <v>10985</v>
      </c>
      <c r="C3217" s="233" t="s">
        <v>10986</v>
      </c>
      <c r="D3217" s="204" t="s">
        <v>10987</v>
      </c>
      <c r="E3217" s="204" t="s">
        <v>2732</v>
      </c>
      <c r="F3217" s="204" t="s">
        <v>10988</v>
      </c>
    </row>
    <row r="3218" customHeight="1" spans="1:6">
      <c r="A3218" s="9" t="s">
        <v>10989</v>
      </c>
      <c r="B3218" s="194" t="s">
        <v>10990</v>
      </c>
      <c r="C3218" s="192" t="s">
        <v>10991</v>
      </c>
      <c r="D3218" s="194"/>
      <c r="E3218" s="194" t="s">
        <v>243</v>
      </c>
      <c r="F3218" s="194"/>
    </row>
    <row r="3219" customHeight="1" spans="1:6">
      <c r="A3219" s="9" t="s">
        <v>10992</v>
      </c>
      <c r="B3219" s="201" t="s">
        <v>10993</v>
      </c>
      <c r="C3219" s="202" t="s">
        <v>10994</v>
      </c>
      <c r="D3219" s="154" t="s">
        <v>10995</v>
      </c>
      <c r="E3219" s="154"/>
      <c r="F3219" s="180"/>
    </row>
    <row r="3220" customHeight="1" spans="1:6">
      <c r="A3220" s="9" t="s">
        <v>10996</v>
      </c>
      <c r="B3220" s="153" t="s">
        <v>10997</v>
      </c>
      <c r="C3220" s="202" t="s">
        <v>10998</v>
      </c>
      <c r="D3220" s="152"/>
      <c r="E3220" s="154" t="s">
        <v>104</v>
      </c>
      <c r="F3220" s="180"/>
    </row>
    <row r="3221" customHeight="1" spans="1:6">
      <c r="A3221" s="9" t="s">
        <v>10999</v>
      </c>
      <c r="B3221" s="158" t="s">
        <v>11000</v>
      </c>
      <c r="C3221" s="202" t="s">
        <v>11001</v>
      </c>
      <c r="D3221" s="158">
        <v>916107200</v>
      </c>
      <c r="E3221" s="154" t="s">
        <v>211</v>
      </c>
      <c r="F3221" s="261"/>
    </row>
    <row r="3222" customHeight="1" spans="1:6">
      <c r="A3222" s="9" t="s">
        <v>11002</v>
      </c>
      <c r="B3222" s="200" t="s">
        <v>11003</v>
      </c>
      <c r="C3222" s="236" t="s">
        <v>11004</v>
      </c>
      <c r="D3222" s="194" t="s">
        <v>11005</v>
      </c>
      <c r="E3222" s="154" t="s">
        <v>104</v>
      </c>
      <c r="F3222" s="191"/>
    </row>
    <row r="3223" customHeight="1" spans="1:6">
      <c r="A3223" s="9" t="s">
        <v>11006</v>
      </c>
      <c r="B3223" s="195" t="s">
        <v>11007</v>
      </c>
      <c r="C3223" s="212" t="s">
        <v>11008</v>
      </c>
      <c r="D3223" s="197" t="s">
        <v>11009</v>
      </c>
      <c r="E3223" s="154" t="s">
        <v>104</v>
      </c>
      <c r="F3223" s="199"/>
    </row>
    <row r="3224" customHeight="1" spans="1:6">
      <c r="A3224" s="9" t="s">
        <v>11010</v>
      </c>
      <c r="B3224" s="195" t="s">
        <v>11011</v>
      </c>
      <c r="C3224" s="213" t="s">
        <v>11012</v>
      </c>
      <c r="D3224" s="197"/>
      <c r="E3224" s="197" t="s">
        <v>186</v>
      </c>
      <c r="F3224" s="197"/>
    </row>
    <row r="3225" customHeight="1" spans="1:6">
      <c r="A3225" s="9" t="s">
        <v>11013</v>
      </c>
      <c r="B3225" s="200" t="s">
        <v>11014</v>
      </c>
      <c r="C3225" s="192" t="s">
        <v>11015</v>
      </c>
      <c r="D3225" s="194" t="s">
        <v>11016</v>
      </c>
      <c r="E3225" s="193" t="s">
        <v>202</v>
      </c>
      <c r="F3225" s="191"/>
    </row>
    <row r="3226" customHeight="1" spans="1:6">
      <c r="A3226" s="9" t="s">
        <v>11017</v>
      </c>
      <c r="B3226" s="153" t="s">
        <v>11018</v>
      </c>
      <c r="C3226" s="202" t="s">
        <v>11019</v>
      </c>
      <c r="D3226" s="341" t="s">
        <v>11020</v>
      </c>
      <c r="E3226" s="154" t="s">
        <v>1218</v>
      </c>
      <c r="F3226" s="180"/>
    </row>
    <row r="3227" customHeight="1" spans="1:6">
      <c r="A3227" s="9" t="s">
        <v>11021</v>
      </c>
      <c r="B3227" s="214" t="s">
        <v>11022</v>
      </c>
      <c r="C3227" s="214" t="s">
        <v>11023</v>
      </c>
      <c r="D3227" s="194"/>
      <c r="E3227" s="204" t="s">
        <v>92</v>
      </c>
      <c r="F3227" s="204"/>
    </row>
    <row r="3228" customHeight="1" spans="1:6">
      <c r="A3228" s="9" t="s">
        <v>11024</v>
      </c>
      <c r="B3228" s="200" t="s">
        <v>11025</v>
      </c>
      <c r="C3228" s="192" t="s">
        <v>11026</v>
      </c>
      <c r="D3228" s="194" t="s">
        <v>11027</v>
      </c>
      <c r="E3228" s="194" t="s">
        <v>310</v>
      </c>
      <c r="F3228" s="194"/>
    </row>
    <row r="3229" customHeight="1" spans="1:6">
      <c r="A3229" s="9" t="s">
        <v>11028</v>
      </c>
      <c r="B3229" s="200" t="s">
        <v>11029</v>
      </c>
      <c r="C3229" s="246" t="s">
        <v>11030</v>
      </c>
      <c r="D3229" s="194">
        <v>964414748</v>
      </c>
      <c r="E3229" s="194" t="s">
        <v>6935</v>
      </c>
      <c r="F3229" s="194"/>
    </row>
    <row r="3230" customHeight="1" spans="1:6">
      <c r="A3230" s="9" t="s">
        <v>11031</v>
      </c>
      <c r="B3230" s="222" t="str">
        <f>IFERROR(__xludf.DUMMYFUNCTION("""COMPUTED_VALUE"""),"Ayele Bekele Ketema")</f>
        <v>Ayele Bekele Ketema</v>
      </c>
      <c r="C3230" s="222" t="str">
        <f>IFERROR(__xludf.DUMMYFUNCTION("""COMPUTED_VALUE"""),"አየለ በቀለ ከተማ")</f>
        <v>አየለ በቀለ ከተማ</v>
      </c>
      <c r="D3230" s="222" t="str">
        <f>IFERROR(__xludf.DUMMYFUNCTION("""COMPUTED_VALUE"""),"2063077734")</f>
        <v>2063077734</v>
      </c>
      <c r="E3230" s="222" t="str">
        <f>IFERROR(__xludf.DUMMYFUNCTION("""COMPUTED_VALUE"""),"addis ababa")</f>
        <v>addis ababa</v>
      </c>
      <c r="F3230" s="222" t="str">
        <f>IFERROR(__xludf.DUMMYFUNCTION("""COMPUTED_VALUE"""),"ayelebkh@gmail.com")</f>
        <v>ayelebkh@gmail.com</v>
      </c>
    </row>
    <row r="3231" customHeight="1" spans="1:6">
      <c r="A3231" s="9" t="s">
        <v>11032</v>
      </c>
      <c r="B3231" s="195" t="s">
        <v>11033</v>
      </c>
      <c r="C3231" s="202" t="s">
        <v>11034</v>
      </c>
      <c r="D3231" s="154" t="s">
        <v>11035</v>
      </c>
      <c r="E3231" s="154" t="s">
        <v>253</v>
      </c>
      <c r="F3231" s="180"/>
    </row>
    <row r="3232" customHeight="1" spans="1:6">
      <c r="A3232" s="9" t="s">
        <v>11036</v>
      </c>
      <c r="B3232" s="200" t="s">
        <v>11037</v>
      </c>
      <c r="C3232" s="192" t="s">
        <v>11038</v>
      </c>
      <c r="D3232" s="194" t="s">
        <v>11039</v>
      </c>
      <c r="E3232" s="194" t="s">
        <v>988</v>
      </c>
      <c r="F3232" s="194"/>
    </row>
    <row r="3233" customHeight="1" spans="1:6">
      <c r="A3233" s="9" t="s">
        <v>11040</v>
      </c>
      <c r="B3233" s="201" t="s">
        <v>11041</v>
      </c>
      <c r="C3233" s="202" t="s">
        <v>11042</v>
      </c>
      <c r="D3233" s="154" t="s">
        <v>11043</v>
      </c>
      <c r="E3233" s="154" t="s">
        <v>211</v>
      </c>
      <c r="F3233" s="180"/>
    </row>
    <row r="3234" customHeight="1" spans="1:6">
      <c r="A3234" s="9" t="s">
        <v>11044</v>
      </c>
      <c r="B3234" s="195" t="s">
        <v>11045</v>
      </c>
      <c r="C3234" s="202" t="s">
        <v>11046</v>
      </c>
      <c r="D3234" s="152" t="s">
        <v>11047</v>
      </c>
      <c r="E3234" s="154" t="s">
        <v>211</v>
      </c>
      <c r="F3234" s="180"/>
    </row>
    <row r="3235" customHeight="1" spans="1:6">
      <c r="A3235" s="9" t="s">
        <v>11048</v>
      </c>
      <c r="B3235" s="195" t="s">
        <v>11049</v>
      </c>
      <c r="C3235" s="202" t="s">
        <v>11050</v>
      </c>
      <c r="D3235" s="158" t="s">
        <v>11051</v>
      </c>
      <c r="E3235" s="154"/>
      <c r="F3235" s="180"/>
    </row>
    <row r="3236" customHeight="1" spans="1:6">
      <c r="A3236" s="9" t="s">
        <v>11052</v>
      </c>
      <c r="B3236" s="326" t="s">
        <v>11053</v>
      </c>
      <c r="C3236" s="202" t="s">
        <v>11054</v>
      </c>
      <c r="D3236" s="154">
        <v>945963574</v>
      </c>
      <c r="E3236" s="154" t="s">
        <v>1281</v>
      </c>
      <c r="F3236" s="180"/>
    </row>
    <row r="3237" customHeight="1" spans="1:6">
      <c r="A3237" s="9" t="s">
        <v>11055</v>
      </c>
      <c r="B3237" s="153" t="s">
        <v>11056</v>
      </c>
      <c r="C3237" s="202" t="s">
        <v>11057</v>
      </c>
      <c r="D3237" s="154">
        <v>964082484</v>
      </c>
      <c r="E3237" s="154" t="s">
        <v>310</v>
      </c>
      <c r="F3237" s="153"/>
    </row>
    <row r="3238" customHeight="1" spans="1:6">
      <c r="A3238" s="9" t="s">
        <v>11058</v>
      </c>
      <c r="B3238" s="217" t="s">
        <v>11059</v>
      </c>
      <c r="C3238" s="202" t="s">
        <v>11060</v>
      </c>
      <c r="D3238" s="154"/>
      <c r="E3238" s="154" t="s">
        <v>253</v>
      </c>
      <c r="F3238" s="180"/>
    </row>
    <row r="3239" customHeight="1" spans="1:6">
      <c r="A3239" s="9" t="s">
        <v>11061</v>
      </c>
      <c r="B3239" s="201" t="s">
        <v>11062</v>
      </c>
      <c r="C3239" s="202" t="s">
        <v>11063</v>
      </c>
      <c r="D3239" s="154" t="s">
        <v>11064</v>
      </c>
      <c r="E3239" s="154" t="s">
        <v>58</v>
      </c>
      <c r="F3239" s="180"/>
    </row>
    <row r="3240" customHeight="1" spans="1:6">
      <c r="A3240" s="9" t="s">
        <v>11065</v>
      </c>
      <c r="B3240" s="201" t="s">
        <v>11066</v>
      </c>
      <c r="C3240" s="202" t="s">
        <v>11067</v>
      </c>
      <c r="D3240" s="154"/>
      <c r="E3240" s="154" t="s">
        <v>202</v>
      </c>
      <c r="F3240" s="180"/>
    </row>
    <row r="3241" customHeight="1" spans="1:6">
      <c r="A3241" s="9" t="s">
        <v>11068</v>
      </c>
      <c r="B3241" s="201" t="s">
        <v>11069</v>
      </c>
      <c r="C3241" s="202" t="s">
        <v>11070</v>
      </c>
      <c r="D3241" s="154" t="s">
        <v>11071</v>
      </c>
      <c r="E3241" s="154" t="s">
        <v>1395</v>
      </c>
      <c r="F3241" s="180"/>
    </row>
    <row r="3242" customHeight="1" spans="1:6">
      <c r="A3242" s="9" t="s">
        <v>11072</v>
      </c>
      <c r="B3242" s="214" t="s">
        <v>11073</v>
      </c>
      <c r="C3242" s="214" t="s">
        <v>11074</v>
      </c>
      <c r="D3242" s="194"/>
      <c r="E3242" s="204" t="s">
        <v>92</v>
      </c>
      <c r="F3242" s="204"/>
    </row>
    <row r="3243" customHeight="1" spans="1:6">
      <c r="A3243" s="9" t="s">
        <v>11075</v>
      </c>
      <c r="B3243" s="195" t="s">
        <v>11076</v>
      </c>
      <c r="C3243" s="202" t="s">
        <v>11077</v>
      </c>
      <c r="D3243" s="152"/>
      <c r="E3243" s="154"/>
      <c r="F3243" s="180"/>
    </row>
    <row r="3244" customHeight="1" spans="1:6">
      <c r="A3244" s="9" t="s">
        <v>11078</v>
      </c>
      <c r="B3244" s="201" t="s">
        <v>11079</v>
      </c>
      <c r="C3244" s="202" t="s">
        <v>11080</v>
      </c>
      <c r="D3244" s="154"/>
      <c r="E3244" s="154" t="s">
        <v>243</v>
      </c>
      <c r="F3244" s="180"/>
    </row>
    <row r="3245" customHeight="1" spans="1:6">
      <c r="A3245" s="9" t="s">
        <v>11081</v>
      </c>
      <c r="B3245" s="214" t="s">
        <v>11082</v>
      </c>
      <c r="C3245" s="214" t="s">
        <v>11083</v>
      </c>
      <c r="D3245" s="223" t="s">
        <v>11084</v>
      </c>
      <c r="E3245" s="204" t="s">
        <v>92</v>
      </c>
      <c r="F3245" s="204"/>
    </row>
    <row r="3246" customHeight="1" spans="1:6">
      <c r="A3246" s="9" t="s">
        <v>11085</v>
      </c>
      <c r="B3246" s="153" t="s">
        <v>11086</v>
      </c>
      <c r="C3246" s="202" t="s">
        <v>11087</v>
      </c>
      <c r="D3246" s="154" t="s">
        <v>11088</v>
      </c>
      <c r="E3246" s="154"/>
      <c r="F3246" s="180"/>
    </row>
    <row r="3247" customHeight="1" spans="1:6">
      <c r="A3247" s="9" t="s">
        <v>11089</v>
      </c>
      <c r="B3247" s="195" t="s">
        <v>11090</v>
      </c>
      <c r="C3247" s="202" t="s">
        <v>11091</v>
      </c>
      <c r="D3247" s="152" t="s">
        <v>11092</v>
      </c>
      <c r="E3247" s="154" t="s">
        <v>232</v>
      </c>
      <c r="F3247" s="180"/>
    </row>
    <row r="3248" customHeight="1" spans="1:6">
      <c r="A3248" s="9" t="s">
        <v>11093</v>
      </c>
      <c r="B3248" s="200" t="s">
        <v>11094</v>
      </c>
      <c r="C3248" s="202" t="s">
        <v>11095</v>
      </c>
      <c r="D3248" s="152"/>
      <c r="E3248" s="154"/>
      <c r="F3248" s="180"/>
    </row>
    <row r="3249" customHeight="1" spans="1:6">
      <c r="A3249" s="9" t="s">
        <v>11096</v>
      </c>
      <c r="B3249" s="195" t="s">
        <v>11097</v>
      </c>
      <c r="C3249" s="196" t="s">
        <v>11098</v>
      </c>
      <c r="D3249" s="197"/>
      <c r="E3249" s="198" t="s">
        <v>1958</v>
      </c>
      <c r="F3249" s="199"/>
    </row>
    <row r="3250" customHeight="1" spans="1:6">
      <c r="A3250" s="9" t="s">
        <v>11099</v>
      </c>
      <c r="B3250" s="200" t="s">
        <v>11100</v>
      </c>
      <c r="C3250" s="192" t="s">
        <v>11101</v>
      </c>
      <c r="D3250" s="194" t="s">
        <v>11102</v>
      </c>
      <c r="E3250" s="194" t="s">
        <v>125</v>
      </c>
      <c r="F3250" s="194"/>
    </row>
    <row r="3251" customHeight="1" spans="1:6">
      <c r="A3251" s="9" t="s">
        <v>11103</v>
      </c>
      <c r="B3251" s="195" t="s">
        <v>11104</v>
      </c>
      <c r="C3251" s="202" t="s">
        <v>11105</v>
      </c>
      <c r="D3251" s="152"/>
      <c r="E3251" s="154" t="s">
        <v>243</v>
      </c>
      <c r="F3251" s="180"/>
    </row>
    <row r="3252" customHeight="1" spans="1:6">
      <c r="A3252" s="9" t="s">
        <v>11106</v>
      </c>
      <c r="B3252" s="200" t="s">
        <v>11107</v>
      </c>
      <c r="C3252" s="192" t="s">
        <v>11108</v>
      </c>
      <c r="D3252" s="194"/>
      <c r="E3252" s="193" t="s">
        <v>1958</v>
      </c>
      <c r="F3252" s="191"/>
    </row>
    <row r="3253" customHeight="1" spans="1:6">
      <c r="A3253" s="9" t="s">
        <v>11109</v>
      </c>
      <c r="B3253" s="200" t="s">
        <v>11110</v>
      </c>
      <c r="C3253" s="202" t="s">
        <v>11111</v>
      </c>
      <c r="D3253" s="152" t="s">
        <v>11112</v>
      </c>
      <c r="E3253" s="154"/>
      <c r="F3253" s="180"/>
    </row>
    <row r="3254" customHeight="1" spans="1:6">
      <c r="A3254" s="9" t="s">
        <v>11113</v>
      </c>
      <c r="B3254" s="197" t="s">
        <v>11114</v>
      </c>
      <c r="C3254" s="202" t="s">
        <v>11115</v>
      </c>
      <c r="D3254" s="158"/>
      <c r="E3254" s="154" t="s">
        <v>243</v>
      </c>
      <c r="F3254" s="250"/>
    </row>
    <row r="3255" customHeight="1" spans="1:6">
      <c r="A3255" s="9" t="s">
        <v>11116</v>
      </c>
      <c r="B3255" s="201" t="s">
        <v>11117</v>
      </c>
      <c r="C3255" s="202" t="s">
        <v>11118</v>
      </c>
      <c r="D3255" s="158"/>
      <c r="E3255" s="158" t="s">
        <v>211</v>
      </c>
      <c r="F3255" s="153"/>
    </row>
    <row r="3256" customHeight="1" spans="1:6">
      <c r="A3256" s="9" t="s">
        <v>11119</v>
      </c>
      <c r="B3256" s="201" t="s">
        <v>11120</v>
      </c>
      <c r="C3256" s="202" t="s">
        <v>11121</v>
      </c>
      <c r="D3256" s="154"/>
      <c r="E3256" s="154"/>
      <c r="F3256" s="180"/>
    </row>
    <row r="3257" customHeight="1" spans="1:6">
      <c r="A3257" s="9" t="s">
        <v>11122</v>
      </c>
      <c r="B3257" s="200" t="s">
        <v>11123</v>
      </c>
      <c r="C3257" s="202" t="s">
        <v>11124</v>
      </c>
      <c r="D3257" s="152"/>
      <c r="E3257" s="154"/>
      <c r="F3257" s="180"/>
    </row>
    <row r="3258" customHeight="1" spans="1:6">
      <c r="A3258" s="9" t="s">
        <v>11125</v>
      </c>
      <c r="B3258" s="200" t="s">
        <v>11126</v>
      </c>
      <c r="C3258" s="246" t="s">
        <v>11127</v>
      </c>
      <c r="D3258" s="194"/>
      <c r="E3258" s="194" t="s">
        <v>1852</v>
      </c>
      <c r="F3258" s="194"/>
    </row>
    <row r="3259" customHeight="1" spans="1:6">
      <c r="A3259" s="9" t="s">
        <v>11128</v>
      </c>
      <c r="B3259" s="195" t="s">
        <v>11129</v>
      </c>
      <c r="C3259" s="212" t="s">
        <v>11130</v>
      </c>
      <c r="D3259" s="197"/>
      <c r="E3259" s="197" t="s">
        <v>3811</v>
      </c>
      <c r="F3259" s="197"/>
    </row>
    <row r="3260" customHeight="1" spans="1:6">
      <c r="A3260" s="9" t="s">
        <v>11131</v>
      </c>
      <c r="B3260" s="200" t="s">
        <v>11132</v>
      </c>
      <c r="C3260" s="192" t="s">
        <v>11133</v>
      </c>
      <c r="D3260" s="194"/>
      <c r="E3260" s="194" t="s">
        <v>243</v>
      </c>
      <c r="F3260" s="194"/>
    </row>
    <row r="3261" customHeight="1" spans="1:6">
      <c r="A3261" s="9" t="s">
        <v>11134</v>
      </c>
      <c r="B3261" s="201" t="s">
        <v>11135</v>
      </c>
      <c r="C3261" s="202" t="s">
        <v>11136</v>
      </c>
      <c r="D3261" s="154"/>
      <c r="E3261" s="154" t="s">
        <v>243</v>
      </c>
      <c r="F3261" s="180"/>
    </row>
    <row r="3262" customHeight="1" spans="1:6">
      <c r="A3262" s="9" t="s">
        <v>11137</v>
      </c>
      <c r="B3262" s="195" t="s">
        <v>11138</v>
      </c>
      <c r="C3262" s="202" t="s">
        <v>11139</v>
      </c>
      <c r="D3262" s="152"/>
      <c r="E3262" s="154" t="s">
        <v>211</v>
      </c>
      <c r="F3262" s="180"/>
    </row>
    <row r="3263" customHeight="1" spans="1:6">
      <c r="A3263" s="9" t="s">
        <v>11140</v>
      </c>
      <c r="B3263" s="223" t="s">
        <v>11141</v>
      </c>
      <c r="C3263" s="223" t="s">
        <v>11142</v>
      </c>
      <c r="D3263" s="204" t="s">
        <v>11143</v>
      </c>
      <c r="E3263" s="204"/>
      <c r="F3263" s="204"/>
    </row>
    <row r="3264" customHeight="1" spans="1:6">
      <c r="A3264" s="9" t="s">
        <v>11144</v>
      </c>
      <c r="B3264" s="200" t="s">
        <v>11145</v>
      </c>
      <c r="C3264" s="192" t="s">
        <v>11146</v>
      </c>
      <c r="D3264" s="194" t="s">
        <v>11147</v>
      </c>
      <c r="E3264" s="194" t="s">
        <v>202</v>
      </c>
      <c r="F3264" s="194"/>
    </row>
    <row r="3265" customHeight="1" spans="1:6">
      <c r="A3265" s="9" t="s">
        <v>11148</v>
      </c>
      <c r="B3265" s="201" t="s">
        <v>11149</v>
      </c>
      <c r="C3265" s="202" t="s">
        <v>11150</v>
      </c>
      <c r="D3265" s="154">
        <v>928812273</v>
      </c>
      <c r="E3265" s="154"/>
      <c r="F3265" s="180"/>
    </row>
    <row r="3266" customHeight="1" spans="1:6">
      <c r="A3266" s="9" t="s">
        <v>11151</v>
      </c>
      <c r="B3266" s="201" t="s">
        <v>11152</v>
      </c>
      <c r="C3266" s="202" t="s">
        <v>11153</v>
      </c>
      <c r="D3266" s="154" t="s">
        <v>11154</v>
      </c>
      <c r="E3266" s="154" t="s">
        <v>243</v>
      </c>
      <c r="F3266" s="180"/>
    </row>
    <row r="3267" customHeight="1" spans="1:6">
      <c r="A3267" s="9" t="s">
        <v>11155</v>
      </c>
      <c r="B3267" s="200" t="s">
        <v>11156</v>
      </c>
      <c r="C3267" s="202" t="s">
        <v>11157</v>
      </c>
      <c r="D3267" s="152" t="s">
        <v>11158</v>
      </c>
      <c r="E3267" s="154" t="s">
        <v>211</v>
      </c>
      <c r="F3267" s="180"/>
    </row>
    <row r="3268" customHeight="1" spans="1:6">
      <c r="A3268" s="9" t="s">
        <v>11159</v>
      </c>
      <c r="B3268" s="208" t="s">
        <v>11160</v>
      </c>
      <c r="C3268" s="208" t="s">
        <v>11161</v>
      </c>
      <c r="D3268" s="204" t="s">
        <v>11162</v>
      </c>
      <c r="E3268" s="204" t="s">
        <v>92</v>
      </c>
      <c r="F3268" s="204"/>
    </row>
    <row r="3269" customHeight="1" spans="1:6">
      <c r="A3269" s="9" t="s">
        <v>11163</v>
      </c>
      <c r="B3269" s="195" t="s">
        <v>11164</v>
      </c>
      <c r="C3269" s="196" t="s">
        <v>11165</v>
      </c>
      <c r="D3269" s="197"/>
      <c r="E3269" s="197" t="s">
        <v>58</v>
      </c>
      <c r="F3269" s="197"/>
    </row>
    <row r="3270" customHeight="1" spans="1:6">
      <c r="A3270" s="9" t="s">
        <v>11166</v>
      </c>
      <c r="B3270" s="200" t="s">
        <v>11167</v>
      </c>
      <c r="C3270" s="246" t="s">
        <v>11168</v>
      </c>
      <c r="D3270" s="194"/>
      <c r="E3270" s="194" t="s">
        <v>186</v>
      </c>
      <c r="F3270" s="194"/>
    </row>
    <row r="3271" customHeight="1" spans="1:6">
      <c r="A3271" s="9" t="s">
        <v>11169</v>
      </c>
      <c r="B3271" s="214" t="s">
        <v>11170</v>
      </c>
      <c r="C3271" s="214" t="s">
        <v>11171</v>
      </c>
      <c r="D3271" s="194"/>
      <c r="E3271" s="204" t="s">
        <v>92</v>
      </c>
      <c r="F3271" s="204"/>
    </row>
    <row r="3272" customHeight="1" spans="1:6">
      <c r="A3272" s="9" t="s">
        <v>11172</v>
      </c>
      <c r="B3272" s="201" t="s">
        <v>11173</v>
      </c>
      <c r="C3272" s="202" t="s">
        <v>11174</v>
      </c>
      <c r="D3272" s="154" t="s">
        <v>11175</v>
      </c>
      <c r="E3272" s="154" t="s">
        <v>243</v>
      </c>
      <c r="F3272" s="180"/>
    </row>
    <row r="3273" customHeight="1" spans="1:6">
      <c r="A3273" s="9" t="s">
        <v>11176</v>
      </c>
      <c r="B3273" s="195" t="s">
        <v>11177</v>
      </c>
      <c r="C3273" s="202" t="s">
        <v>11178</v>
      </c>
      <c r="D3273" s="152" t="s">
        <v>11179</v>
      </c>
      <c r="E3273" s="154"/>
      <c r="F3273" s="180"/>
    </row>
    <row r="3274" customHeight="1" spans="1:6">
      <c r="A3274" s="9" t="s">
        <v>11180</v>
      </c>
      <c r="B3274" s="195" t="s">
        <v>11181</v>
      </c>
      <c r="C3274" s="202" t="s">
        <v>11182</v>
      </c>
      <c r="D3274" s="152"/>
      <c r="E3274" s="154" t="s">
        <v>211</v>
      </c>
      <c r="F3274" s="180"/>
    </row>
    <row r="3275" customHeight="1" spans="1:6">
      <c r="A3275" s="9" t="s">
        <v>11183</v>
      </c>
      <c r="B3275" s="222" t="str">
        <f>IFERROR(__xludf.DUMMYFUNCTION("""COMPUTED_VALUE"""),"Ayele Weyesa Ayane")</f>
        <v>Ayele Weyesa Ayane</v>
      </c>
      <c r="C3275" s="222" t="str">
        <f>IFERROR(__xludf.DUMMYFUNCTION("""COMPUTED_VALUE"""),"አየለ ወይሳ አያኔ")</f>
        <v>አየለ ወይሳ አያኔ</v>
      </c>
      <c r="D3275" s="222" t="str">
        <f>IFERROR(__xludf.DUMMYFUNCTION("""COMPUTED_VALUE"""),"911023129")</f>
        <v>911023129</v>
      </c>
      <c r="E3275" s="222" t="str">
        <f>IFERROR(__xludf.DUMMYFUNCTION("""COMPUTED_VALUE"""),"Addis Ababa")</f>
        <v>Addis Ababa</v>
      </c>
      <c r="F3275" s="222"/>
    </row>
    <row r="3276" customHeight="1" spans="1:6">
      <c r="A3276" s="9" t="s">
        <v>11184</v>
      </c>
      <c r="B3276" s="215" t="s">
        <v>11185</v>
      </c>
      <c r="C3276" s="205" t="s">
        <v>11186</v>
      </c>
      <c r="D3276" s="206" t="s">
        <v>11187</v>
      </c>
      <c r="E3276" s="193" t="s">
        <v>120</v>
      </c>
      <c r="F3276" s="221"/>
    </row>
    <row r="3277" customHeight="1" spans="1:6">
      <c r="A3277" s="9" t="s">
        <v>11188</v>
      </c>
      <c r="B3277" s="201" t="s">
        <v>11189</v>
      </c>
      <c r="C3277" s="202" t="s">
        <v>11190</v>
      </c>
      <c r="D3277" s="154"/>
      <c r="E3277" s="154" t="s">
        <v>243</v>
      </c>
      <c r="F3277" s="180"/>
    </row>
    <row r="3278" customHeight="1" spans="1:6">
      <c r="A3278" s="9" t="s">
        <v>11191</v>
      </c>
      <c r="B3278" s="214" t="s">
        <v>11192</v>
      </c>
      <c r="C3278" s="214" t="s">
        <v>11193</v>
      </c>
      <c r="D3278" s="194"/>
      <c r="E3278" s="204" t="s">
        <v>92</v>
      </c>
      <c r="F3278" s="204"/>
    </row>
    <row r="3279" customHeight="1" spans="1:6">
      <c r="A3279" s="9" t="s">
        <v>11194</v>
      </c>
      <c r="B3279" s="153" t="s">
        <v>11195</v>
      </c>
      <c r="C3279" s="202" t="s">
        <v>11196</v>
      </c>
      <c r="D3279" s="154" t="s">
        <v>11197</v>
      </c>
      <c r="E3279" s="154" t="s">
        <v>243</v>
      </c>
      <c r="F3279" s="180"/>
    </row>
    <row r="3280" customHeight="1" spans="1:6">
      <c r="A3280" s="9" t="s">
        <v>11198</v>
      </c>
      <c r="B3280" s="223" t="s">
        <v>11199</v>
      </c>
      <c r="C3280" s="223" t="s">
        <v>11200</v>
      </c>
      <c r="D3280" s="204" t="s">
        <v>11201</v>
      </c>
      <c r="E3280" s="204" t="s">
        <v>92</v>
      </c>
      <c r="F3280" s="204"/>
    </row>
    <row r="3281" customHeight="1" spans="1:6">
      <c r="A3281" s="9" t="s">
        <v>11202</v>
      </c>
      <c r="B3281" s="195" t="s">
        <v>11203</v>
      </c>
      <c r="C3281" s="202" t="s">
        <v>11204</v>
      </c>
      <c r="D3281" s="152"/>
      <c r="E3281" s="154" t="s">
        <v>181</v>
      </c>
      <c r="F3281" s="180"/>
    </row>
    <row r="3282" customHeight="1" spans="1:6">
      <c r="A3282" s="9" t="s">
        <v>11205</v>
      </c>
      <c r="B3282" s="222" t="str">
        <f>IFERROR(__xludf.DUMMYFUNCTION("""COMPUTED_VALUE"""),"Ayelech Bekele Debebe")</f>
        <v>Ayelech Bekele Debebe</v>
      </c>
      <c r="C3282" s="222" t="str">
        <f>IFERROR(__xludf.DUMMYFUNCTION("""COMPUTED_VALUE"""),"አየለች በቀለ ደበበ")</f>
        <v>አየለች በቀለ ደበበ</v>
      </c>
      <c r="D3282" s="222" t="str">
        <f>IFERROR(__xludf.DUMMYFUNCTION("""COMPUTED_VALUE"""),"913760826")</f>
        <v>913760826</v>
      </c>
      <c r="E3282" s="222" t="str">
        <f>IFERROR(__xludf.DUMMYFUNCTION("""COMPUTED_VALUE"""),"Addis Ababa")</f>
        <v>Addis Ababa</v>
      </c>
      <c r="F3282" s="222"/>
    </row>
    <row r="3283" customHeight="1" spans="1:6">
      <c r="A3283" s="9" t="s">
        <v>11206</v>
      </c>
      <c r="B3283" s="214" t="s">
        <v>11207</v>
      </c>
      <c r="C3283" s="214" t="s">
        <v>11208</v>
      </c>
      <c r="D3283" s="204" t="s">
        <v>5589</v>
      </c>
      <c r="E3283" s="204" t="s">
        <v>92</v>
      </c>
      <c r="F3283" s="204"/>
    </row>
    <row r="3284" customHeight="1" spans="1:6">
      <c r="A3284" s="9" t="s">
        <v>11209</v>
      </c>
      <c r="B3284" s="200" t="s">
        <v>11210</v>
      </c>
      <c r="C3284" s="202" t="s">
        <v>11211</v>
      </c>
      <c r="D3284" s="154">
        <v>903273437</v>
      </c>
      <c r="E3284" s="154" t="s">
        <v>104</v>
      </c>
      <c r="F3284" s="180"/>
    </row>
    <row r="3285" customHeight="1" spans="1:6">
      <c r="A3285" s="9" t="s">
        <v>11212</v>
      </c>
      <c r="B3285" s="201" t="s">
        <v>11213</v>
      </c>
      <c r="C3285" s="202" t="s">
        <v>11214</v>
      </c>
      <c r="D3285" s="154"/>
      <c r="E3285" s="154" t="s">
        <v>211</v>
      </c>
      <c r="F3285" s="180"/>
    </row>
    <row r="3286" customHeight="1" spans="1:6">
      <c r="A3286" s="9" t="s">
        <v>11215</v>
      </c>
      <c r="B3286" s="214" t="s">
        <v>11216</v>
      </c>
      <c r="C3286" s="214" t="s">
        <v>11217</v>
      </c>
      <c r="D3286" s="194"/>
      <c r="E3286" s="204" t="s">
        <v>92</v>
      </c>
      <c r="F3286" s="204"/>
    </row>
    <row r="3287" customHeight="1" spans="1:6">
      <c r="A3287" s="9" t="s">
        <v>11218</v>
      </c>
      <c r="B3287" s="219" t="s">
        <v>11219</v>
      </c>
      <c r="C3287" s="219" t="s">
        <v>11220</v>
      </c>
      <c r="D3287" s="194"/>
      <c r="E3287" s="204" t="s">
        <v>92</v>
      </c>
      <c r="F3287" s="204"/>
    </row>
    <row r="3288" customHeight="1" spans="1:6">
      <c r="A3288" s="9" t="s">
        <v>11221</v>
      </c>
      <c r="B3288" s="194" t="s">
        <v>11222</v>
      </c>
      <c r="C3288" s="192" t="s">
        <v>11223</v>
      </c>
      <c r="D3288" s="194"/>
      <c r="E3288" s="194" t="s">
        <v>243</v>
      </c>
      <c r="F3288" s="194"/>
    </row>
    <row r="3289" customHeight="1" spans="1:6">
      <c r="A3289" s="9" t="s">
        <v>11224</v>
      </c>
      <c r="B3289" s="200" t="s">
        <v>11225</v>
      </c>
      <c r="C3289" s="246" t="s">
        <v>11226</v>
      </c>
      <c r="D3289" s="194"/>
      <c r="E3289" s="194" t="s">
        <v>1852</v>
      </c>
      <c r="F3289" s="194"/>
    </row>
    <row r="3290" customHeight="1" spans="1:6">
      <c r="A3290" s="9" t="s">
        <v>11227</v>
      </c>
      <c r="B3290" s="195" t="s">
        <v>11228</v>
      </c>
      <c r="C3290" s="196" t="s">
        <v>11229</v>
      </c>
      <c r="D3290" s="197"/>
      <c r="E3290" s="198" t="s">
        <v>1395</v>
      </c>
      <c r="F3290" s="199"/>
    </row>
    <row r="3291" customHeight="1" spans="1:6">
      <c r="A3291" s="9" t="s">
        <v>11230</v>
      </c>
      <c r="B3291" s="223" t="s">
        <v>11231</v>
      </c>
      <c r="C3291" s="223" t="s">
        <v>11232</v>
      </c>
      <c r="D3291" s="204" t="s">
        <v>11233</v>
      </c>
      <c r="E3291" s="204" t="s">
        <v>92</v>
      </c>
      <c r="F3291" s="204"/>
    </row>
    <row r="3292" customHeight="1" spans="1:6">
      <c r="A3292" s="9" t="s">
        <v>11234</v>
      </c>
      <c r="B3292" s="195" t="s">
        <v>11235</v>
      </c>
      <c r="C3292" s="202" t="s">
        <v>11236</v>
      </c>
      <c r="D3292" s="152"/>
      <c r="E3292" s="154" t="s">
        <v>104</v>
      </c>
      <c r="F3292" s="180"/>
    </row>
    <row r="3293" customHeight="1" spans="1:6">
      <c r="A3293" s="9" t="s">
        <v>11237</v>
      </c>
      <c r="B3293" s="160" t="s">
        <v>11238</v>
      </c>
      <c r="C3293" s="160" t="s">
        <v>11239</v>
      </c>
      <c r="D3293" s="204" t="s">
        <v>11240</v>
      </c>
      <c r="E3293" s="204" t="s">
        <v>92</v>
      </c>
      <c r="F3293" s="204"/>
    </row>
    <row r="3294" customHeight="1" spans="1:6">
      <c r="A3294" s="9" t="s">
        <v>11241</v>
      </c>
      <c r="B3294" s="195" t="s">
        <v>11242</v>
      </c>
      <c r="C3294" s="212" t="s">
        <v>11243</v>
      </c>
      <c r="D3294" s="197" t="s">
        <v>11244</v>
      </c>
      <c r="E3294" s="154" t="s">
        <v>104</v>
      </c>
      <c r="F3294" s="199"/>
    </row>
    <row r="3295" customHeight="1" spans="1:6">
      <c r="A3295" s="9" t="s">
        <v>11245</v>
      </c>
      <c r="B3295" s="153" t="s">
        <v>11246</v>
      </c>
      <c r="C3295" s="202" t="s">
        <v>11247</v>
      </c>
      <c r="D3295" s="154"/>
      <c r="E3295" s="154" t="s">
        <v>104</v>
      </c>
      <c r="F3295" s="180"/>
    </row>
    <row r="3296" customHeight="1" spans="1:6">
      <c r="A3296" s="9" t="s">
        <v>11248</v>
      </c>
      <c r="B3296" s="205" t="s">
        <v>11249</v>
      </c>
      <c r="C3296" s="205" t="s">
        <v>11250</v>
      </c>
      <c r="D3296" s="206" t="s">
        <v>11251</v>
      </c>
      <c r="E3296" s="193" t="s">
        <v>120</v>
      </c>
      <c r="F3296" s="221" t="s">
        <v>11252</v>
      </c>
    </row>
    <row r="3297" customHeight="1" spans="1:6">
      <c r="A3297" s="9" t="s">
        <v>11253</v>
      </c>
      <c r="B3297" s="153" t="s">
        <v>11254</v>
      </c>
      <c r="C3297" s="202" t="s">
        <v>11255</v>
      </c>
      <c r="D3297" s="154"/>
      <c r="E3297" s="154" t="s">
        <v>104</v>
      </c>
      <c r="F3297" s="180"/>
    </row>
    <row r="3298" customHeight="1" spans="1:6">
      <c r="A3298" s="9" t="s">
        <v>11256</v>
      </c>
      <c r="B3298" s="214" t="s">
        <v>11257</v>
      </c>
      <c r="C3298" s="214" t="s">
        <v>11258</v>
      </c>
      <c r="D3298" s="194"/>
      <c r="E3298" s="204" t="s">
        <v>92</v>
      </c>
      <c r="F3298" s="204"/>
    </row>
    <row r="3299" customHeight="1" spans="1:6">
      <c r="A3299" s="9" t="s">
        <v>11259</v>
      </c>
      <c r="B3299" s="200" t="s">
        <v>11260</v>
      </c>
      <c r="C3299" s="202" t="s">
        <v>11261</v>
      </c>
      <c r="D3299" s="152" t="s">
        <v>11262</v>
      </c>
      <c r="E3299" s="210" t="s">
        <v>104</v>
      </c>
      <c r="F3299" s="180"/>
    </row>
    <row r="3300" customHeight="1" spans="1:6">
      <c r="A3300" s="9" t="s">
        <v>11263</v>
      </c>
      <c r="B3300" s="200" t="s">
        <v>11264</v>
      </c>
      <c r="C3300" s="202" t="s">
        <v>11265</v>
      </c>
      <c r="D3300" s="152" t="s">
        <v>11266</v>
      </c>
      <c r="E3300" s="154" t="s">
        <v>58</v>
      </c>
      <c r="F3300" s="180"/>
    </row>
    <row r="3301" customHeight="1" spans="1:6">
      <c r="A3301" s="9" t="s">
        <v>11267</v>
      </c>
      <c r="B3301" s="214" t="s">
        <v>11268</v>
      </c>
      <c r="C3301" s="214" t="s">
        <v>11269</v>
      </c>
      <c r="D3301" s="194"/>
      <c r="E3301" s="204" t="s">
        <v>92</v>
      </c>
      <c r="F3301" s="204"/>
    </row>
    <row r="3302" customHeight="1" spans="1:6">
      <c r="A3302" s="9" t="s">
        <v>11270</v>
      </c>
      <c r="B3302" s="200" t="s">
        <v>11271</v>
      </c>
      <c r="C3302" s="202" t="s">
        <v>11272</v>
      </c>
      <c r="D3302" s="152" t="s">
        <v>11273</v>
      </c>
      <c r="E3302" s="154" t="s">
        <v>232</v>
      </c>
      <c r="F3302" s="180"/>
    </row>
    <row r="3303" customHeight="1" spans="1:6">
      <c r="A3303" s="9" t="s">
        <v>11274</v>
      </c>
      <c r="B3303" s="200" t="s">
        <v>11275</v>
      </c>
      <c r="C3303" s="192" t="s">
        <v>11276</v>
      </c>
      <c r="D3303" s="194"/>
      <c r="E3303" s="193" t="s">
        <v>202</v>
      </c>
      <c r="F3303" s="191"/>
    </row>
    <row r="3304" customHeight="1" spans="1:6">
      <c r="A3304" s="9" t="s">
        <v>11277</v>
      </c>
      <c r="B3304" s="160" t="s">
        <v>11278</v>
      </c>
      <c r="C3304" s="160" t="s">
        <v>11279</v>
      </c>
      <c r="D3304" s="204" t="s">
        <v>11280</v>
      </c>
      <c r="E3304" s="204" t="s">
        <v>92</v>
      </c>
      <c r="F3304" s="204"/>
    </row>
    <row r="3305" customHeight="1" spans="1:6">
      <c r="A3305" s="9" t="s">
        <v>11281</v>
      </c>
      <c r="B3305" s="195" t="s">
        <v>11282</v>
      </c>
      <c r="C3305" s="202" t="s">
        <v>11283</v>
      </c>
      <c r="D3305" s="152"/>
      <c r="E3305" s="154" t="s">
        <v>104</v>
      </c>
      <c r="F3305" s="180"/>
    </row>
    <row r="3306" customHeight="1" spans="1:6">
      <c r="A3306" s="9" t="s">
        <v>11284</v>
      </c>
      <c r="B3306" s="200" t="s">
        <v>11285</v>
      </c>
      <c r="C3306" s="202" t="s">
        <v>11286</v>
      </c>
      <c r="D3306" s="152"/>
      <c r="E3306" s="154"/>
      <c r="F3306" s="180"/>
    </row>
    <row r="3307" customHeight="1" spans="1:6">
      <c r="A3307" s="9" t="s">
        <v>11287</v>
      </c>
      <c r="B3307" s="200" t="s">
        <v>11288</v>
      </c>
      <c r="C3307" s="203" t="s">
        <v>11289</v>
      </c>
      <c r="D3307" s="194"/>
      <c r="E3307" s="194" t="s">
        <v>253</v>
      </c>
      <c r="F3307" s="194"/>
    </row>
    <row r="3308" customHeight="1" spans="1:6">
      <c r="A3308" s="9" t="s">
        <v>11290</v>
      </c>
      <c r="B3308" s="195" t="s">
        <v>11291</v>
      </c>
      <c r="C3308" s="213" t="s">
        <v>11292</v>
      </c>
      <c r="D3308" s="197"/>
      <c r="E3308" s="197" t="s">
        <v>202</v>
      </c>
      <c r="F3308" s="197"/>
    </row>
    <row r="3309" customHeight="1" spans="1:6">
      <c r="A3309" s="9" t="s">
        <v>11293</v>
      </c>
      <c r="B3309" s="201" t="s">
        <v>11294</v>
      </c>
      <c r="C3309" s="202" t="s">
        <v>11295</v>
      </c>
      <c r="D3309" s="154" t="s">
        <v>11296</v>
      </c>
      <c r="E3309" s="154" t="s">
        <v>3349</v>
      </c>
      <c r="F3309" s="180"/>
    </row>
    <row r="3310" customHeight="1" spans="1:6">
      <c r="A3310" s="9" t="s">
        <v>11297</v>
      </c>
      <c r="B3310" s="195" t="s">
        <v>11298</v>
      </c>
      <c r="C3310" s="196" t="s">
        <v>11299</v>
      </c>
      <c r="D3310" s="197"/>
      <c r="E3310" s="197" t="s">
        <v>273</v>
      </c>
      <c r="F3310" s="197"/>
    </row>
    <row r="3311" customHeight="1" spans="1:6">
      <c r="A3311" s="9" t="s">
        <v>11300</v>
      </c>
      <c r="B3311" s="200" t="s">
        <v>11301</v>
      </c>
      <c r="C3311" s="202" t="s">
        <v>11302</v>
      </c>
      <c r="D3311" s="158" t="s">
        <v>11303</v>
      </c>
      <c r="E3311" s="154" t="s">
        <v>253</v>
      </c>
      <c r="F3311" s="180"/>
    </row>
    <row r="3312" customHeight="1" spans="1:6">
      <c r="A3312" s="9" t="s">
        <v>11304</v>
      </c>
      <c r="B3312" s="214" t="s">
        <v>11305</v>
      </c>
      <c r="C3312" s="214" t="s">
        <v>11306</v>
      </c>
      <c r="D3312" s="194"/>
      <c r="E3312" s="204" t="s">
        <v>92</v>
      </c>
      <c r="F3312" s="204"/>
    </row>
    <row r="3313" customHeight="1" spans="1:6">
      <c r="A3313" s="9" t="s">
        <v>11307</v>
      </c>
      <c r="B3313" s="200" t="s">
        <v>11308</v>
      </c>
      <c r="C3313" s="236" t="s">
        <v>11309</v>
      </c>
      <c r="D3313" s="194" t="s">
        <v>11310</v>
      </c>
      <c r="E3313" s="193" t="s">
        <v>216</v>
      </c>
      <c r="F3313" s="191"/>
    </row>
    <row r="3314" customHeight="1" spans="1:6">
      <c r="A3314" s="9" t="s">
        <v>11311</v>
      </c>
      <c r="B3314" s="205" t="s">
        <v>11312</v>
      </c>
      <c r="C3314" s="205" t="s">
        <v>11313</v>
      </c>
      <c r="D3314" s="206" t="s">
        <v>11314</v>
      </c>
      <c r="E3314" s="193" t="s">
        <v>120</v>
      </c>
      <c r="F3314" s="221" t="s">
        <v>11315</v>
      </c>
    </row>
    <row r="3315" customHeight="1" spans="1:6">
      <c r="A3315" s="9" t="s">
        <v>11316</v>
      </c>
      <c r="B3315" s="200" t="s">
        <v>11317</v>
      </c>
      <c r="C3315" s="202" t="s">
        <v>11318</v>
      </c>
      <c r="D3315" s="152"/>
      <c r="E3315" s="154" t="s">
        <v>232</v>
      </c>
      <c r="F3315" s="180"/>
    </row>
    <row r="3316" customHeight="1" spans="1:6">
      <c r="A3316" s="9" t="s">
        <v>11319</v>
      </c>
      <c r="B3316" s="200" t="s">
        <v>11320</v>
      </c>
      <c r="C3316" s="192" t="s">
        <v>11321</v>
      </c>
      <c r="D3316" s="194"/>
      <c r="E3316" s="194" t="s">
        <v>104</v>
      </c>
      <c r="F3316" s="194"/>
    </row>
    <row r="3317" customHeight="1" spans="1:6">
      <c r="A3317" s="9" t="s">
        <v>11322</v>
      </c>
      <c r="B3317" s="200" t="s">
        <v>11323</v>
      </c>
      <c r="C3317" s="192" t="s">
        <v>11324</v>
      </c>
      <c r="D3317" s="194"/>
      <c r="E3317" s="193" t="s">
        <v>216</v>
      </c>
      <c r="F3317" s="191"/>
    </row>
    <row r="3318" customHeight="1" spans="1:6">
      <c r="A3318" s="9" t="s">
        <v>11325</v>
      </c>
      <c r="B3318" s="201" t="s">
        <v>11326</v>
      </c>
      <c r="C3318" s="202" t="s">
        <v>11327</v>
      </c>
      <c r="D3318" s="154"/>
      <c r="E3318" s="154" t="s">
        <v>58</v>
      </c>
      <c r="F3318" s="180"/>
    </row>
    <row r="3319" customHeight="1" spans="1:6">
      <c r="A3319" s="9" t="s">
        <v>11328</v>
      </c>
      <c r="B3319" s="195" t="s">
        <v>11329</v>
      </c>
      <c r="C3319" s="202" t="s">
        <v>11330</v>
      </c>
      <c r="D3319" s="152" t="s">
        <v>11331</v>
      </c>
      <c r="E3319" s="154" t="s">
        <v>104</v>
      </c>
      <c r="F3319" s="180"/>
    </row>
    <row r="3320" customHeight="1" spans="1:6">
      <c r="A3320" s="9" t="s">
        <v>11332</v>
      </c>
      <c r="B3320" s="153" t="s">
        <v>11333</v>
      </c>
      <c r="C3320" s="202" t="s">
        <v>11334</v>
      </c>
      <c r="D3320" s="154">
        <v>934187658</v>
      </c>
      <c r="E3320" s="210" t="s">
        <v>104</v>
      </c>
      <c r="F3320" s="211"/>
    </row>
    <row r="3321" customHeight="1" spans="1:6">
      <c r="A3321" s="9" t="s">
        <v>11335</v>
      </c>
      <c r="B3321" s="219" t="s">
        <v>11336</v>
      </c>
      <c r="C3321" s="219" t="s">
        <v>11337</v>
      </c>
      <c r="D3321" s="194"/>
      <c r="E3321" s="204" t="s">
        <v>92</v>
      </c>
      <c r="F3321" s="204"/>
    </row>
    <row r="3322" customHeight="1" spans="1:6">
      <c r="A3322" s="9" t="s">
        <v>11338</v>
      </c>
      <c r="B3322" s="200" t="s">
        <v>11339</v>
      </c>
      <c r="C3322" s="192" t="s">
        <v>11340</v>
      </c>
      <c r="D3322" s="194" t="s">
        <v>11341</v>
      </c>
      <c r="E3322" s="194"/>
      <c r="F3322" s="194"/>
    </row>
    <row r="3323" customHeight="1" spans="1:6">
      <c r="A3323" s="9" t="s">
        <v>11342</v>
      </c>
      <c r="B3323" s="201" t="s">
        <v>11343</v>
      </c>
      <c r="C3323" s="202" t="s">
        <v>11344</v>
      </c>
      <c r="D3323" s="154"/>
      <c r="E3323" s="154" t="s">
        <v>202</v>
      </c>
      <c r="F3323" s="180"/>
    </row>
    <row r="3324" customHeight="1" spans="1:6">
      <c r="A3324" s="9" t="s">
        <v>11345</v>
      </c>
      <c r="B3324" s="194" t="s">
        <v>11346</v>
      </c>
      <c r="C3324" s="203" t="s">
        <v>11347</v>
      </c>
      <c r="D3324" s="197"/>
      <c r="E3324" s="197" t="s">
        <v>253</v>
      </c>
      <c r="F3324" s="197"/>
    </row>
    <row r="3325" customHeight="1" spans="1:6">
      <c r="A3325" s="9" t="s">
        <v>11348</v>
      </c>
      <c r="B3325" s="195" t="s">
        <v>11349</v>
      </c>
      <c r="C3325" s="213" t="s">
        <v>11350</v>
      </c>
      <c r="D3325" s="197"/>
      <c r="E3325" s="197" t="s">
        <v>202</v>
      </c>
      <c r="F3325" s="197"/>
    </row>
    <row r="3326" customHeight="1" spans="1:6">
      <c r="A3326" s="9" t="s">
        <v>11351</v>
      </c>
      <c r="B3326" s="195" t="s">
        <v>11352</v>
      </c>
      <c r="C3326" s="202" t="s">
        <v>11353</v>
      </c>
      <c r="D3326" s="152"/>
      <c r="E3326" s="154" t="s">
        <v>232</v>
      </c>
      <c r="F3326" s="180"/>
    </row>
    <row r="3327" customHeight="1" spans="1:6">
      <c r="A3327" s="9" t="s">
        <v>11354</v>
      </c>
      <c r="B3327" s="201" t="s">
        <v>11355</v>
      </c>
      <c r="C3327" s="202" t="s">
        <v>11356</v>
      </c>
      <c r="D3327" s="154"/>
      <c r="E3327" s="154" t="s">
        <v>58</v>
      </c>
      <c r="F3327" s="180"/>
    </row>
    <row r="3328" customHeight="1" spans="1:6">
      <c r="A3328" s="9" t="s">
        <v>11357</v>
      </c>
      <c r="B3328" s="158" t="s">
        <v>11358</v>
      </c>
      <c r="C3328" s="202" t="s">
        <v>11359</v>
      </c>
      <c r="D3328" s="158">
        <v>962114018</v>
      </c>
      <c r="E3328" s="154" t="s">
        <v>497</v>
      </c>
      <c r="F3328" s="180"/>
    </row>
    <row r="3329" customHeight="1" spans="1:6">
      <c r="A3329" s="9" t="s">
        <v>11360</v>
      </c>
      <c r="B3329" s="194" t="s">
        <v>11361</v>
      </c>
      <c r="C3329" s="264" t="s">
        <v>11362</v>
      </c>
      <c r="D3329" s="194"/>
      <c r="E3329" s="194" t="s">
        <v>202</v>
      </c>
      <c r="F3329" s="194"/>
    </row>
    <row r="3330" customHeight="1" spans="1:6">
      <c r="A3330" s="9" t="s">
        <v>11363</v>
      </c>
      <c r="B3330" s="205" t="s">
        <v>11364</v>
      </c>
      <c r="C3330" s="205" t="s">
        <v>11365</v>
      </c>
      <c r="D3330" s="206" t="s">
        <v>11366</v>
      </c>
      <c r="E3330" s="193" t="s">
        <v>120</v>
      </c>
      <c r="F3330" s="221" t="s">
        <v>11367</v>
      </c>
    </row>
    <row r="3331" customHeight="1" spans="1:6">
      <c r="A3331" s="9" t="s">
        <v>11368</v>
      </c>
      <c r="B3331" s="215" t="s">
        <v>11364</v>
      </c>
      <c r="C3331" s="205" t="s">
        <v>11365</v>
      </c>
      <c r="D3331" s="244" t="s">
        <v>11366</v>
      </c>
      <c r="E3331" s="26" t="s">
        <v>92</v>
      </c>
      <c r="F3331" s="26" t="s">
        <v>11369</v>
      </c>
    </row>
    <row r="3332" customHeight="1" spans="1:6">
      <c r="A3332" s="9" t="s">
        <v>11370</v>
      </c>
      <c r="B3332" s="195" t="s">
        <v>11371</v>
      </c>
      <c r="C3332" s="212" t="s">
        <v>11372</v>
      </c>
      <c r="D3332" s="197" t="s">
        <v>11373</v>
      </c>
      <c r="E3332" s="198" t="s">
        <v>216</v>
      </c>
      <c r="F3332" s="199"/>
    </row>
    <row r="3333" customHeight="1" spans="1:6">
      <c r="A3333" s="9" t="s">
        <v>11374</v>
      </c>
      <c r="B3333" s="214" t="s">
        <v>11375</v>
      </c>
      <c r="C3333" s="214" t="s">
        <v>11376</v>
      </c>
      <c r="D3333" s="194"/>
      <c r="E3333" s="204" t="s">
        <v>92</v>
      </c>
      <c r="F3333" s="204"/>
    </row>
    <row r="3334" customHeight="1" spans="1:6">
      <c r="A3334" s="9" t="s">
        <v>11377</v>
      </c>
      <c r="B3334" s="200" t="s">
        <v>11378</v>
      </c>
      <c r="C3334" s="192" t="s">
        <v>11379</v>
      </c>
      <c r="D3334" s="194"/>
      <c r="E3334" s="194"/>
      <c r="F3334" s="194"/>
    </row>
    <row r="3335" customHeight="1" spans="1:6">
      <c r="A3335" s="9" t="s">
        <v>11380</v>
      </c>
      <c r="B3335" s="194" t="s">
        <v>11381</v>
      </c>
      <c r="C3335" s="264" t="s">
        <v>11382</v>
      </c>
      <c r="D3335" s="194"/>
      <c r="E3335" s="194" t="s">
        <v>202</v>
      </c>
      <c r="F3335" s="194"/>
    </row>
    <row r="3336" customHeight="1" spans="1:6">
      <c r="A3336" s="9" t="s">
        <v>11383</v>
      </c>
      <c r="B3336" s="201" t="s">
        <v>11384</v>
      </c>
      <c r="C3336" s="202" t="s">
        <v>11385</v>
      </c>
      <c r="D3336" s="154"/>
      <c r="E3336" s="154" t="s">
        <v>1395</v>
      </c>
      <c r="F3336" s="180"/>
    </row>
    <row r="3337" customHeight="1" spans="1:6">
      <c r="A3337" s="9" t="s">
        <v>11386</v>
      </c>
      <c r="B3337" s="201" t="s">
        <v>11387</v>
      </c>
      <c r="C3337" s="202" t="s">
        <v>11388</v>
      </c>
      <c r="D3337" s="154"/>
      <c r="E3337" s="154" t="s">
        <v>211</v>
      </c>
      <c r="F3337" s="180"/>
    </row>
    <row r="3338" customHeight="1" spans="1:6">
      <c r="A3338" s="9" t="s">
        <v>11389</v>
      </c>
      <c r="B3338" s="195" t="s">
        <v>11390</v>
      </c>
      <c r="C3338" s="202" t="s">
        <v>11391</v>
      </c>
      <c r="D3338" s="154"/>
      <c r="E3338" s="154" t="s">
        <v>181</v>
      </c>
      <c r="F3338" s="180"/>
    </row>
    <row r="3339" customHeight="1" spans="1:6">
      <c r="A3339" s="9" t="s">
        <v>11392</v>
      </c>
      <c r="B3339" s="201" t="s">
        <v>11393</v>
      </c>
      <c r="C3339" s="202" t="s">
        <v>11394</v>
      </c>
      <c r="D3339" s="154"/>
      <c r="E3339" s="154" t="s">
        <v>1395</v>
      </c>
      <c r="F3339" s="180"/>
    </row>
    <row r="3340" customHeight="1" spans="1:6">
      <c r="A3340" s="9" t="s">
        <v>11395</v>
      </c>
      <c r="B3340" s="200" t="s">
        <v>11396</v>
      </c>
      <c r="C3340" s="202" t="s">
        <v>11397</v>
      </c>
      <c r="D3340" s="154">
        <v>916345586</v>
      </c>
      <c r="E3340" s="154" t="s">
        <v>1281</v>
      </c>
      <c r="F3340" s="180"/>
    </row>
    <row r="3341" customHeight="1" spans="1:6">
      <c r="A3341" s="9" t="s">
        <v>11398</v>
      </c>
      <c r="B3341" s="195" t="s">
        <v>11399</v>
      </c>
      <c r="C3341" s="202" t="s">
        <v>11400</v>
      </c>
      <c r="D3341" s="152" t="s">
        <v>1988</v>
      </c>
      <c r="E3341" s="154" t="s">
        <v>181</v>
      </c>
      <c r="F3341" s="180"/>
    </row>
    <row r="3342" customHeight="1" spans="1:6">
      <c r="A3342" s="9" t="s">
        <v>11401</v>
      </c>
      <c r="B3342" s="223" t="s">
        <v>11402</v>
      </c>
      <c r="C3342" s="223" t="s">
        <v>11403</v>
      </c>
      <c r="D3342" s="204" t="s">
        <v>11404</v>
      </c>
      <c r="E3342" s="204" t="s">
        <v>92</v>
      </c>
      <c r="F3342" s="204"/>
    </row>
    <row r="3343" customHeight="1" spans="1:6">
      <c r="A3343" s="9" t="s">
        <v>11405</v>
      </c>
      <c r="B3343" s="214" t="s">
        <v>11406</v>
      </c>
      <c r="C3343" s="214" t="s">
        <v>11407</v>
      </c>
      <c r="D3343" s="194"/>
      <c r="E3343" s="204" t="s">
        <v>92</v>
      </c>
      <c r="F3343" s="204"/>
    </row>
    <row r="3344" customHeight="1" spans="1:6">
      <c r="A3344" s="9" t="s">
        <v>11408</v>
      </c>
      <c r="B3344" s="195" t="s">
        <v>11409</v>
      </c>
      <c r="C3344" s="212" t="s">
        <v>11410</v>
      </c>
      <c r="D3344" s="197"/>
      <c r="E3344" s="198" t="s">
        <v>216</v>
      </c>
      <c r="F3344" s="199"/>
    </row>
    <row r="3345" customHeight="1" spans="1:6">
      <c r="A3345" s="9" t="s">
        <v>11411</v>
      </c>
      <c r="B3345" s="200" t="s">
        <v>11412</v>
      </c>
      <c r="C3345" s="203" t="s">
        <v>11413</v>
      </c>
      <c r="D3345" s="194"/>
      <c r="E3345" s="194" t="s">
        <v>104</v>
      </c>
      <c r="F3345" s="194"/>
    </row>
    <row r="3346" customHeight="1" spans="1:6">
      <c r="A3346" s="9" t="s">
        <v>11414</v>
      </c>
      <c r="B3346" s="200" t="s">
        <v>11415</v>
      </c>
      <c r="C3346" s="202" t="s">
        <v>11416</v>
      </c>
      <c r="D3346" s="152" t="s">
        <v>11417</v>
      </c>
      <c r="E3346" s="154"/>
      <c r="F3346" s="180"/>
    </row>
    <row r="3347" customHeight="1" spans="1:6">
      <c r="A3347" s="9" t="s">
        <v>11418</v>
      </c>
      <c r="B3347" s="200" t="s">
        <v>11419</v>
      </c>
      <c r="C3347" s="202" t="s">
        <v>11420</v>
      </c>
      <c r="D3347" s="152" t="s">
        <v>11421</v>
      </c>
      <c r="E3347" s="154"/>
      <c r="F3347" s="180"/>
    </row>
    <row r="3348" customHeight="1" spans="1:6">
      <c r="A3348" s="9" t="s">
        <v>11422</v>
      </c>
      <c r="B3348" s="205" t="s">
        <v>11423</v>
      </c>
      <c r="C3348" s="205" t="s">
        <v>11424</v>
      </c>
      <c r="D3348" s="206" t="s">
        <v>11425</v>
      </c>
      <c r="E3348" s="193" t="s">
        <v>120</v>
      </c>
      <c r="F3348" s="207" t="s">
        <v>11426</v>
      </c>
    </row>
    <row r="3349" customHeight="1" spans="1:6">
      <c r="A3349" s="9" t="s">
        <v>11427</v>
      </c>
      <c r="B3349" s="205" t="s">
        <v>11428</v>
      </c>
      <c r="C3349" s="205" t="s">
        <v>11429</v>
      </c>
      <c r="D3349" s="206" t="s">
        <v>11430</v>
      </c>
      <c r="E3349" s="193" t="s">
        <v>120</v>
      </c>
      <c r="F3349" s="267"/>
    </row>
    <row r="3350" customHeight="1" spans="1:6">
      <c r="A3350" s="9" t="s">
        <v>11431</v>
      </c>
      <c r="B3350" s="214" t="s">
        <v>11432</v>
      </c>
      <c r="C3350" s="214" t="s">
        <v>11433</v>
      </c>
      <c r="D3350" s="194"/>
      <c r="E3350" s="204" t="s">
        <v>92</v>
      </c>
      <c r="F3350" s="204"/>
    </row>
    <row r="3351" customHeight="1" spans="1:6">
      <c r="A3351" s="9" t="s">
        <v>11434</v>
      </c>
      <c r="B3351" s="223" t="s">
        <v>11435</v>
      </c>
      <c r="C3351" s="223" t="s">
        <v>11436</v>
      </c>
      <c r="D3351" s="204" t="s">
        <v>11437</v>
      </c>
      <c r="E3351" s="204" t="s">
        <v>92</v>
      </c>
      <c r="F3351" s="204"/>
    </row>
    <row r="3352" customHeight="1" spans="1:6">
      <c r="A3352" s="9" t="s">
        <v>11438</v>
      </c>
      <c r="B3352" s="222" t="str">
        <f>IFERROR(__xludf.DUMMYFUNCTION("""COMPUTED_VALUE"""),"Aynalem Alula")</f>
        <v>Aynalem Alula</v>
      </c>
      <c r="C3352" s="222" t="str">
        <f>IFERROR(__xludf.DUMMYFUNCTION("""COMPUTED_VALUE"""),"አይናለም አሉላ")</f>
        <v>አይናለም አሉላ</v>
      </c>
      <c r="D3352" s="222" t="str">
        <f>IFERROR(__xludf.DUMMYFUNCTION("""COMPUTED_VALUE"""),"7028127786")</f>
        <v>7028127786</v>
      </c>
      <c r="E3352" s="222" t="str">
        <f>IFERROR(__xludf.DUMMYFUNCTION("""COMPUTED_VALUE"""),"america")</f>
        <v>america</v>
      </c>
      <c r="F3352" s="222" t="str">
        <f>IFERROR(__xludf.DUMMYFUNCTION("""COMPUTED_VALUE"""),"aynaalula@netzoro.com")</f>
        <v>aynaalula@netzoro.com</v>
      </c>
    </row>
    <row r="3353" customHeight="1" spans="1:6">
      <c r="A3353" s="9" t="s">
        <v>11439</v>
      </c>
      <c r="B3353" s="223" t="s">
        <v>11440</v>
      </c>
      <c r="C3353" s="223" t="s">
        <v>11441</v>
      </c>
      <c r="D3353" s="204" t="s">
        <v>11442</v>
      </c>
      <c r="E3353" s="204" t="s">
        <v>92</v>
      </c>
      <c r="F3353" s="204"/>
    </row>
    <row r="3354" customHeight="1" spans="1:6">
      <c r="A3354" s="9" t="s">
        <v>11443</v>
      </c>
      <c r="B3354" s="223" t="s">
        <v>11444</v>
      </c>
      <c r="C3354" s="223" t="s">
        <v>11445</v>
      </c>
      <c r="D3354" s="204" t="s">
        <v>11446</v>
      </c>
      <c r="E3354" s="204" t="s">
        <v>92</v>
      </c>
      <c r="F3354" s="204"/>
    </row>
    <row r="3355" customHeight="1" spans="1:6">
      <c r="A3355" s="9" t="s">
        <v>11447</v>
      </c>
      <c r="B3355" s="160" t="s">
        <v>11448</v>
      </c>
      <c r="C3355" s="160" t="s">
        <v>11449</v>
      </c>
      <c r="D3355" s="204" t="s">
        <v>11450</v>
      </c>
      <c r="E3355" s="204" t="s">
        <v>92</v>
      </c>
      <c r="F3355" s="204"/>
    </row>
    <row r="3356" customHeight="1" spans="1:6">
      <c r="A3356" s="9" t="s">
        <v>11451</v>
      </c>
      <c r="B3356" s="160" t="s">
        <v>11452</v>
      </c>
      <c r="C3356" s="160" t="s">
        <v>11453</v>
      </c>
      <c r="D3356" s="204" t="s">
        <v>11454</v>
      </c>
      <c r="E3356" s="204" t="s">
        <v>92</v>
      </c>
      <c r="F3356" s="204"/>
    </row>
    <row r="3357" customHeight="1" spans="1:6">
      <c r="A3357" s="9" t="s">
        <v>11455</v>
      </c>
      <c r="B3357" s="215" t="s">
        <v>11456</v>
      </c>
      <c r="C3357" s="205" t="s">
        <v>11457</v>
      </c>
      <c r="D3357" s="227" t="s">
        <v>11458</v>
      </c>
      <c r="E3357" s="193" t="s">
        <v>120</v>
      </c>
      <c r="F3357" s="216"/>
    </row>
    <row r="3358" customHeight="1" spans="1:6">
      <c r="A3358" s="9" t="s">
        <v>11459</v>
      </c>
      <c r="B3358" s="223" t="s">
        <v>11460</v>
      </c>
      <c r="C3358" s="223" t="s">
        <v>11461</v>
      </c>
      <c r="D3358" s="204" t="s">
        <v>11462</v>
      </c>
      <c r="E3358" s="204" t="s">
        <v>92</v>
      </c>
      <c r="F3358" s="204"/>
    </row>
    <row r="3359" customHeight="1" spans="1:6">
      <c r="A3359" s="9" t="s">
        <v>11463</v>
      </c>
      <c r="B3359" s="160" t="s">
        <v>11464</v>
      </c>
      <c r="C3359" s="160" t="s">
        <v>11465</v>
      </c>
      <c r="D3359" s="204" t="s">
        <v>11466</v>
      </c>
      <c r="E3359" s="204" t="s">
        <v>92</v>
      </c>
      <c r="F3359" s="204"/>
    </row>
    <row r="3360" customHeight="1" spans="1:6">
      <c r="A3360" s="9" t="s">
        <v>11467</v>
      </c>
      <c r="B3360" s="223" t="s">
        <v>11468</v>
      </c>
      <c r="C3360" s="223" t="s">
        <v>11469</v>
      </c>
      <c r="D3360" s="204" t="s">
        <v>11470</v>
      </c>
      <c r="E3360" s="204" t="s">
        <v>92</v>
      </c>
      <c r="F3360" s="204"/>
    </row>
    <row r="3361" customHeight="1" spans="1:6">
      <c r="A3361" s="9" t="s">
        <v>11471</v>
      </c>
      <c r="B3361" s="327" t="s">
        <v>11472</v>
      </c>
      <c r="C3361" s="327" t="s">
        <v>11473</v>
      </c>
      <c r="D3361" s="204" t="s">
        <v>11474</v>
      </c>
      <c r="E3361" s="204" t="s">
        <v>92</v>
      </c>
      <c r="F3361" s="204"/>
    </row>
    <row r="3362" customHeight="1" spans="1:6">
      <c r="A3362" s="9" t="s">
        <v>11475</v>
      </c>
      <c r="B3362" s="160" t="s">
        <v>11476</v>
      </c>
      <c r="C3362" s="160" t="s">
        <v>11477</v>
      </c>
      <c r="D3362" s="204" t="s">
        <v>11478</v>
      </c>
      <c r="E3362" s="204" t="s">
        <v>92</v>
      </c>
      <c r="F3362" s="204"/>
    </row>
    <row r="3363" customHeight="1" spans="1:6">
      <c r="A3363" s="9" t="s">
        <v>11479</v>
      </c>
      <c r="B3363" s="160" t="s">
        <v>11480</v>
      </c>
      <c r="C3363" s="160" t="s">
        <v>11481</v>
      </c>
      <c r="D3363" s="204" t="s">
        <v>11482</v>
      </c>
      <c r="E3363" s="204" t="s">
        <v>92</v>
      </c>
      <c r="F3363" s="204"/>
    </row>
    <row r="3364" customHeight="1" spans="1:6">
      <c r="A3364" s="9" t="s">
        <v>11483</v>
      </c>
      <c r="B3364" s="160" t="s">
        <v>11484</v>
      </c>
      <c r="C3364" s="160" t="s">
        <v>11485</v>
      </c>
      <c r="D3364" s="204" t="s">
        <v>11486</v>
      </c>
      <c r="E3364" s="204" t="s">
        <v>92</v>
      </c>
      <c r="F3364" s="204"/>
    </row>
    <row r="3365" customHeight="1" spans="1:6">
      <c r="A3365" s="9" t="s">
        <v>11487</v>
      </c>
      <c r="B3365" s="160" t="s">
        <v>11488</v>
      </c>
      <c r="C3365" s="160" t="s">
        <v>11489</v>
      </c>
      <c r="D3365" s="204" t="s">
        <v>11490</v>
      </c>
      <c r="E3365" s="204" t="s">
        <v>92</v>
      </c>
      <c r="F3365" s="204"/>
    </row>
    <row r="3366" customHeight="1" spans="1:6">
      <c r="A3366" s="9" t="s">
        <v>11491</v>
      </c>
      <c r="B3366" s="160" t="s">
        <v>11492</v>
      </c>
      <c r="C3366" s="160" t="s">
        <v>11493</v>
      </c>
      <c r="D3366" s="204" t="s">
        <v>11494</v>
      </c>
      <c r="E3366" s="204" t="s">
        <v>92</v>
      </c>
      <c r="F3366" s="204"/>
    </row>
    <row r="3367" customHeight="1" spans="1:6">
      <c r="A3367" s="9" t="s">
        <v>11495</v>
      </c>
      <c r="B3367" s="160" t="s">
        <v>11496</v>
      </c>
      <c r="C3367" s="160" t="s">
        <v>11497</v>
      </c>
      <c r="D3367" s="204" t="s">
        <v>11474</v>
      </c>
      <c r="E3367" s="204" t="s">
        <v>92</v>
      </c>
      <c r="F3367" s="204"/>
    </row>
    <row r="3368" customHeight="1" spans="1:6">
      <c r="A3368" s="9" t="s">
        <v>11498</v>
      </c>
      <c r="B3368" s="160" t="s">
        <v>11499</v>
      </c>
      <c r="C3368" s="160" t="s">
        <v>11500</v>
      </c>
      <c r="D3368" s="204" t="s">
        <v>11501</v>
      </c>
      <c r="E3368" s="204" t="s">
        <v>92</v>
      </c>
      <c r="F3368" s="204"/>
    </row>
    <row r="3369" customHeight="1" spans="1:6">
      <c r="A3369" s="9" t="s">
        <v>11502</v>
      </c>
      <c r="B3369" s="160" t="s">
        <v>11503</v>
      </c>
      <c r="C3369" s="160" t="s">
        <v>11504</v>
      </c>
      <c r="D3369" s="204" t="s">
        <v>11505</v>
      </c>
      <c r="E3369" s="204" t="s">
        <v>92</v>
      </c>
      <c r="F3369" s="204"/>
    </row>
    <row r="3370" customHeight="1" spans="1:6">
      <c r="A3370" s="9" t="s">
        <v>11506</v>
      </c>
      <c r="B3370" s="160" t="s">
        <v>11507</v>
      </c>
      <c r="C3370" s="160" t="s">
        <v>11508</v>
      </c>
      <c r="D3370" s="204" t="s">
        <v>11509</v>
      </c>
      <c r="E3370" s="204" t="s">
        <v>92</v>
      </c>
      <c r="F3370" s="204"/>
    </row>
    <row r="3371" customHeight="1" spans="1:6">
      <c r="A3371" s="9" t="s">
        <v>11510</v>
      </c>
      <c r="B3371" s="160" t="s">
        <v>11511</v>
      </c>
      <c r="C3371" s="160" t="s">
        <v>11512</v>
      </c>
      <c r="D3371" s="204" t="s">
        <v>11513</v>
      </c>
      <c r="E3371" s="204" t="s">
        <v>92</v>
      </c>
      <c r="F3371" s="204"/>
    </row>
    <row r="3372" customHeight="1" spans="1:6">
      <c r="A3372" s="9" t="s">
        <v>11514</v>
      </c>
      <c r="B3372" s="160" t="s">
        <v>11515</v>
      </c>
      <c r="C3372" s="160" t="s">
        <v>11516</v>
      </c>
      <c r="D3372" s="204" t="s">
        <v>11517</v>
      </c>
      <c r="E3372" s="204" t="s">
        <v>92</v>
      </c>
      <c r="F3372" s="204"/>
    </row>
    <row r="3373" customHeight="1" spans="1:6">
      <c r="A3373" s="9" t="s">
        <v>11518</v>
      </c>
      <c r="B3373" s="160" t="s">
        <v>11519</v>
      </c>
      <c r="C3373" s="160" t="s">
        <v>11520</v>
      </c>
      <c r="D3373" s="204" t="s">
        <v>6687</v>
      </c>
      <c r="E3373" s="204" t="s">
        <v>92</v>
      </c>
      <c r="F3373" s="204"/>
    </row>
    <row r="3374" customHeight="1" spans="1:6">
      <c r="A3374" s="9" t="s">
        <v>11521</v>
      </c>
      <c r="B3374" s="195" t="s">
        <v>11522</v>
      </c>
      <c r="C3374" s="202" t="s">
        <v>11523</v>
      </c>
      <c r="D3374" s="154" t="s">
        <v>11524</v>
      </c>
      <c r="E3374" s="154" t="s">
        <v>181</v>
      </c>
      <c r="F3374" s="180"/>
    </row>
    <row r="3375" customHeight="1" spans="1:6">
      <c r="A3375" s="9" t="s">
        <v>11525</v>
      </c>
      <c r="B3375" s="214" t="s">
        <v>11526</v>
      </c>
      <c r="C3375" s="214" t="s">
        <v>11527</v>
      </c>
      <c r="D3375" s="194"/>
      <c r="E3375" s="204" t="s">
        <v>92</v>
      </c>
      <c r="F3375" s="204"/>
    </row>
    <row r="3376" customHeight="1" spans="1:6">
      <c r="A3376" s="9" t="s">
        <v>11528</v>
      </c>
      <c r="B3376" s="194" t="s">
        <v>11529</v>
      </c>
      <c r="C3376" s="203" t="s">
        <v>11530</v>
      </c>
      <c r="D3376" s="197"/>
      <c r="E3376" s="197" t="s">
        <v>253</v>
      </c>
      <c r="F3376" s="197"/>
    </row>
    <row r="3377" customHeight="1" spans="1:6">
      <c r="A3377" s="9" t="s">
        <v>11531</v>
      </c>
      <c r="B3377" s="194" t="s">
        <v>11532</v>
      </c>
      <c r="C3377" s="202" t="s">
        <v>11533</v>
      </c>
      <c r="D3377" s="158" t="s">
        <v>11534</v>
      </c>
      <c r="E3377" s="154" t="s">
        <v>243</v>
      </c>
      <c r="F3377" s="250"/>
    </row>
    <row r="3378" customHeight="1" spans="1:6">
      <c r="A3378" s="9" t="s">
        <v>11535</v>
      </c>
      <c r="B3378" s="222" t="str">
        <f>IFERROR(__xludf.DUMMYFUNCTION("""COMPUTED_VALUE"""),"Aynalem Tadesse Desta /W/o/")</f>
        <v>Aynalem Tadesse Desta /W/o/</v>
      </c>
      <c r="C3378" s="222" t="str">
        <f>IFERROR(__xludf.DUMMYFUNCTION("""COMPUTED_VALUE"""),"አይናለም ታደሰ ደስታ /ወ/ሮ/")</f>
        <v>አይናለም ታደሰ ደስታ /ወ/ሮ/</v>
      </c>
      <c r="D3378" s="222" t="str">
        <f>IFERROR(__xludf.DUMMYFUNCTION("""COMPUTED_VALUE"""),"911238328")</f>
        <v>911238328</v>
      </c>
      <c r="E3378" s="222" t="str">
        <f>IFERROR(__xludf.DUMMYFUNCTION("""COMPUTED_VALUE"""),"Addis Ababa")</f>
        <v>Addis Ababa</v>
      </c>
      <c r="F3378" s="222"/>
    </row>
    <row r="3379" customHeight="1" spans="1:6">
      <c r="A3379" s="9" t="s">
        <v>11536</v>
      </c>
      <c r="B3379" s="215" t="s">
        <v>11537</v>
      </c>
      <c r="C3379" s="205" t="s">
        <v>11538</v>
      </c>
      <c r="D3379" s="227" t="s">
        <v>11539</v>
      </c>
      <c r="E3379" s="193" t="s">
        <v>120</v>
      </c>
      <c r="F3379" s="216"/>
    </row>
    <row r="3380" customHeight="1" spans="1:6">
      <c r="A3380" s="9" t="s">
        <v>11540</v>
      </c>
      <c r="B3380" s="153" t="s">
        <v>11541</v>
      </c>
      <c r="C3380" s="202" t="s">
        <v>11542</v>
      </c>
      <c r="D3380" s="154"/>
      <c r="E3380" s="154" t="s">
        <v>310</v>
      </c>
      <c r="F3380" s="153"/>
    </row>
    <row r="3381" customHeight="1" spans="1:6">
      <c r="A3381" s="9" t="s">
        <v>11543</v>
      </c>
      <c r="B3381" s="205" t="s">
        <v>11544</v>
      </c>
      <c r="C3381" s="205" t="s">
        <v>11545</v>
      </c>
      <c r="D3381" s="206" t="s">
        <v>11546</v>
      </c>
      <c r="E3381" s="193" t="s">
        <v>120</v>
      </c>
      <c r="F3381" s="207"/>
    </row>
    <row r="3382" customHeight="1" spans="1:6">
      <c r="A3382" s="9" t="s">
        <v>11547</v>
      </c>
      <c r="B3382" s="200" t="s">
        <v>11548</v>
      </c>
      <c r="C3382" s="202" t="s">
        <v>11549</v>
      </c>
      <c r="D3382" s="158"/>
      <c r="E3382" s="154" t="s">
        <v>243</v>
      </c>
      <c r="F3382" s="180"/>
    </row>
    <row r="3383" customHeight="1" spans="1:6">
      <c r="A3383" s="9" t="s">
        <v>11550</v>
      </c>
      <c r="B3383" s="233" t="s">
        <v>11551</v>
      </c>
      <c r="C3383" s="233" t="s">
        <v>11552</v>
      </c>
      <c r="D3383" s="204" t="s">
        <v>11553</v>
      </c>
      <c r="E3383" s="204" t="s">
        <v>4922</v>
      </c>
      <c r="F3383" s="204" t="s">
        <v>11554</v>
      </c>
    </row>
    <row r="3384" customHeight="1" spans="1:6">
      <c r="A3384" s="9" t="s">
        <v>11555</v>
      </c>
      <c r="B3384" s="195" t="s">
        <v>11556</v>
      </c>
      <c r="C3384" s="202" t="s">
        <v>11557</v>
      </c>
      <c r="D3384" s="152" t="s">
        <v>11558</v>
      </c>
      <c r="E3384" s="154" t="s">
        <v>181</v>
      </c>
      <c r="F3384" s="180"/>
    </row>
    <row r="3385" customHeight="1" spans="1:6">
      <c r="A3385" s="9" t="s">
        <v>11559</v>
      </c>
      <c r="B3385" s="160" t="s">
        <v>11560</v>
      </c>
      <c r="C3385" s="160" t="s">
        <v>11561</v>
      </c>
      <c r="D3385" s="204" t="s">
        <v>2824</v>
      </c>
      <c r="E3385" s="204" t="s">
        <v>92</v>
      </c>
      <c r="F3385" s="204"/>
    </row>
    <row r="3386" customHeight="1" spans="1:6">
      <c r="A3386" s="9" t="s">
        <v>11562</v>
      </c>
      <c r="B3386" s="160" t="s">
        <v>11563</v>
      </c>
      <c r="C3386" s="160" t="s">
        <v>11564</v>
      </c>
      <c r="D3386" s="223" t="s">
        <v>11565</v>
      </c>
      <c r="E3386" s="204" t="s">
        <v>92</v>
      </c>
      <c r="F3386" s="204"/>
    </row>
    <row r="3387" customHeight="1" spans="1:6">
      <c r="A3387" s="9" t="s">
        <v>11566</v>
      </c>
      <c r="B3387" s="201" t="s">
        <v>11567</v>
      </c>
      <c r="C3387" s="202" t="s">
        <v>11568</v>
      </c>
      <c r="D3387" s="154" t="s">
        <v>11569</v>
      </c>
      <c r="E3387" s="154" t="s">
        <v>243</v>
      </c>
      <c r="F3387" s="180"/>
    </row>
    <row r="3388" customHeight="1" spans="1:6">
      <c r="A3388" s="9" t="s">
        <v>11570</v>
      </c>
      <c r="B3388" s="223" t="s">
        <v>11571</v>
      </c>
      <c r="C3388" s="223" t="s">
        <v>11572</v>
      </c>
      <c r="D3388" s="204" t="s">
        <v>11573</v>
      </c>
      <c r="E3388" s="173" t="s">
        <v>92</v>
      </c>
      <c r="F3388" s="234"/>
    </row>
    <row r="3389" customHeight="1" spans="1:6">
      <c r="A3389" s="9" t="s">
        <v>11574</v>
      </c>
      <c r="B3389" s="153" t="s">
        <v>11575</v>
      </c>
      <c r="C3389" s="202" t="s">
        <v>11576</v>
      </c>
      <c r="D3389" s="158">
        <v>905075761</v>
      </c>
      <c r="E3389" s="158" t="s">
        <v>32</v>
      </c>
      <c r="F3389" s="153"/>
    </row>
    <row r="3390" customHeight="1" spans="1:6">
      <c r="A3390" s="9" t="s">
        <v>11577</v>
      </c>
      <c r="B3390" s="253" t="s">
        <v>11578</v>
      </c>
      <c r="C3390" s="253" t="s">
        <v>11579</v>
      </c>
      <c r="D3390" s="240" t="s">
        <v>3615</v>
      </c>
      <c r="E3390" s="240" t="s">
        <v>92</v>
      </c>
      <c r="F3390" s="240"/>
    </row>
    <row r="3391" customHeight="1" spans="1:6">
      <c r="A3391" s="9" t="s">
        <v>11580</v>
      </c>
      <c r="B3391" s="215" t="s">
        <v>11578</v>
      </c>
      <c r="C3391" s="205" t="s">
        <v>11579</v>
      </c>
      <c r="D3391" s="255" t="s">
        <v>11581</v>
      </c>
      <c r="E3391" s="26" t="s">
        <v>92</v>
      </c>
      <c r="F3391" s="26"/>
    </row>
    <row r="3392" customHeight="1" spans="1:6">
      <c r="A3392" s="9" t="s">
        <v>11582</v>
      </c>
      <c r="B3392" s="200" t="s">
        <v>11583</v>
      </c>
      <c r="C3392" s="202" t="s">
        <v>11584</v>
      </c>
      <c r="D3392" s="158"/>
      <c r="E3392" s="154"/>
      <c r="F3392" s="180"/>
    </row>
    <row r="3393" customHeight="1" spans="1:6">
      <c r="A3393" s="9" t="s">
        <v>11585</v>
      </c>
      <c r="B3393" s="201" t="s">
        <v>11586</v>
      </c>
      <c r="C3393" s="202" t="s">
        <v>11587</v>
      </c>
      <c r="D3393" s="154" t="s">
        <v>11588</v>
      </c>
      <c r="E3393" s="154"/>
      <c r="F3393" s="180"/>
    </row>
    <row r="3394" customHeight="1" spans="1:6">
      <c r="A3394" s="9" t="s">
        <v>11589</v>
      </c>
      <c r="B3394" s="158" t="s">
        <v>11590</v>
      </c>
      <c r="C3394" s="202" t="s">
        <v>11591</v>
      </c>
      <c r="D3394" s="158">
        <v>930692494</v>
      </c>
      <c r="E3394" s="154" t="s">
        <v>104</v>
      </c>
      <c r="F3394" s="180"/>
    </row>
    <row r="3395" customHeight="1" spans="1:6">
      <c r="A3395" s="9" t="s">
        <v>11592</v>
      </c>
      <c r="B3395" s="201" t="s">
        <v>11593</v>
      </c>
      <c r="C3395" s="202" t="s">
        <v>11594</v>
      </c>
      <c r="D3395" s="154"/>
      <c r="E3395" s="154" t="s">
        <v>58</v>
      </c>
      <c r="F3395" s="180"/>
    </row>
    <row r="3396" customHeight="1" spans="1:6">
      <c r="A3396" s="9" t="s">
        <v>11595</v>
      </c>
      <c r="B3396" s="195" t="s">
        <v>11596</v>
      </c>
      <c r="C3396" s="202" t="s">
        <v>11597</v>
      </c>
      <c r="D3396" s="152" t="s">
        <v>11598</v>
      </c>
      <c r="E3396" s="154"/>
      <c r="F3396" s="180"/>
    </row>
    <row r="3397" customHeight="1" spans="1:6">
      <c r="A3397" s="9" t="s">
        <v>11599</v>
      </c>
      <c r="B3397" s="160" t="s">
        <v>11600</v>
      </c>
      <c r="C3397" s="160" t="s">
        <v>11601</v>
      </c>
      <c r="D3397" s="204"/>
      <c r="E3397" s="204" t="s">
        <v>92</v>
      </c>
      <c r="F3397" s="204"/>
    </row>
    <row r="3398" customHeight="1" spans="1:6">
      <c r="A3398" s="9" t="s">
        <v>11602</v>
      </c>
      <c r="B3398" s="200" t="s">
        <v>11603</v>
      </c>
      <c r="C3398" s="202" t="s">
        <v>11604</v>
      </c>
      <c r="D3398" s="152"/>
      <c r="E3398" s="154" t="s">
        <v>181</v>
      </c>
      <c r="F3398" s="180"/>
    </row>
    <row r="3399" customHeight="1" spans="1:6">
      <c r="A3399" s="9" t="s">
        <v>11605</v>
      </c>
      <c r="B3399" s="223" t="s">
        <v>11606</v>
      </c>
      <c r="C3399" s="223" t="s">
        <v>11607</v>
      </c>
      <c r="D3399" s="204" t="s">
        <v>11608</v>
      </c>
      <c r="E3399" s="204" t="s">
        <v>92</v>
      </c>
      <c r="F3399" s="204"/>
    </row>
    <row r="3400" customHeight="1" spans="1:6">
      <c r="A3400" s="9" t="s">
        <v>11609</v>
      </c>
      <c r="B3400" s="201" t="s">
        <v>11610</v>
      </c>
      <c r="C3400" s="202" t="s">
        <v>11611</v>
      </c>
      <c r="D3400" s="154"/>
      <c r="E3400" s="154" t="s">
        <v>243</v>
      </c>
      <c r="F3400" s="180"/>
    </row>
    <row r="3401" customHeight="1" spans="1:6">
      <c r="A3401" s="9" t="s">
        <v>11612</v>
      </c>
      <c r="B3401" s="200" t="s">
        <v>11613</v>
      </c>
      <c r="C3401" s="246" t="s">
        <v>11614</v>
      </c>
      <c r="D3401" s="194"/>
      <c r="E3401" s="194" t="s">
        <v>1852</v>
      </c>
      <c r="F3401" s="194"/>
    </row>
    <row r="3402" customHeight="1" spans="1:6">
      <c r="A3402" s="9" t="s">
        <v>11615</v>
      </c>
      <c r="B3402" s="153" t="s">
        <v>11616</v>
      </c>
      <c r="C3402" s="202" t="s">
        <v>11617</v>
      </c>
      <c r="D3402" s="154" t="s">
        <v>11618</v>
      </c>
      <c r="E3402" s="154" t="s">
        <v>243</v>
      </c>
      <c r="F3402" s="180"/>
    </row>
    <row r="3403" customHeight="1" spans="1:6">
      <c r="A3403" s="9" t="s">
        <v>11619</v>
      </c>
      <c r="B3403" s="197" t="s">
        <v>11620</v>
      </c>
      <c r="C3403" s="202" t="s">
        <v>11621</v>
      </c>
      <c r="D3403" s="248">
        <v>903787919</v>
      </c>
      <c r="E3403" s="154" t="s">
        <v>104</v>
      </c>
      <c r="F3403" s="180"/>
    </row>
    <row r="3404" customHeight="1" spans="1:6">
      <c r="A3404" s="9" t="s">
        <v>11622</v>
      </c>
      <c r="B3404" s="201" t="s">
        <v>11623</v>
      </c>
      <c r="C3404" s="202" t="s">
        <v>11624</v>
      </c>
      <c r="D3404" s="154" t="s">
        <v>11625</v>
      </c>
      <c r="E3404" s="154" t="s">
        <v>243</v>
      </c>
      <c r="F3404" s="180"/>
    </row>
    <row r="3405" customHeight="1" spans="1:6">
      <c r="A3405" s="9" t="s">
        <v>11626</v>
      </c>
      <c r="B3405" s="201" t="s">
        <v>11627</v>
      </c>
      <c r="C3405" s="202" t="s">
        <v>11628</v>
      </c>
      <c r="D3405" s="154" t="s">
        <v>11629</v>
      </c>
      <c r="E3405" s="154" t="s">
        <v>211</v>
      </c>
      <c r="F3405" s="180"/>
    </row>
    <row r="3406" customHeight="1" spans="1:6">
      <c r="A3406" s="9" t="s">
        <v>11630</v>
      </c>
      <c r="B3406" s="215" t="s">
        <v>11631</v>
      </c>
      <c r="C3406" s="205" t="s">
        <v>11632</v>
      </c>
      <c r="D3406" s="206" t="s">
        <v>11633</v>
      </c>
      <c r="E3406" s="193" t="s">
        <v>120</v>
      </c>
      <c r="F3406" s="221" t="s">
        <v>11634</v>
      </c>
    </row>
    <row r="3407" customHeight="1" spans="1:6">
      <c r="A3407" s="9" t="s">
        <v>11635</v>
      </c>
      <c r="B3407" s="194" t="s">
        <v>11636</v>
      </c>
      <c r="C3407" s="192" t="s">
        <v>11637</v>
      </c>
      <c r="D3407" s="194" t="s">
        <v>11638</v>
      </c>
      <c r="E3407" s="194" t="s">
        <v>243</v>
      </c>
      <c r="F3407" s="194"/>
    </row>
    <row r="3408" customHeight="1" spans="1:6">
      <c r="A3408" s="9" t="s">
        <v>11639</v>
      </c>
      <c r="B3408" s="201" t="s">
        <v>11640</v>
      </c>
      <c r="C3408" s="202" t="s">
        <v>11641</v>
      </c>
      <c r="D3408" s="154" t="s">
        <v>11642</v>
      </c>
      <c r="E3408" s="154" t="s">
        <v>186</v>
      </c>
      <c r="F3408" s="180"/>
    </row>
    <row r="3409" customHeight="1" spans="1:6">
      <c r="A3409" s="9" t="s">
        <v>11643</v>
      </c>
      <c r="B3409" s="205" t="s">
        <v>11644</v>
      </c>
      <c r="C3409" s="205" t="s">
        <v>11645</v>
      </c>
      <c r="D3409" s="206" t="s">
        <v>11646</v>
      </c>
      <c r="E3409" s="193" t="s">
        <v>120</v>
      </c>
      <c r="F3409" s="239"/>
    </row>
    <row r="3410" customHeight="1" spans="1:6">
      <c r="A3410" s="9" t="s">
        <v>11647</v>
      </c>
      <c r="B3410" s="215" t="s">
        <v>11648</v>
      </c>
      <c r="C3410" s="205" t="s">
        <v>11649</v>
      </c>
      <c r="D3410" s="206" t="s">
        <v>11650</v>
      </c>
      <c r="E3410" s="193" t="s">
        <v>120</v>
      </c>
      <c r="F3410" s="221"/>
    </row>
    <row r="3411" customHeight="1" spans="1:6">
      <c r="A3411" s="9" t="s">
        <v>11651</v>
      </c>
      <c r="B3411" s="223" t="s">
        <v>11652</v>
      </c>
      <c r="C3411" s="223" t="s">
        <v>11653</v>
      </c>
      <c r="D3411" s="204" t="s">
        <v>11654</v>
      </c>
      <c r="E3411" s="204" t="s">
        <v>92</v>
      </c>
      <c r="F3411" s="204"/>
    </row>
    <row r="3412" customHeight="1" spans="1:6">
      <c r="A3412" s="9" t="s">
        <v>11655</v>
      </c>
      <c r="B3412" s="233" t="s">
        <v>11656</v>
      </c>
      <c r="C3412" s="233" t="s">
        <v>11657</v>
      </c>
      <c r="D3412" s="204" t="s">
        <v>11658</v>
      </c>
      <c r="E3412" s="204" t="s">
        <v>2732</v>
      </c>
      <c r="F3412" s="204" t="s">
        <v>11659</v>
      </c>
    </row>
    <row r="3413" customHeight="1" spans="1:6">
      <c r="A3413" s="9" t="s">
        <v>11660</v>
      </c>
      <c r="B3413" s="208" t="s">
        <v>11661</v>
      </c>
      <c r="C3413" s="208" t="s">
        <v>11662</v>
      </c>
      <c r="D3413" s="194"/>
      <c r="E3413" s="204" t="s">
        <v>92</v>
      </c>
      <c r="F3413" s="204"/>
    </row>
    <row r="3414" customHeight="1" spans="1:6">
      <c r="A3414" s="9" t="s">
        <v>11663</v>
      </c>
      <c r="B3414" s="310" t="s">
        <v>11664</v>
      </c>
      <c r="C3414" s="310" t="s">
        <v>11665</v>
      </c>
      <c r="D3414" s="204">
        <v>944144445</v>
      </c>
      <c r="E3414" s="204" t="s">
        <v>92</v>
      </c>
      <c r="F3414" s="204"/>
    </row>
    <row r="3415" customHeight="1" spans="1:6">
      <c r="A3415" s="9" t="s">
        <v>11666</v>
      </c>
      <c r="B3415" s="234" t="s">
        <v>11667</v>
      </c>
      <c r="C3415" s="235" t="s">
        <v>11668</v>
      </c>
      <c r="D3415" s="234" t="s">
        <v>11669</v>
      </c>
      <c r="E3415" s="53" t="s">
        <v>691</v>
      </c>
      <c r="F3415" s="328" t="s">
        <v>11670</v>
      </c>
    </row>
    <row r="3416" customHeight="1" spans="1:6">
      <c r="A3416" s="9" t="s">
        <v>11671</v>
      </c>
      <c r="B3416" s="160" t="s">
        <v>11672</v>
      </c>
      <c r="C3416" s="160" t="s">
        <v>11673</v>
      </c>
      <c r="D3416" s="204" t="s">
        <v>11674</v>
      </c>
      <c r="E3416" s="204" t="s">
        <v>92</v>
      </c>
      <c r="F3416" s="204"/>
    </row>
    <row r="3417" customHeight="1" spans="1:6">
      <c r="A3417" s="9" t="s">
        <v>11675</v>
      </c>
      <c r="B3417" s="160" t="s">
        <v>11676</v>
      </c>
      <c r="C3417" s="160" t="s">
        <v>11677</v>
      </c>
      <c r="D3417" s="204" t="s">
        <v>11678</v>
      </c>
      <c r="E3417" s="204" t="s">
        <v>92</v>
      </c>
      <c r="F3417" s="204"/>
    </row>
    <row r="3418" customHeight="1" spans="1:6">
      <c r="A3418" s="9" t="s">
        <v>11679</v>
      </c>
      <c r="B3418" s="253" t="s">
        <v>11680</v>
      </c>
      <c r="C3418" s="253" t="s">
        <v>11681</v>
      </c>
      <c r="D3418" s="240" t="s">
        <v>11682</v>
      </c>
      <c r="E3418" s="240" t="s">
        <v>92</v>
      </c>
      <c r="F3418" s="240"/>
    </row>
    <row r="3419" customHeight="1" spans="1:6">
      <c r="A3419" s="9" t="s">
        <v>11683</v>
      </c>
      <c r="B3419" s="215" t="s">
        <v>11684</v>
      </c>
      <c r="C3419" s="205" t="s">
        <v>11685</v>
      </c>
      <c r="D3419" s="227" t="s">
        <v>11686</v>
      </c>
      <c r="E3419" s="193" t="s">
        <v>120</v>
      </c>
      <c r="F3419" s="216"/>
    </row>
    <row r="3420" customHeight="1" spans="1:6">
      <c r="A3420" s="9" t="s">
        <v>11687</v>
      </c>
      <c r="B3420" s="253" t="s">
        <v>11688</v>
      </c>
      <c r="C3420" s="253" t="s">
        <v>11689</v>
      </c>
      <c r="D3420" s="240" t="s">
        <v>11690</v>
      </c>
      <c r="E3420" s="240" t="s">
        <v>92</v>
      </c>
      <c r="F3420" s="240"/>
    </row>
    <row r="3421" customHeight="1" spans="1:6">
      <c r="A3421" s="9" t="s">
        <v>11691</v>
      </c>
      <c r="B3421" s="197" t="s">
        <v>11692</v>
      </c>
      <c r="C3421" s="196" t="s">
        <v>11693</v>
      </c>
      <c r="D3421" s="197"/>
      <c r="E3421" s="197" t="s">
        <v>243</v>
      </c>
      <c r="F3421" s="197"/>
    </row>
    <row r="3422" customHeight="1" spans="1:6">
      <c r="A3422" s="9" t="s">
        <v>11694</v>
      </c>
      <c r="B3422" s="222" t="str">
        <f>IFERROR(__xludf.DUMMYFUNCTION("""COMPUTED_VALUE"""),"Azeb Teshome Alemayehu w/o")</f>
        <v>Azeb Teshome Alemayehu w/o</v>
      </c>
      <c r="C3422" s="222" t="str">
        <f>IFERROR(__xludf.DUMMYFUNCTION("""COMPUTED_VALUE"""),"ወ/ሮ አዜብ ተሾመ አለማየሁ")</f>
        <v>ወ/ሮ አዜብ ተሾመ አለማየሁ</v>
      </c>
      <c r="D3422" s="222" t="str">
        <f>IFERROR(__xludf.DUMMYFUNCTION("""COMPUTED_VALUE"""),"0980-223753")</f>
        <v>0980-223753</v>
      </c>
      <c r="E3422" s="222" t="str">
        <f>IFERROR(__xludf.DUMMYFUNCTION("""COMPUTED_VALUE"""),"Addis Ababa")</f>
        <v>Addis Ababa</v>
      </c>
      <c r="F3422" s="222"/>
    </row>
    <row r="3423" customHeight="1" spans="1:6">
      <c r="A3423" s="9" t="s">
        <v>11695</v>
      </c>
      <c r="B3423" s="160" t="s">
        <v>11696</v>
      </c>
      <c r="C3423" s="160" t="s">
        <v>11697</v>
      </c>
      <c r="D3423" s="204" t="s">
        <v>11698</v>
      </c>
      <c r="E3423" s="204" t="s">
        <v>92</v>
      </c>
      <c r="F3423" s="204"/>
    </row>
    <row r="3424" customHeight="1" spans="1:6">
      <c r="A3424" s="9" t="s">
        <v>11699</v>
      </c>
      <c r="B3424" s="205" t="s">
        <v>11700</v>
      </c>
      <c r="C3424" s="205" t="s">
        <v>11701</v>
      </c>
      <c r="D3424" s="206" t="s">
        <v>11702</v>
      </c>
      <c r="E3424" s="193" t="s">
        <v>120</v>
      </c>
      <c r="F3424" s="207" t="s">
        <v>11703</v>
      </c>
    </row>
    <row r="3425" customHeight="1" spans="1:6">
      <c r="A3425" s="9" t="s">
        <v>11704</v>
      </c>
      <c r="B3425" s="160" t="s">
        <v>11705</v>
      </c>
      <c r="C3425" s="160" t="s">
        <v>11706</v>
      </c>
      <c r="D3425" s="204" t="s">
        <v>11707</v>
      </c>
      <c r="E3425" s="204" t="s">
        <v>92</v>
      </c>
      <c r="F3425" s="204"/>
    </row>
    <row r="3426" customHeight="1" spans="1:6">
      <c r="A3426" s="9" t="s">
        <v>11708</v>
      </c>
      <c r="B3426" s="200" t="s">
        <v>11709</v>
      </c>
      <c r="C3426" s="202" t="s">
        <v>11710</v>
      </c>
      <c r="D3426" s="158"/>
      <c r="E3426" s="154" t="s">
        <v>186</v>
      </c>
      <c r="F3426" s="180"/>
    </row>
    <row r="3427" customHeight="1" spans="1:6">
      <c r="A3427" s="9" t="s">
        <v>11711</v>
      </c>
      <c r="B3427" s="201" t="s">
        <v>11712</v>
      </c>
      <c r="C3427" s="202" t="s">
        <v>11713</v>
      </c>
      <c r="D3427" s="154">
        <v>916954792</v>
      </c>
      <c r="E3427" s="154" t="s">
        <v>211</v>
      </c>
      <c r="F3427" s="180"/>
    </row>
    <row r="3428" customHeight="1" spans="1:6">
      <c r="A3428" s="9" t="s">
        <v>11714</v>
      </c>
      <c r="B3428" s="195" t="s">
        <v>11715</v>
      </c>
      <c r="C3428" s="202" t="s">
        <v>11716</v>
      </c>
      <c r="D3428" s="152"/>
      <c r="E3428" s="154" t="s">
        <v>58</v>
      </c>
      <c r="F3428" s="180"/>
    </row>
    <row r="3429" customHeight="1" spans="1:6">
      <c r="A3429" s="9" t="s">
        <v>11717</v>
      </c>
      <c r="B3429" s="153" t="s">
        <v>11718</v>
      </c>
      <c r="C3429" s="202" t="s">
        <v>11719</v>
      </c>
      <c r="D3429" s="180">
        <v>934582456</v>
      </c>
      <c r="E3429" s="154" t="s">
        <v>104</v>
      </c>
      <c r="F3429" s="180"/>
    </row>
    <row r="3430" customHeight="1" spans="1:6">
      <c r="A3430" s="9" t="s">
        <v>11720</v>
      </c>
      <c r="B3430" s="197" t="s">
        <v>11721</v>
      </c>
      <c r="C3430" s="196" t="s">
        <v>11722</v>
      </c>
      <c r="D3430" s="197"/>
      <c r="E3430" s="197" t="s">
        <v>202</v>
      </c>
      <c r="F3430" s="197"/>
    </row>
    <row r="3431" customHeight="1" spans="1:6">
      <c r="A3431" s="9" t="s">
        <v>11723</v>
      </c>
      <c r="B3431" s="214" t="s">
        <v>11724</v>
      </c>
      <c r="C3431" s="214" t="s">
        <v>11725</v>
      </c>
      <c r="D3431" s="194"/>
      <c r="E3431" s="204" t="s">
        <v>92</v>
      </c>
      <c r="F3431" s="204"/>
    </row>
    <row r="3432" customHeight="1" spans="1:6">
      <c r="A3432" s="9" t="s">
        <v>11726</v>
      </c>
      <c r="B3432" s="200" t="s">
        <v>11727</v>
      </c>
      <c r="C3432" s="192" t="s">
        <v>11728</v>
      </c>
      <c r="D3432" s="194"/>
      <c r="E3432" s="193" t="s">
        <v>202</v>
      </c>
      <c r="F3432" s="191"/>
    </row>
    <row r="3433" customHeight="1" spans="1:6">
      <c r="A3433" s="9" t="s">
        <v>11729</v>
      </c>
      <c r="B3433" s="200" t="s">
        <v>11730</v>
      </c>
      <c r="C3433" s="202" t="s">
        <v>11731</v>
      </c>
      <c r="D3433" s="152"/>
      <c r="E3433" s="154" t="s">
        <v>232</v>
      </c>
      <c r="F3433" s="180"/>
    </row>
    <row r="3434" customHeight="1" spans="1:6">
      <c r="A3434" s="9" t="s">
        <v>11732</v>
      </c>
      <c r="B3434" s="200" t="s">
        <v>11733</v>
      </c>
      <c r="C3434" s="202" t="s">
        <v>11734</v>
      </c>
      <c r="D3434" s="154">
        <v>937428827</v>
      </c>
      <c r="E3434" s="154" t="s">
        <v>104</v>
      </c>
      <c r="F3434" s="180"/>
    </row>
    <row r="3435" customHeight="1" spans="1:6">
      <c r="A3435" s="9" t="s">
        <v>11735</v>
      </c>
      <c r="B3435" s="200" t="s">
        <v>11736</v>
      </c>
      <c r="C3435" s="202" t="s">
        <v>11737</v>
      </c>
      <c r="D3435" s="152"/>
      <c r="E3435" s="154" t="s">
        <v>232</v>
      </c>
      <c r="F3435" s="180"/>
    </row>
    <row r="3436" customHeight="1" spans="1:6">
      <c r="A3436" s="9" t="s">
        <v>11738</v>
      </c>
      <c r="B3436" s="194" t="s">
        <v>11739</v>
      </c>
      <c r="C3436" s="202" t="s">
        <v>11740</v>
      </c>
      <c r="D3436" s="248">
        <v>918501431</v>
      </c>
      <c r="E3436" s="154" t="s">
        <v>104</v>
      </c>
      <c r="F3436" s="180"/>
    </row>
    <row r="3437" customHeight="1" spans="1:6">
      <c r="A3437" s="9" t="s">
        <v>11741</v>
      </c>
      <c r="B3437" s="223" t="s">
        <v>11742</v>
      </c>
      <c r="C3437" s="223" t="s">
        <v>11743</v>
      </c>
      <c r="D3437" s="204" t="s">
        <v>6351</v>
      </c>
      <c r="E3437" s="204" t="s">
        <v>92</v>
      </c>
      <c r="F3437" s="204"/>
    </row>
    <row r="3438" customHeight="1" spans="1:6">
      <c r="A3438" s="9" t="s">
        <v>11744</v>
      </c>
      <c r="B3438" s="200" t="s">
        <v>11745</v>
      </c>
      <c r="C3438" s="202" t="s">
        <v>11746</v>
      </c>
      <c r="D3438" s="152"/>
      <c r="E3438" s="154" t="s">
        <v>104</v>
      </c>
      <c r="F3438" s="180"/>
    </row>
    <row r="3439" customHeight="1" spans="1:6">
      <c r="A3439" s="9" t="s">
        <v>11747</v>
      </c>
      <c r="B3439" s="195" t="s">
        <v>11748</v>
      </c>
      <c r="C3439" s="202" t="s">
        <v>11749</v>
      </c>
      <c r="D3439" s="154"/>
      <c r="E3439" s="154" t="s">
        <v>104</v>
      </c>
      <c r="F3439" s="180"/>
    </row>
    <row r="3440" customHeight="1" spans="1:6">
      <c r="A3440" s="9" t="s">
        <v>11750</v>
      </c>
      <c r="B3440" s="180" t="s">
        <v>11751</v>
      </c>
      <c r="C3440" s="243" t="s">
        <v>11752</v>
      </c>
      <c r="D3440" s="154">
        <v>906190725</v>
      </c>
      <c r="E3440" s="158" t="s">
        <v>968</v>
      </c>
      <c r="F3440" s="153"/>
    </row>
    <row r="3441" customHeight="1" spans="1:6">
      <c r="A3441" s="9" t="s">
        <v>11753</v>
      </c>
      <c r="B3441" s="195" t="s">
        <v>11754</v>
      </c>
      <c r="C3441" s="196" t="s">
        <v>11755</v>
      </c>
      <c r="D3441" s="197"/>
      <c r="E3441" s="197" t="s">
        <v>125</v>
      </c>
      <c r="F3441" s="197"/>
    </row>
    <row r="3442" customHeight="1" spans="1:6">
      <c r="A3442" s="9" t="s">
        <v>11756</v>
      </c>
      <c r="B3442" s="195" t="s">
        <v>11757</v>
      </c>
      <c r="C3442" s="203" t="s">
        <v>11758</v>
      </c>
      <c r="D3442" s="197"/>
      <c r="E3442" s="197" t="s">
        <v>253</v>
      </c>
      <c r="F3442" s="197"/>
    </row>
    <row r="3443" customHeight="1" spans="1:6">
      <c r="A3443" s="9" t="s">
        <v>11759</v>
      </c>
      <c r="B3443" s="195" t="s">
        <v>11760</v>
      </c>
      <c r="C3443" s="202" t="s">
        <v>11761</v>
      </c>
      <c r="D3443" s="154">
        <v>930350209</v>
      </c>
      <c r="E3443" s="154" t="s">
        <v>104</v>
      </c>
      <c r="F3443" s="180"/>
    </row>
    <row r="3444" customHeight="1" spans="1:6">
      <c r="A3444" s="9" t="s">
        <v>11762</v>
      </c>
      <c r="B3444" s="215" t="s">
        <v>11763</v>
      </c>
      <c r="C3444" s="205" t="s">
        <v>11764</v>
      </c>
      <c r="D3444" s="255" t="s">
        <v>11765</v>
      </c>
      <c r="E3444" s="26" t="s">
        <v>92</v>
      </c>
      <c r="F3444" s="26" t="s">
        <v>11766</v>
      </c>
    </row>
    <row r="3445" customHeight="1" spans="1:6">
      <c r="A3445" s="9" t="s">
        <v>11767</v>
      </c>
      <c r="B3445" s="194" t="s">
        <v>11768</v>
      </c>
      <c r="C3445" s="202" t="s">
        <v>11769</v>
      </c>
      <c r="D3445" s="154"/>
      <c r="E3445" s="154" t="s">
        <v>104</v>
      </c>
      <c r="F3445" s="180"/>
    </row>
    <row r="3446" customHeight="1" spans="1:6">
      <c r="A3446" s="9" t="s">
        <v>11770</v>
      </c>
      <c r="B3446" s="195" t="s">
        <v>11771</v>
      </c>
      <c r="C3446" s="196" t="s">
        <v>11772</v>
      </c>
      <c r="D3446" s="197"/>
      <c r="E3446" s="197" t="s">
        <v>125</v>
      </c>
      <c r="F3446" s="197"/>
    </row>
    <row r="3447" customHeight="1" spans="1:6">
      <c r="A3447" s="9" t="s">
        <v>11773</v>
      </c>
      <c r="B3447" s="253" t="s">
        <v>11774</v>
      </c>
      <c r="C3447" s="253" t="s">
        <v>11775</v>
      </c>
      <c r="D3447" s="240">
        <v>929325656</v>
      </c>
      <c r="E3447" s="240" t="s">
        <v>92</v>
      </c>
      <c r="F3447" s="240"/>
    </row>
    <row r="3448" customHeight="1" spans="1:6">
      <c r="A3448" s="9" t="s">
        <v>11776</v>
      </c>
      <c r="B3448" s="153" t="s">
        <v>11777</v>
      </c>
      <c r="C3448" s="202" t="s">
        <v>11778</v>
      </c>
      <c r="D3448" s="154"/>
      <c r="E3448" s="154" t="s">
        <v>253</v>
      </c>
      <c r="F3448" s="180"/>
    </row>
    <row r="3449" customHeight="1" spans="1:6">
      <c r="A3449" s="9" t="s">
        <v>11779</v>
      </c>
      <c r="B3449" s="153" t="s">
        <v>11780</v>
      </c>
      <c r="C3449" s="202" t="s">
        <v>11781</v>
      </c>
      <c r="D3449" s="154"/>
      <c r="E3449" s="154" t="s">
        <v>104</v>
      </c>
      <c r="F3449" s="180"/>
    </row>
    <row r="3450" customHeight="1" spans="1:6">
      <c r="A3450" s="9" t="s">
        <v>11782</v>
      </c>
      <c r="B3450" s="200" t="s">
        <v>11783</v>
      </c>
      <c r="C3450" s="246" t="s">
        <v>11784</v>
      </c>
      <c r="D3450" s="194"/>
      <c r="E3450" s="194" t="s">
        <v>202</v>
      </c>
      <c r="F3450" s="194"/>
    </row>
    <row r="3451" customHeight="1" spans="1:6">
      <c r="A3451" s="9" t="s">
        <v>11785</v>
      </c>
      <c r="B3451" s="200" t="s">
        <v>11786</v>
      </c>
      <c r="C3451" s="202" t="s">
        <v>11787</v>
      </c>
      <c r="D3451" s="158" t="s">
        <v>11788</v>
      </c>
      <c r="E3451" s="154" t="s">
        <v>310</v>
      </c>
      <c r="F3451" s="180"/>
    </row>
    <row r="3452" customHeight="1" spans="1:6">
      <c r="A3452" s="9" t="s">
        <v>11789</v>
      </c>
      <c r="B3452" s="171" t="s">
        <v>11790</v>
      </c>
      <c r="C3452" s="218" t="s">
        <v>11791</v>
      </c>
      <c r="D3452" s="155"/>
      <c r="E3452" s="154" t="s">
        <v>104</v>
      </c>
      <c r="F3452" s="314"/>
    </row>
    <row r="3453" customHeight="1" spans="1:6">
      <c r="A3453" s="9" t="s">
        <v>11792</v>
      </c>
      <c r="B3453" s="200" t="s">
        <v>11793</v>
      </c>
      <c r="C3453" s="202" t="s">
        <v>11794</v>
      </c>
      <c r="D3453" s="152"/>
      <c r="E3453" s="154" t="s">
        <v>232</v>
      </c>
      <c r="F3453" s="180"/>
    </row>
    <row r="3454" customHeight="1" spans="1:6">
      <c r="A3454" s="9" t="s">
        <v>11795</v>
      </c>
      <c r="B3454" s="195" t="s">
        <v>11796</v>
      </c>
      <c r="C3454" s="212" t="s">
        <v>11797</v>
      </c>
      <c r="D3454" s="197"/>
      <c r="E3454" s="198" t="s">
        <v>216</v>
      </c>
      <c r="F3454" s="199"/>
    </row>
    <row r="3455" customHeight="1" spans="1:6">
      <c r="A3455" s="9" t="s">
        <v>11798</v>
      </c>
      <c r="B3455" s="200" t="s">
        <v>11799</v>
      </c>
      <c r="C3455" s="202" t="s">
        <v>11800</v>
      </c>
      <c r="D3455" s="152" t="s">
        <v>11801</v>
      </c>
      <c r="E3455" s="154" t="s">
        <v>232</v>
      </c>
      <c r="F3455" s="180"/>
    </row>
    <row r="3456" customHeight="1" spans="1:6">
      <c r="A3456" s="9" t="s">
        <v>11802</v>
      </c>
      <c r="B3456" s="200" t="s">
        <v>11803</v>
      </c>
      <c r="C3456" s="202" t="s">
        <v>11804</v>
      </c>
      <c r="D3456" s="152"/>
      <c r="E3456" s="154" t="s">
        <v>232</v>
      </c>
      <c r="F3456" s="180"/>
    </row>
    <row r="3457" customHeight="1" spans="1:6">
      <c r="A3457" s="9" t="s">
        <v>11805</v>
      </c>
      <c r="B3457" s="200" t="s">
        <v>11806</v>
      </c>
      <c r="C3457" s="202" t="s">
        <v>11807</v>
      </c>
      <c r="D3457" s="152"/>
      <c r="E3457" s="154"/>
      <c r="F3457" s="180"/>
    </row>
    <row r="3458" customHeight="1" spans="1:6">
      <c r="A3458" s="9" t="s">
        <v>11808</v>
      </c>
      <c r="B3458" s="199" t="s">
        <v>11809</v>
      </c>
      <c r="C3458" s="196" t="s">
        <v>11810</v>
      </c>
      <c r="D3458" s="198"/>
      <c r="E3458" s="197" t="s">
        <v>9</v>
      </c>
      <c r="F3458" s="197"/>
    </row>
    <row r="3459" customHeight="1" spans="1:6">
      <c r="A3459" s="9" t="s">
        <v>11811</v>
      </c>
      <c r="B3459" s="253" t="s">
        <v>11812</v>
      </c>
      <c r="C3459" s="253" t="s">
        <v>11813</v>
      </c>
      <c r="D3459" s="279"/>
      <c r="E3459" s="240" t="s">
        <v>92</v>
      </c>
      <c r="F3459" s="240"/>
    </row>
    <row r="3460" customHeight="1" spans="1:6">
      <c r="A3460" s="9" t="s">
        <v>11814</v>
      </c>
      <c r="B3460" s="201" t="s">
        <v>11815</v>
      </c>
      <c r="C3460" s="202" t="s">
        <v>11816</v>
      </c>
      <c r="D3460" s="154" t="s">
        <v>11817</v>
      </c>
      <c r="E3460" s="154" t="s">
        <v>58</v>
      </c>
      <c r="F3460" s="180"/>
    </row>
    <row r="3461" customHeight="1" spans="1:6">
      <c r="A3461" s="9" t="s">
        <v>11818</v>
      </c>
      <c r="B3461" s="200" t="s">
        <v>11819</v>
      </c>
      <c r="C3461" s="202" t="s">
        <v>11820</v>
      </c>
      <c r="D3461" s="152"/>
      <c r="E3461" s="154" t="s">
        <v>232</v>
      </c>
      <c r="F3461" s="180"/>
    </row>
    <row r="3462" customHeight="1" spans="1:6">
      <c r="A3462" s="9" t="s">
        <v>11821</v>
      </c>
      <c r="B3462" s="160" t="s">
        <v>11822</v>
      </c>
      <c r="C3462" s="160" t="s">
        <v>11823</v>
      </c>
      <c r="D3462" s="204" t="s">
        <v>11824</v>
      </c>
      <c r="E3462" s="204" t="s">
        <v>92</v>
      </c>
      <c r="F3462" s="204"/>
    </row>
    <row r="3463" customHeight="1" spans="1:6">
      <c r="A3463" s="9" t="s">
        <v>11825</v>
      </c>
      <c r="B3463" s="195" t="s">
        <v>11826</v>
      </c>
      <c r="C3463" s="212" t="s">
        <v>11827</v>
      </c>
      <c r="D3463" s="197" t="s">
        <v>11828</v>
      </c>
      <c r="E3463" s="198" t="s">
        <v>216</v>
      </c>
      <c r="F3463" s="199"/>
    </row>
    <row r="3464" customHeight="1" spans="1:6">
      <c r="A3464" s="9" t="s">
        <v>11829</v>
      </c>
      <c r="B3464" s="214" t="s">
        <v>11830</v>
      </c>
      <c r="C3464" s="214" t="s">
        <v>11831</v>
      </c>
      <c r="D3464" s="194"/>
      <c r="E3464" s="204" t="s">
        <v>92</v>
      </c>
      <c r="F3464" s="204"/>
    </row>
    <row r="3465" customHeight="1" spans="1:6">
      <c r="A3465" s="9" t="s">
        <v>11832</v>
      </c>
      <c r="B3465" s="194" t="s">
        <v>11833</v>
      </c>
      <c r="C3465" s="202" t="s">
        <v>11834</v>
      </c>
      <c r="D3465" s="158" t="s">
        <v>11835</v>
      </c>
      <c r="E3465" s="154" t="s">
        <v>243</v>
      </c>
      <c r="F3465" s="250"/>
    </row>
    <row r="3466" customHeight="1" spans="1:6">
      <c r="A3466" s="9" t="s">
        <v>11836</v>
      </c>
      <c r="B3466" s="200" t="s">
        <v>11837</v>
      </c>
      <c r="C3466" s="236" t="s">
        <v>11838</v>
      </c>
      <c r="D3466" s="194" t="s">
        <v>11839</v>
      </c>
      <c r="E3466" s="154" t="s">
        <v>104</v>
      </c>
      <c r="F3466" s="191"/>
    </row>
    <row r="3467" customHeight="1" spans="1:6">
      <c r="A3467" s="9" t="s">
        <v>11840</v>
      </c>
      <c r="B3467" s="200" t="s">
        <v>11841</v>
      </c>
      <c r="C3467" s="202" t="s">
        <v>11842</v>
      </c>
      <c r="D3467" s="152" t="s">
        <v>11843</v>
      </c>
      <c r="E3467" s="154" t="s">
        <v>104</v>
      </c>
      <c r="F3467" s="180"/>
    </row>
    <row r="3468" customHeight="1" spans="1:6">
      <c r="A3468" s="9" t="s">
        <v>11844</v>
      </c>
      <c r="B3468" s="200" t="s">
        <v>11845</v>
      </c>
      <c r="C3468" s="202" t="s">
        <v>11846</v>
      </c>
      <c r="D3468" s="152" t="s">
        <v>11847</v>
      </c>
      <c r="E3468" s="154" t="s">
        <v>104</v>
      </c>
      <c r="F3468" s="180"/>
    </row>
    <row r="3469" customHeight="1" spans="1:6">
      <c r="A3469" s="9" t="s">
        <v>11848</v>
      </c>
      <c r="B3469" s="200" t="s">
        <v>11849</v>
      </c>
      <c r="C3469" s="192" t="s">
        <v>11850</v>
      </c>
      <c r="D3469" s="194"/>
      <c r="E3469" s="193" t="s">
        <v>202</v>
      </c>
      <c r="F3469" s="191"/>
    </row>
    <row r="3470" customHeight="1" spans="1:6">
      <c r="A3470" s="9" t="s">
        <v>11851</v>
      </c>
      <c r="B3470" s="200" t="s">
        <v>11852</v>
      </c>
      <c r="C3470" s="192" t="s">
        <v>11853</v>
      </c>
      <c r="D3470" s="194" t="s">
        <v>11854</v>
      </c>
      <c r="E3470" s="193" t="s">
        <v>202</v>
      </c>
      <c r="F3470" s="191"/>
    </row>
    <row r="3471" customHeight="1" spans="1:6">
      <c r="A3471" s="9" t="s">
        <v>11855</v>
      </c>
      <c r="B3471" s="195" t="s">
        <v>11856</v>
      </c>
      <c r="C3471" s="202" t="s">
        <v>11857</v>
      </c>
      <c r="D3471" s="158"/>
      <c r="E3471" s="154"/>
      <c r="F3471" s="180"/>
    </row>
    <row r="3472" customHeight="1" spans="1:6">
      <c r="A3472" s="9" t="s">
        <v>11858</v>
      </c>
      <c r="B3472" s="158" t="s">
        <v>11859</v>
      </c>
      <c r="C3472" s="202" t="s">
        <v>11860</v>
      </c>
      <c r="D3472" s="158">
        <v>918418153</v>
      </c>
      <c r="E3472" s="154" t="s">
        <v>104</v>
      </c>
      <c r="F3472" s="180"/>
    </row>
    <row r="3473" customHeight="1" spans="1:6">
      <c r="A3473" s="9" t="s">
        <v>11861</v>
      </c>
      <c r="B3473" s="200" t="s">
        <v>11862</v>
      </c>
      <c r="C3473" s="202" t="s">
        <v>11863</v>
      </c>
      <c r="D3473" s="152" t="s">
        <v>11864</v>
      </c>
      <c r="E3473" s="154" t="s">
        <v>232</v>
      </c>
      <c r="F3473" s="180"/>
    </row>
    <row r="3474" customHeight="1" spans="1:6">
      <c r="A3474" s="9" t="s">
        <v>11865</v>
      </c>
      <c r="B3474" s="195" t="s">
        <v>11866</v>
      </c>
      <c r="C3474" s="196" t="s">
        <v>11867</v>
      </c>
      <c r="D3474" s="197"/>
      <c r="E3474" s="198" t="s">
        <v>202</v>
      </c>
      <c r="F3474" s="199"/>
    </row>
    <row r="3475" customHeight="1" spans="1:6">
      <c r="A3475" s="9" t="s">
        <v>11868</v>
      </c>
      <c r="B3475" s="214" t="s">
        <v>11869</v>
      </c>
      <c r="C3475" s="214" t="s">
        <v>11870</v>
      </c>
      <c r="D3475" s="194"/>
      <c r="E3475" s="204" t="s">
        <v>92</v>
      </c>
      <c r="F3475" s="204"/>
    </row>
    <row r="3476" customHeight="1" spans="1:6">
      <c r="A3476" s="9" t="s">
        <v>11871</v>
      </c>
      <c r="B3476" s="200" t="s">
        <v>11872</v>
      </c>
      <c r="C3476" s="202" t="s">
        <v>11873</v>
      </c>
      <c r="D3476" s="152" t="s">
        <v>11874</v>
      </c>
      <c r="E3476" s="154" t="s">
        <v>181</v>
      </c>
      <c r="F3476" s="180"/>
    </row>
    <row r="3477" customHeight="1" spans="1:6">
      <c r="A3477" s="9" t="s">
        <v>11875</v>
      </c>
      <c r="B3477" s="201" t="s">
        <v>11876</v>
      </c>
      <c r="C3477" s="202" t="s">
        <v>11877</v>
      </c>
      <c r="D3477" s="154"/>
      <c r="E3477" s="154"/>
      <c r="F3477" s="180"/>
    </row>
    <row r="3478" customHeight="1" spans="1:6">
      <c r="A3478" s="9" t="s">
        <v>11878</v>
      </c>
      <c r="B3478" s="201" t="s">
        <v>11879</v>
      </c>
      <c r="C3478" s="202" t="s">
        <v>11880</v>
      </c>
      <c r="D3478" s="154"/>
      <c r="E3478" s="154"/>
      <c r="F3478" s="180"/>
    </row>
    <row r="3479" customHeight="1" spans="1:6">
      <c r="A3479" s="9" t="s">
        <v>11881</v>
      </c>
      <c r="B3479" s="195" t="s">
        <v>11882</v>
      </c>
      <c r="C3479" s="213" t="s">
        <v>11883</v>
      </c>
      <c r="D3479" s="197"/>
      <c r="E3479" s="197" t="s">
        <v>1852</v>
      </c>
      <c r="F3479" s="197"/>
    </row>
    <row r="3480" customHeight="1" spans="1:6">
      <c r="A3480" s="9" t="s">
        <v>11884</v>
      </c>
      <c r="B3480" s="214" t="s">
        <v>11885</v>
      </c>
      <c r="C3480" s="214" t="s">
        <v>11886</v>
      </c>
      <c r="D3480" s="194"/>
      <c r="E3480" s="204" t="s">
        <v>92</v>
      </c>
      <c r="F3480" s="204"/>
    </row>
    <row r="3481" customHeight="1" spans="1:6">
      <c r="A3481" s="9" t="s">
        <v>11887</v>
      </c>
      <c r="B3481" s="153" t="s">
        <v>11888</v>
      </c>
      <c r="C3481" s="202" t="s">
        <v>11889</v>
      </c>
      <c r="D3481" s="158">
        <v>935152462</v>
      </c>
      <c r="E3481" s="158" t="s">
        <v>32</v>
      </c>
      <c r="F3481" s="153"/>
    </row>
    <row r="3482" customHeight="1" spans="1:6">
      <c r="A3482" s="9" t="s">
        <v>11890</v>
      </c>
      <c r="B3482" s="153" t="s">
        <v>11891</v>
      </c>
      <c r="C3482" s="202" t="s">
        <v>11892</v>
      </c>
      <c r="D3482" s="158">
        <v>917540485</v>
      </c>
      <c r="E3482" s="158" t="s">
        <v>32</v>
      </c>
      <c r="F3482" s="153"/>
    </row>
    <row r="3483" customHeight="1" spans="1:6">
      <c r="A3483" s="9" t="s">
        <v>11893</v>
      </c>
      <c r="B3483" s="200" t="s">
        <v>11894</v>
      </c>
      <c r="C3483" s="202" t="s">
        <v>11895</v>
      </c>
      <c r="D3483" s="152" t="s">
        <v>11896</v>
      </c>
      <c r="E3483" s="154" t="s">
        <v>181</v>
      </c>
      <c r="F3483" s="180"/>
    </row>
    <row r="3484" customHeight="1" spans="1:6">
      <c r="A3484" s="9" t="s">
        <v>11897</v>
      </c>
      <c r="B3484" s="195" t="s">
        <v>11898</v>
      </c>
      <c r="C3484" s="202" t="s">
        <v>11899</v>
      </c>
      <c r="D3484" s="152"/>
      <c r="E3484" s="154" t="s">
        <v>479</v>
      </c>
      <c r="F3484" s="180"/>
    </row>
    <row r="3485" customHeight="1" spans="1:6">
      <c r="A3485" s="9" t="s">
        <v>11900</v>
      </c>
      <c r="B3485" s="204" t="s">
        <v>11901</v>
      </c>
      <c r="C3485" s="204" t="s">
        <v>11902</v>
      </c>
      <c r="D3485" s="194"/>
      <c r="E3485" s="204" t="s">
        <v>92</v>
      </c>
      <c r="F3485" s="204"/>
    </row>
    <row r="3486" customHeight="1" spans="1:6">
      <c r="A3486" s="9" t="s">
        <v>11903</v>
      </c>
      <c r="B3486" s="215" t="s">
        <v>11904</v>
      </c>
      <c r="C3486" s="205" t="s">
        <v>11905</v>
      </c>
      <c r="D3486" s="244" t="s">
        <v>11906</v>
      </c>
      <c r="E3486" s="26" t="s">
        <v>92</v>
      </c>
      <c r="F3486" s="26" t="s">
        <v>11907</v>
      </c>
    </row>
    <row r="3487" customHeight="1" spans="1:6">
      <c r="A3487" s="9" t="s">
        <v>11908</v>
      </c>
      <c r="B3487" s="194" t="s">
        <v>11909</v>
      </c>
      <c r="C3487" s="203" t="s">
        <v>11910</v>
      </c>
      <c r="D3487" s="197"/>
      <c r="E3487" s="197" t="s">
        <v>32</v>
      </c>
      <c r="F3487" s="197"/>
    </row>
    <row r="3488" customHeight="1" spans="1:6">
      <c r="A3488" s="9" t="s">
        <v>11911</v>
      </c>
      <c r="B3488" s="205" t="s">
        <v>11912</v>
      </c>
      <c r="C3488" s="205" t="s">
        <v>11913</v>
      </c>
      <c r="D3488" s="206" t="s">
        <v>11914</v>
      </c>
      <c r="E3488" s="193" t="s">
        <v>120</v>
      </c>
      <c r="F3488" s="239"/>
    </row>
    <row r="3489" customHeight="1" spans="1:6">
      <c r="A3489" s="9" t="s">
        <v>11915</v>
      </c>
      <c r="B3489" s="224" t="s">
        <v>11916</v>
      </c>
      <c r="C3489" s="225" t="s">
        <v>11917</v>
      </c>
      <c r="D3489" s="228" t="s">
        <v>11918</v>
      </c>
      <c r="E3489" s="229" t="s">
        <v>120</v>
      </c>
      <c r="F3489" s="230"/>
    </row>
    <row r="3490" customHeight="1" spans="1:6">
      <c r="A3490" s="9" t="s">
        <v>11919</v>
      </c>
      <c r="B3490" s="329" t="s">
        <v>11920</v>
      </c>
      <c r="C3490" s="329" t="s">
        <v>11921</v>
      </c>
      <c r="D3490" s="279"/>
      <c r="E3490" s="240" t="s">
        <v>92</v>
      </c>
      <c r="F3490" s="240"/>
    </row>
    <row r="3491" customHeight="1" spans="1:6">
      <c r="A3491" s="9" t="s">
        <v>11922</v>
      </c>
      <c r="B3491" s="201" t="s">
        <v>11923</v>
      </c>
      <c r="C3491" s="202" t="s">
        <v>11924</v>
      </c>
      <c r="D3491" s="154"/>
      <c r="E3491" s="154" t="s">
        <v>58</v>
      </c>
      <c r="F3491" s="180"/>
    </row>
    <row r="3492" customHeight="1" spans="1:6">
      <c r="A3492" s="9" t="s">
        <v>11925</v>
      </c>
      <c r="B3492" s="223" t="s">
        <v>11926</v>
      </c>
      <c r="C3492" s="223" t="s">
        <v>11927</v>
      </c>
      <c r="D3492" s="204" t="s">
        <v>11928</v>
      </c>
      <c r="E3492" s="204" t="s">
        <v>92</v>
      </c>
      <c r="F3492" s="204"/>
    </row>
    <row r="3493" customHeight="1" spans="1:6">
      <c r="A3493" s="9" t="s">
        <v>11929</v>
      </c>
      <c r="B3493" s="276" t="str">
        <f>IFERROR(__xludf.DUMMYFUNCTION("""COMPUTED_VALUE"""),"Bahru Zerihun Nedi")</f>
        <v>Bahru Zerihun Nedi</v>
      </c>
      <c r="C3493" s="276" t="str">
        <f>IFERROR(__xludf.DUMMYFUNCTION("""COMPUTED_VALUE"""),"ባህሩ ዘሪሁን ነዲ")</f>
        <v>ባህሩ ዘሪሁን ነዲ</v>
      </c>
      <c r="D3493" s="276" t="str">
        <f>IFERROR(__xludf.DUMMYFUNCTION("""COMPUTED_VALUE"""),"911233910")</f>
        <v>911233910</v>
      </c>
      <c r="E3493" s="276" t="str">
        <f>IFERROR(__xludf.DUMMYFUNCTION("""COMPUTED_VALUE"""),"A/A")</f>
        <v>A/A</v>
      </c>
      <c r="F3493" s="276"/>
    </row>
    <row r="3494" customHeight="1" spans="1:6">
      <c r="A3494" s="9" t="s">
        <v>11930</v>
      </c>
      <c r="B3494" s="195" t="s">
        <v>11931</v>
      </c>
      <c r="C3494" s="202" t="s">
        <v>11932</v>
      </c>
      <c r="D3494" s="154"/>
      <c r="E3494" s="154" t="s">
        <v>211</v>
      </c>
      <c r="F3494" s="180"/>
    </row>
    <row r="3495" customHeight="1" spans="1:6">
      <c r="A3495" s="9" t="s">
        <v>11933</v>
      </c>
      <c r="B3495" s="153" t="s">
        <v>11934</v>
      </c>
      <c r="C3495" s="202" t="s">
        <v>11935</v>
      </c>
      <c r="D3495" s="341" t="s">
        <v>11936</v>
      </c>
      <c r="E3495" s="154" t="s">
        <v>1218</v>
      </c>
      <c r="F3495" s="180"/>
    </row>
    <row r="3496" customHeight="1" spans="1:6">
      <c r="A3496" s="9" t="s">
        <v>11937</v>
      </c>
      <c r="B3496" s="153" t="s">
        <v>11938</v>
      </c>
      <c r="C3496" s="202" t="s">
        <v>11939</v>
      </c>
      <c r="D3496" s="154" t="s">
        <v>11940</v>
      </c>
      <c r="E3496" s="154"/>
      <c r="F3496" s="180"/>
    </row>
    <row r="3497" customHeight="1" spans="1:6">
      <c r="A3497" s="9" t="s">
        <v>11941</v>
      </c>
      <c r="B3497" s="201" t="s">
        <v>11942</v>
      </c>
      <c r="C3497" s="202" t="s">
        <v>11943</v>
      </c>
      <c r="D3497" s="154" t="s">
        <v>11944</v>
      </c>
      <c r="E3497" s="154" t="s">
        <v>58</v>
      </c>
      <c r="F3497" s="180"/>
    </row>
    <row r="3498" customHeight="1" spans="1:6">
      <c r="A3498" s="9" t="s">
        <v>11945</v>
      </c>
      <c r="B3498" s="195" t="s">
        <v>11946</v>
      </c>
      <c r="C3498" s="202" t="s">
        <v>11947</v>
      </c>
      <c r="D3498" s="154">
        <v>993632860</v>
      </c>
      <c r="E3498" s="154" t="s">
        <v>1281</v>
      </c>
      <c r="F3498" s="180"/>
    </row>
    <row r="3499" customHeight="1" spans="1:6">
      <c r="A3499" s="9" t="s">
        <v>11948</v>
      </c>
      <c r="B3499" s="195" t="s">
        <v>11949</v>
      </c>
      <c r="C3499" s="202" t="s">
        <v>11950</v>
      </c>
      <c r="D3499" s="341" t="s">
        <v>11951</v>
      </c>
      <c r="E3499" s="154" t="s">
        <v>181</v>
      </c>
      <c r="F3499" s="180"/>
    </row>
    <row r="3500" customHeight="1" spans="1:6">
      <c r="A3500" s="9" t="s">
        <v>11952</v>
      </c>
      <c r="B3500" s="160" t="s">
        <v>11953</v>
      </c>
      <c r="C3500" s="160" t="s">
        <v>11954</v>
      </c>
      <c r="D3500" s="223" t="s">
        <v>11955</v>
      </c>
      <c r="E3500" s="204" t="s">
        <v>92</v>
      </c>
      <c r="F3500" s="204"/>
    </row>
    <row r="3501" customHeight="1" spans="1:6">
      <c r="A3501" s="9" t="s">
        <v>11956</v>
      </c>
      <c r="B3501" s="201" t="s">
        <v>11957</v>
      </c>
      <c r="C3501" s="202" t="s">
        <v>11958</v>
      </c>
      <c r="D3501" s="154" t="s">
        <v>11959</v>
      </c>
      <c r="E3501" s="154" t="s">
        <v>243</v>
      </c>
      <c r="F3501" s="180"/>
    </row>
    <row r="3502" customHeight="1" spans="1:6">
      <c r="A3502" s="9" t="s">
        <v>11960</v>
      </c>
      <c r="B3502" s="201" t="s">
        <v>11961</v>
      </c>
      <c r="C3502" s="202" t="s">
        <v>11962</v>
      </c>
      <c r="D3502" s="154"/>
      <c r="E3502" s="154" t="s">
        <v>58</v>
      </c>
      <c r="F3502" s="180"/>
    </row>
    <row r="3503" customHeight="1" spans="1:6">
      <c r="A3503" s="9" t="s">
        <v>11963</v>
      </c>
      <c r="B3503" s="201" t="s">
        <v>11964</v>
      </c>
      <c r="C3503" s="202" t="s">
        <v>11965</v>
      </c>
      <c r="D3503" s="154"/>
      <c r="E3503" s="154" t="s">
        <v>243</v>
      </c>
      <c r="F3503" s="180"/>
    </row>
    <row r="3504" customHeight="1" spans="1:6">
      <c r="A3504" s="9" t="s">
        <v>11966</v>
      </c>
      <c r="B3504" s="195" t="s">
        <v>11967</v>
      </c>
      <c r="C3504" s="202" t="s">
        <v>11968</v>
      </c>
      <c r="D3504" s="341" t="s">
        <v>11969</v>
      </c>
      <c r="E3504" s="154" t="s">
        <v>1218</v>
      </c>
      <c r="F3504" s="180"/>
    </row>
    <row r="3505" customHeight="1" spans="1:6">
      <c r="A3505" s="9" t="s">
        <v>11970</v>
      </c>
      <c r="B3505" s="153" t="s">
        <v>11971</v>
      </c>
      <c r="C3505" s="202" t="s">
        <v>11972</v>
      </c>
      <c r="D3505" s="154">
        <v>943499437</v>
      </c>
      <c r="E3505" s="154" t="s">
        <v>104</v>
      </c>
      <c r="F3505" s="180"/>
    </row>
    <row r="3506" customHeight="1" spans="1:6">
      <c r="A3506" s="9" t="s">
        <v>11973</v>
      </c>
      <c r="B3506" s="195" t="s">
        <v>11974</v>
      </c>
      <c r="C3506" s="196" t="s">
        <v>11975</v>
      </c>
      <c r="D3506" s="197" t="s">
        <v>11976</v>
      </c>
      <c r="E3506" s="198" t="s">
        <v>216</v>
      </c>
      <c r="F3506" s="199"/>
    </row>
    <row r="3507" customHeight="1" spans="1:6">
      <c r="A3507" s="9" t="s">
        <v>11977</v>
      </c>
      <c r="B3507" s="223" t="s">
        <v>11978</v>
      </c>
      <c r="C3507" s="223" t="s">
        <v>11979</v>
      </c>
      <c r="D3507" s="204" t="s">
        <v>11980</v>
      </c>
      <c r="E3507" s="204" t="s">
        <v>92</v>
      </c>
      <c r="F3507" s="204"/>
    </row>
    <row r="3508" customHeight="1" spans="1:6">
      <c r="A3508" s="9" t="s">
        <v>11981</v>
      </c>
      <c r="B3508" s="195" t="s">
        <v>11982</v>
      </c>
      <c r="C3508" s="196" t="s">
        <v>11983</v>
      </c>
      <c r="D3508" s="197"/>
      <c r="E3508" s="197" t="s">
        <v>202</v>
      </c>
      <c r="F3508" s="197"/>
    </row>
    <row r="3509" customHeight="1" spans="1:6">
      <c r="A3509" s="9" t="s">
        <v>11984</v>
      </c>
      <c r="B3509" s="200" t="s">
        <v>11985</v>
      </c>
      <c r="C3509" s="202" t="s">
        <v>11986</v>
      </c>
      <c r="D3509" s="152"/>
      <c r="E3509" s="154" t="s">
        <v>232</v>
      </c>
      <c r="F3509" s="180"/>
    </row>
    <row r="3510" customHeight="1" spans="1:6">
      <c r="A3510" s="9" t="s">
        <v>11987</v>
      </c>
      <c r="B3510" s="200" t="s">
        <v>11988</v>
      </c>
      <c r="C3510" s="202" t="s">
        <v>11989</v>
      </c>
      <c r="D3510" s="154"/>
      <c r="E3510" s="154" t="s">
        <v>104</v>
      </c>
      <c r="F3510" s="180"/>
    </row>
    <row r="3511" customHeight="1" spans="1:6">
      <c r="A3511" s="9" t="s">
        <v>11990</v>
      </c>
      <c r="B3511" s="200" t="s">
        <v>11991</v>
      </c>
      <c r="C3511" s="330" t="s">
        <v>11992</v>
      </c>
      <c r="D3511" s="279"/>
      <c r="E3511" s="279" t="s">
        <v>273</v>
      </c>
      <c r="F3511" s="279"/>
    </row>
    <row r="3512" customHeight="1" spans="1:6">
      <c r="A3512" s="9" t="s">
        <v>11993</v>
      </c>
      <c r="B3512" s="205" t="s">
        <v>11994</v>
      </c>
      <c r="C3512" s="205" t="s">
        <v>11995</v>
      </c>
      <c r="D3512" s="206" t="s">
        <v>11996</v>
      </c>
      <c r="E3512" s="193" t="s">
        <v>120</v>
      </c>
      <c r="F3512" s="221" t="s">
        <v>11997</v>
      </c>
    </row>
    <row r="3513" customHeight="1" spans="1:6">
      <c r="A3513" s="9" t="s">
        <v>11998</v>
      </c>
      <c r="B3513" s="214" t="s">
        <v>11999</v>
      </c>
      <c r="C3513" s="214" t="s">
        <v>12000</v>
      </c>
      <c r="D3513" s="194"/>
      <c r="E3513" s="204" t="s">
        <v>92</v>
      </c>
      <c r="F3513" s="204"/>
    </row>
    <row r="3514" customHeight="1" spans="1:6">
      <c r="A3514" s="9" t="s">
        <v>12001</v>
      </c>
      <c r="B3514" s="238" t="s">
        <v>12002</v>
      </c>
      <c r="C3514" s="202" t="s">
        <v>12003</v>
      </c>
      <c r="D3514" s="154"/>
      <c r="E3514" s="154" t="s">
        <v>181</v>
      </c>
      <c r="F3514" s="180"/>
    </row>
    <row r="3515" customHeight="1" spans="1:6">
      <c r="A3515" s="9" t="s">
        <v>12004</v>
      </c>
      <c r="B3515" s="200" t="s">
        <v>12005</v>
      </c>
      <c r="C3515" s="202" t="s">
        <v>12006</v>
      </c>
      <c r="D3515" s="152"/>
      <c r="E3515" s="154" t="s">
        <v>232</v>
      </c>
      <c r="F3515" s="180"/>
    </row>
    <row r="3516" customHeight="1" spans="1:6">
      <c r="A3516" s="9" t="s">
        <v>12007</v>
      </c>
      <c r="B3516" s="201" t="s">
        <v>12008</v>
      </c>
      <c r="C3516" s="202" t="s">
        <v>12009</v>
      </c>
      <c r="D3516" s="154">
        <v>916208150</v>
      </c>
      <c r="E3516" s="154"/>
      <c r="F3516" s="180"/>
    </row>
    <row r="3517" customHeight="1" spans="1:6">
      <c r="A3517" s="9" t="s">
        <v>12010</v>
      </c>
      <c r="B3517" s="200" t="s">
        <v>12011</v>
      </c>
      <c r="C3517" s="202" t="s">
        <v>12012</v>
      </c>
      <c r="D3517" s="152" t="s">
        <v>4283</v>
      </c>
      <c r="E3517" s="154" t="s">
        <v>181</v>
      </c>
      <c r="F3517" s="180"/>
    </row>
    <row r="3518" customHeight="1" spans="1:6">
      <c r="A3518" s="9" t="s">
        <v>12013</v>
      </c>
      <c r="B3518" s="195" t="s">
        <v>12014</v>
      </c>
      <c r="C3518" s="196" t="s">
        <v>12015</v>
      </c>
      <c r="D3518" s="197" t="s">
        <v>12016</v>
      </c>
      <c r="E3518" s="197" t="s">
        <v>243</v>
      </c>
      <c r="F3518" s="197"/>
    </row>
    <row r="3519" customHeight="1" spans="1:6">
      <c r="A3519" s="9" t="s">
        <v>12017</v>
      </c>
      <c r="B3519" s="200" t="s">
        <v>12018</v>
      </c>
      <c r="C3519" s="202" t="s">
        <v>12019</v>
      </c>
      <c r="D3519" s="152" t="s">
        <v>12020</v>
      </c>
      <c r="E3519" s="154" t="s">
        <v>181</v>
      </c>
      <c r="F3519" s="180"/>
    </row>
    <row r="3520" customHeight="1" spans="1:6">
      <c r="A3520" s="9" t="s">
        <v>12021</v>
      </c>
      <c r="B3520" s="195" t="s">
        <v>12022</v>
      </c>
      <c r="C3520" s="196" t="s">
        <v>12023</v>
      </c>
      <c r="D3520" s="197"/>
      <c r="E3520" s="197" t="s">
        <v>202</v>
      </c>
      <c r="F3520" s="197"/>
    </row>
    <row r="3521" customHeight="1" spans="1:6">
      <c r="A3521" s="9" t="s">
        <v>12024</v>
      </c>
      <c r="B3521" s="195" t="s">
        <v>12025</v>
      </c>
      <c r="C3521" s="203" t="s">
        <v>12026</v>
      </c>
      <c r="D3521" s="197"/>
      <c r="E3521" s="197" t="s">
        <v>273</v>
      </c>
      <c r="F3521" s="197"/>
    </row>
    <row r="3522" customHeight="1" spans="1:6">
      <c r="A3522" s="9" t="s">
        <v>12027</v>
      </c>
      <c r="B3522" s="200" t="s">
        <v>12028</v>
      </c>
      <c r="C3522" s="192" t="s">
        <v>12029</v>
      </c>
      <c r="D3522" s="194"/>
      <c r="E3522" s="193" t="s">
        <v>32</v>
      </c>
      <c r="F3522" s="191"/>
    </row>
    <row r="3523" customHeight="1" spans="1:6">
      <c r="A3523" s="9" t="s">
        <v>12030</v>
      </c>
      <c r="B3523" s="200" t="s">
        <v>12031</v>
      </c>
      <c r="C3523" s="203" t="s">
        <v>12032</v>
      </c>
      <c r="D3523" s="194"/>
      <c r="E3523" s="194" t="s">
        <v>273</v>
      </c>
      <c r="F3523" s="194"/>
    </row>
    <row r="3524" customHeight="1" spans="1:6">
      <c r="A3524" s="9" t="s">
        <v>12033</v>
      </c>
      <c r="B3524" s="200" t="s">
        <v>12034</v>
      </c>
      <c r="C3524" s="202" t="s">
        <v>12035</v>
      </c>
      <c r="D3524" s="152"/>
      <c r="E3524" s="154" t="s">
        <v>232</v>
      </c>
      <c r="F3524" s="180"/>
    </row>
    <row r="3525" customHeight="1" spans="1:6">
      <c r="A3525" s="9" t="s">
        <v>12036</v>
      </c>
      <c r="B3525" s="200" t="s">
        <v>12037</v>
      </c>
      <c r="C3525" s="202" t="s">
        <v>12038</v>
      </c>
      <c r="D3525" s="152"/>
      <c r="E3525" s="154" t="s">
        <v>232</v>
      </c>
      <c r="F3525" s="180"/>
    </row>
    <row r="3526" customHeight="1" spans="1:6">
      <c r="A3526" s="9" t="s">
        <v>12039</v>
      </c>
      <c r="B3526" s="195" t="s">
        <v>12040</v>
      </c>
      <c r="C3526" s="202" t="s">
        <v>12041</v>
      </c>
      <c r="D3526" s="152"/>
      <c r="E3526" s="154" t="s">
        <v>232</v>
      </c>
      <c r="F3526" s="180"/>
    </row>
    <row r="3527" customHeight="1" spans="1:6">
      <c r="A3527" s="9" t="s">
        <v>12042</v>
      </c>
      <c r="B3527" s="204" t="s">
        <v>12043</v>
      </c>
      <c r="C3527" s="204" t="s">
        <v>12044</v>
      </c>
      <c r="D3527" s="194"/>
      <c r="E3527" s="204" t="s">
        <v>92</v>
      </c>
      <c r="F3527" s="204"/>
    </row>
    <row r="3528" customHeight="1" spans="1:6">
      <c r="A3528" s="9" t="s">
        <v>12045</v>
      </c>
      <c r="B3528" s="160" t="s">
        <v>12046</v>
      </c>
      <c r="C3528" s="160" t="s">
        <v>12047</v>
      </c>
      <c r="D3528" s="204" t="s">
        <v>12048</v>
      </c>
      <c r="E3528" s="204" t="s">
        <v>92</v>
      </c>
      <c r="F3528" s="204"/>
    </row>
    <row r="3529" customHeight="1" spans="1:6">
      <c r="A3529" s="9" t="s">
        <v>12049</v>
      </c>
      <c r="B3529" s="200" t="s">
        <v>12050</v>
      </c>
      <c r="C3529" s="202" t="s">
        <v>12051</v>
      </c>
      <c r="D3529" s="152"/>
      <c r="E3529" s="154" t="s">
        <v>232</v>
      </c>
      <c r="F3529" s="180"/>
    </row>
    <row r="3530" customHeight="1" spans="1:6">
      <c r="A3530" s="9" t="s">
        <v>12052</v>
      </c>
      <c r="B3530" s="195" t="s">
        <v>12053</v>
      </c>
      <c r="C3530" s="202" t="s">
        <v>12054</v>
      </c>
      <c r="D3530" s="152"/>
      <c r="E3530" s="154" t="s">
        <v>232</v>
      </c>
      <c r="F3530" s="180"/>
    </row>
    <row r="3531" customHeight="1" spans="1:6">
      <c r="A3531" s="9" t="s">
        <v>12055</v>
      </c>
      <c r="B3531" s="195" t="s">
        <v>12056</v>
      </c>
      <c r="C3531" s="202" t="s">
        <v>12057</v>
      </c>
      <c r="D3531" s="152"/>
      <c r="E3531" s="154" t="s">
        <v>232</v>
      </c>
      <c r="F3531" s="180"/>
    </row>
    <row r="3532" customHeight="1" spans="1:6">
      <c r="A3532" s="9" t="s">
        <v>12058</v>
      </c>
      <c r="B3532" s="195" t="s">
        <v>12059</v>
      </c>
      <c r="C3532" s="202" t="s">
        <v>12060</v>
      </c>
      <c r="D3532" s="152"/>
      <c r="E3532" s="154" t="s">
        <v>232</v>
      </c>
      <c r="F3532" s="180"/>
    </row>
    <row r="3533" customHeight="1" spans="1:6">
      <c r="A3533" s="9" t="s">
        <v>12061</v>
      </c>
      <c r="B3533" s="200" t="s">
        <v>12062</v>
      </c>
      <c r="C3533" s="202" t="s">
        <v>12063</v>
      </c>
      <c r="D3533" s="152"/>
      <c r="E3533" s="154" t="s">
        <v>232</v>
      </c>
      <c r="F3533" s="180"/>
    </row>
    <row r="3534" customHeight="1" spans="1:6">
      <c r="A3534" s="9" t="s">
        <v>12064</v>
      </c>
      <c r="B3534" s="201" t="s">
        <v>12065</v>
      </c>
      <c r="C3534" s="202" t="s">
        <v>12066</v>
      </c>
      <c r="D3534" s="154"/>
      <c r="E3534" s="154" t="s">
        <v>243</v>
      </c>
      <c r="F3534" s="180"/>
    </row>
    <row r="3535" customHeight="1" spans="1:6">
      <c r="A3535" s="9" t="s">
        <v>12067</v>
      </c>
      <c r="B3535" s="201" t="s">
        <v>12068</v>
      </c>
      <c r="C3535" s="202" t="s">
        <v>12069</v>
      </c>
      <c r="D3535" s="154" t="s">
        <v>6427</v>
      </c>
      <c r="E3535" s="154" t="s">
        <v>243</v>
      </c>
      <c r="F3535" s="180"/>
    </row>
    <row r="3536" customHeight="1" spans="1:6">
      <c r="A3536" s="9" t="s">
        <v>12070</v>
      </c>
      <c r="B3536" s="201" t="s">
        <v>12071</v>
      </c>
      <c r="C3536" s="202" t="s">
        <v>12072</v>
      </c>
      <c r="D3536" s="154"/>
      <c r="E3536" s="154" t="s">
        <v>58</v>
      </c>
      <c r="F3536" s="180"/>
    </row>
    <row r="3537" customHeight="1" spans="1:6">
      <c r="A3537" s="9" t="s">
        <v>12073</v>
      </c>
      <c r="B3537" s="205" t="s">
        <v>12074</v>
      </c>
      <c r="C3537" s="205" t="s">
        <v>12075</v>
      </c>
      <c r="D3537" s="206" t="s">
        <v>12076</v>
      </c>
      <c r="E3537" s="193" t="s">
        <v>120</v>
      </c>
      <c r="F3537" s="221" t="s">
        <v>12077</v>
      </c>
    </row>
    <row r="3538" customHeight="1" spans="1:6">
      <c r="A3538" s="9" t="s">
        <v>12078</v>
      </c>
      <c r="B3538" s="222" t="str">
        <f>IFERROR(__xludf.DUMMYFUNCTION("""COMPUTED_VALUE"""),"Banchayehu Mengistu Asfehu")</f>
        <v>Banchayehu Mengistu Asfehu</v>
      </c>
      <c r="C3538" s="222" t="str">
        <f>IFERROR(__xludf.DUMMYFUNCTION("""COMPUTED_VALUE"""),"ባንቻየሁ መንግስቱ አስፋው /ወ/ት")</f>
        <v>ባንቻየሁ መንግስቱ አስፋው /ወ/ት</v>
      </c>
      <c r="D3538" s="222" t="str">
        <f>IFERROR(__xludf.DUMMYFUNCTION("""COMPUTED_VALUE"""),"0912-003324")</f>
        <v>0912-003324</v>
      </c>
      <c r="E3538" s="222" t="str">
        <f>IFERROR(__xludf.DUMMYFUNCTION("""COMPUTED_VALUE"""),"addis abeba")</f>
        <v>addis abeba</v>
      </c>
      <c r="F3538" s="222" t="str">
        <f>IFERROR(__xludf.DUMMYFUNCTION("""COMPUTED_VALUE"""),"hailroad@gmail.com")</f>
        <v>hailroad@gmail.com</v>
      </c>
    </row>
    <row r="3539" customHeight="1" spans="1:6">
      <c r="A3539" s="9" t="s">
        <v>12079</v>
      </c>
      <c r="B3539" s="222" t="str">
        <f>IFERROR(__xludf.DUMMYFUNCTION("""COMPUTED_VALUE"""),"Banchealem Tamiru Ambaye /W/o/")</f>
        <v>Banchealem Tamiru Ambaye /W/o/</v>
      </c>
      <c r="C3539" s="222" t="str">
        <f>IFERROR(__xludf.DUMMYFUNCTION("""COMPUTED_VALUE"""),"ባንቺዓለም ታምሩ አምባዬ /ወ/ሮ/")</f>
        <v>ባንቺዓለም ታምሩ አምባዬ /ወ/ሮ/</v>
      </c>
      <c r="D3539" s="222" t="str">
        <f>IFERROR(__xludf.DUMMYFUNCTION("""COMPUTED_VALUE"""),"0911-409079")</f>
        <v>0911-409079</v>
      </c>
      <c r="E3539" s="222"/>
      <c r="F3539" s="222"/>
    </row>
    <row r="3540" customHeight="1" spans="1:6">
      <c r="A3540" s="9" t="s">
        <v>12080</v>
      </c>
      <c r="B3540" s="201" t="s">
        <v>12081</v>
      </c>
      <c r="C3540" s="202" t="s">
        <v>12082</v>
      </c>
      <c r="D3540" s="154"/>
      <c r="E3540" s="154" t="s">
        <v>58</v>
      </c>
      <c r="F3540" s="180"/>
    </row>
    <row r="3541" customHeight="1" spans="1:6">
      <c r="A3541" s="9" t="s">
        <v>12083</v>
      </c>
      <c r="B3541" s="214" t="s">
        <v>12084</v>
      </c>
      <c r="C3541" s="214" t="s">
        <v>12085</v>
      </c>
      <c r="D3541" s="194"/>
      <c r="E3541" s="204" t="s">
        <v>92</v>
      </c>
      <c r="F3541" s="204"/>
    </row>
    <row r="3542" customHeight="1" spans="1:6">
      <c r="A3542" s="9" t="s">
        <v>12086</v>
      </c>
      <c r="B3542" s="160" t="s">
        <v>12087</v>
      </c>
      <c r="C3542" s="160" t="s">
        <v>12088</v>
      </c>
      <c r="D3542" s="204" t="s">
        <v>12089</v>
      </c>
      <c r="E3542" s="204" t="s">
        <v>92</v>
      </c>
      <c r="F3542" s="204"/>
    </row>
    <row r="3543" customHeight="1" spans="1:6">
      <c r="A3543" s="9" t="s">
        <v>12090</v>
      </c>
      <c r="B3543" s="214" t="s">
        <v>12091</v>
      </c>
      <c r="C3543" s="214" t="s">
        <v>12092</v>
      </c>
      <c r="D3543" s="194"/>
      <c r="E3543" s="204" t="s">
        <v>92</v>
      </c>
      <c r="F3543" s="204"/>
    </row>
    <row r="3544" customHeight="1" spans="1:6">
      <c r="A3544" s="9" t="s">
        <v>12093</v>
      </c>
      <c r="B3544" s="280" t="s">
        <v>12094</v>
      </c>
      <c r="C3544" s="202" t="s">
        <v>12095</v>
      </c>
      <c r="D3544" s="153">
        <v>960065794</v>
      </c>
      <c r="E3544" s="180" t="s">
        <v>202</v>
      </c>
      <c r="F3544" s="180"/>
    </row>
    <row r="3545" customHeight="1" spans="1:6">
      <c r="A3545" s="9" t="s">
        <v>12096</v>
      </c>
      <c r="B3545" s="205" t="s">
        <v>12097</v>
      </c>
      <c r="C3545" s="205" t="s">
        <v>12098</v>
      </c>
      <c r="D3545" s="206" t="s">
        <v>12099</v>
      </c>
      <c r="E3545" s="193" t="s">
        <v>120</v>
      </c>
      <c r="F3545" s="207" t="s">
        <v>12100</v>
      </c>
    </row>
    <row r="3546" customHeight="1" spans="1:6">
      <c r="A3546" s="9" t="s">
        <v>12101</v>
      </c>
      <c r="B3546" s="201" t="s">
        <v>12102</v>
      </c>
      <c r="C3546" s="202" t="s">
        <v>12103</v>
      </c>
      <c r="D3546" s="154"/>
      <c r="E3546" s="154" t="s">
        <v>58</v>
      </c>
      <c r="F3546" s="180"/>
    </row>
    <row r="3547" customHeight="1" spans="1:6">
      <c r="A3547" s="9" t="s">
        <v>12104</v>
      </c>
      <c r="B3547" s="195" t="s">
        <v>12105</v>
      </c>
      <c r="C3547" s="202" t="s">
        <v>12106</v>
      </c>
      <c r="D3547" s="152"/>
      <c r="E3547" s="154" t="s">
        <v>232</v>
      </c>
      <c r="F3547" s="180"/>
    </row>
    <row r="3548" customHeight="1" spans="1:6">
      <c r="A3548" s="9" t="s">
        <v>12107</v>
      </c>
      <c r="B3548" s="200" t="s">
        <v>12108</v>
      </c>
      <c r="C3548" s="192" t="s">
        <v>12109</v>
      </c>
      <c r="D3548" s="194"/>
      <c r="E3548" s="193" t="s">
        <v>216</v>
      </c>
      <c r="F3548" s="191"/>
    </row>
    <row r="3549" customHeight="1" spans="1:6">
      <c r="A3549" s="9" t="s">
        <v>12110</v>
      </c>
      <c r="B3549" s="201" t="s">
        <v>12111</v>
      </c>
      <c r="C3549" s="202" t="s">
        <v>12112</v>
      </c>
      <c r="D3549" s="154"/>
      <c r="E3549" s="154" t="s">
        <v>211</v>
      </c>
      <c r="F3549" s="180"/>
    </row>
    <row r="3550" customHeight="1" spans="1:6">
      <c r="A3550" s="9" t="s">
        <v>12113</v>
      </c>
      <c r="B3550" s="200" t="s">
        <v>12114</v>
      </c>
      <c r="C3550" s="202" t="s">
        <v>12115</v>
      </c>
      <c r="D3550" s="154"/>
      <c r="E3550" s="154" t="s">
        <v>181</v>
      </c>
      <c r="F3550" s="180"/>
    </row>
    <row r="3551" customHeight="1" spans="1:6">
      <c r="A3551" s="9" t="s">
        <v>12116</v>
      </c>
      <c r="B3551" s="238" t="s">
        <v>12117</v>
      </c>
      <c r="C3551" s="202" t="s">
        <v>12118</v>
      </c>
      <c r="D3551" s="153"/>
      <c r="E3551" s="180" t="s">
        <v>216</v>
      </c>
      <c r="F3551" s="180"/>
    </row>
    <row r="3552" customHeight="1" spans="1:6">
      <c r="A3552" s="9" t="s">
        <v>12119</v>
      </c>
      <c r="B3552" s="201" t="s">
        <v>12120</v>
      </c>
      <c r="C3552" s="202" t="s">
        <v>12121</v>
      </c>
      <c r="D3552" s="153"/>
      <c r="E3552" s="180" t="s">
        <v>202</v>
      </c>
      <c r="F3552" s="180"/>
    </row>
    <row r="3553" customHeight="1" spans="1:6">
      <c r="A3553" s="9" t="s">
        <v>12122</v>
      </c>
      <c r="B3553" s="200" t="s">
        <v>12123</v>
      </c>
      <c r="C3553" s="202" t="s">
        <v>12124</v>
      </c>
      <c r="D3553" s="152"/>
      <c r="E3553" s="154" t="s">
        <v>232</v>
      </c>
      <c r="F3553" s="180"/>
    </row>
    <row r="3554" customHeight="1" spans="1:6">
      <c r="A3554" s="9" t="s">
        <v>12125</v>
      </c>
      <c r="B3554" s="195" t="s">
        <v>12126</v>
      </c>
      <c r="C3554" s="212" t="s">
        <v>12127</v>
      </c>
      <c r="D3554" s="197" t="s">
        <v>12128</v>
      </c>
      <c r="E3554" s="198" t="s">
        <v>216</v>
      </c>
      <c r="F3554" s="199"/>
    </row>
    <row r="3555" customHeight="1" spans="1:6">
      <c r="A3555" s="9" t="s">
        <v>12129</v>
      </c>
      <c r="B3555" s="214" t="s">
        <v>12130</v>
      </c>
      <c r="C3555" s="214" t="s">
        <v>12131</v>
      </c>
      <c r="D3555" s="194"/>
      <c r="E3555" s="204" t="s">
        <v>92</v>
      </c>
      <c r="F3555" s="204"/>
    </row>
    <row r="3556" customHeight="1" spans="1:6">
      <c r="A3556" s="9" t="s">
        <v>12132</v>
      </c>
      <c r="B3556" s="195" t="s">
        <v>12133</v>
      </c>
      <c r="C3556" s="196" t="s">
        <v>12134</v>
      </c>
      <c r="D3556" s="197"/>
      <c r="E3556" s="197" t="s">
        <v>968</v>
      </c>
      <c r="F3556" s="197"/>
    </row>
    <row r="3557" customHeight="1" spans="1:6">
      <c r="A3557" s="9" t="s">
        <v>12135</v>
      </c>
      <c r="B3557" s="200" t="s">
        <v>12136</v>
      </c>
      <c r="C3557" s="301" t="s">
        <v>12137</v>
      </c>
      <c r="D3557" s="194"/>
      <c r="E3557" s="194" t="s">
        <v>202</v>
      </c>
      <c r="F3557" s="194"/>
    </row>
    <row r="3558" customHeight="1" spans="1:6">
      <c r="A3558" s="9" t="s">
        <v>12138</v>
      </c>
      <c r="B3558" s="195" t="s">
        <v>12139</v>
      </c>
      <c r="C3558" s="196" t="s">
        <v>12140</v>
      </c>
      <c r="D3558" s="197"/>
      <c r="E3558" s="197" t="s">
        <v>202</v>
      </c>
      <c r="F3558" s="197"/>
    </row>
    <row r="3559" customHeight="1" spans="1:6">
      <c r="A3559" s="9" t="s">
        <v>12141</v>
      </c>
      <c r="B3559" s="197" t="s">
        <v>12142</v>
      </c>
      <c r="C3559" s="196" t="s">
        <v>12143</v>
      </c>
      <c r="D3559" s="197"/>
      <c r="E3559" s="197" t="s">
        <v>202</v>
      </c>
      <c r="F3559" s="197"/>
    </row>
    <row r="3560" customHeight="1" spans="1:6">
      <c r="A3560" s="9" t="s">
        <v>12144</v>
      </c>
      <c r="B3560" s="194" t="s">
        <v>12145</v>
      </c>
      <c r="C3560" s="203" t="s">
        <v>12146</v>
      </c>
      <c r="D3560" s="197"/>
      <c r="E3560" s="197" t="s">
        <v>253</v>
      </c>
      <c r="F3560" s="197"/>
    </row>
    <row r="3561" customHeight="1" spans="1:6">
      <c r="A3561" s="9" t="s">
        <v>12147</v>
      </c>
      <c r="B3561" s="158" t="s">
        <v>12148</v>
      </c>
      <c r="C3561" s="202" t="s">
        <v>12149</v>
      </c>
      <c r="D3561" s="158"/>
      <c r="E3561" s="154" t="s">
        <v>104</v>
      </c>
      <c r="F3561" s="180"/>
    </row>
    <row r="3562" customHeight="1" spans="1:6">
      <c r="A3562" s="9" t="s">
        <v>12150</v>
      </c>
      <c r="B3562" s="160" t="s">
        <v>12151</v>
      </c>
      <c r="C3562" s="160" t="s">
        <v>12152</v>
      </c>
      <c r="D3562" s="204" t="s">
        <v>12153</v>
      </c>
      <c r="E3562" s="204" t="s">
        <v>92</v>
      </c>
      <c r="F3562" s="204"/>
    </row>
    <row r="3563" customHeight="1" spans="1:6">
      <c r="A3563" s="9" t="s">
        <v>12154</v>
      </c>
      <c r="B3563" s="195" t="s">
        <v>12155</v>
      </c>
      <c r="C3563" s="202" t="s">
        <v>12156</v>
      </c>
      <c r="D3563" s="152"/>
      <c r="E3563" s="154" t="s">
        <v>232</v>
      </c>
      <c r="F3563" s="180"/>
    </row>
    <row r="3564" customHeight="1" spans="1:6">
      <c r="A3564" s="9" t="s">
        <v>12157</v>
      </c>
      <c r="B3564" s="195" t="s">
        <v>12158</v>
      </c>
      <c r="C3564" s="203" t="s">
        <v>12159</v>
      </c>
      <c r="D3564" s="197"/>
      <c r="E3564" s="197" t="s">
        <v>104</v>
      </c>
      <c r="F3564" s="197"/>
    </row>
    <row r="3565" customHeight="1" spans="1:6">
      <c r="A3565" s="9" t="s">
        <v>12160</v>
      </c>
      <c r="B3565" s="195" t="s">
        <v>12161</v>
      </c>
      <c r="C3565" s="202" t="s">
        <v>12162</v>
      </c>
      <c r="D3565" s="152"/>
      <c r="E3565" s="154" t="s">
        <v>232</v>
      </c>
      <c r="F3565" s="180"/>
    </row>
    <row r="3566" customHeight="1" spans="1:6">
      <c r="A3566" s="9" t="s">
        <v>12163</v>
      </c>
      <c r="B3566" s="200" t="s">
        <v>12164</v>
      </c>
      <c r="C3566" s="202" t="s">
        <v>12165</v>
      </c>
      <c r="D3566" s="152"/>
      <c r="E3566" s="154" t="s">
        <v>232</v>
      </c>
      <c r="F3566" s="180"/>
    </row>
    <row r="3567" customHeight="1" spans="1:6">
      <c r="A3567" s="9" t="s">
        <v>12166</v>
      </c>
      <c r="B3567" s="195" t="s">
        <v>12167</v>
      </c>
      <c r="C3567" s="202" t="s">
        <v>12168</v>
      </c>
      <c r="D3567" s="152" t="s">
        <v>12169</v>
      </c>
      <c r="E3567" s="154" t="s">
        <v>232</v>
      </c>
      <c r="F3567" s="180"/>
    </row>
    <row r="3568" customHeight="1" spans="1:6">
      <c r="A3568" s="9" t="s">
        <v>12170</v>
      </c>
      <c r="B3568" s="197" t="s">
        <v>12171</v>
      </c>
      <c r="C3568" s="203" t="s">
        <v>12172</v>
      </c>
      <c r="D3568" s="197"/>
      <c r="E3568" s="197" t="s">
        <v>253</v>
      </c>
      <c r="F3568" s="197"/>
    </row>
    <row r="3569" customHeight="1" spans="1:6">
      <c r="A3569" s="9" t="s">
        <v>12173</v>
      </c>
      <c r="B3569" s="153" t="s">
        <v>12174</v>
      </c>
      <c r="C3569" s="202" t="s">
        <v>12175</v>
      </c>
      <c r="D3569" s="154"/>
      <c r="E3569" s="154" t="s">
        <v>104</v>
      </c>
      <c r="F3569" s="180"/>
    </row>
    <row r="3570" customHeight="1" spans="1:6">
      <c r="A3570" s="9" t="s">
        <v>12176</v>
      </c>
      <c r="B3570" s="200" t="s">
        <v>12177</v>
      </c>
      <c r="C3570" s="202" t="s">
        <v>12178</v>
      </c>
      <c r="D3570" s="158"/>
      <c r="E3570" s="154" t="s">
        <v>202</v>
      </c>
      <c r="F3570" s="180"/>
    </row>
    <row r="3571" customHeight="1" spans="1:6">
      <c r="A3571" s="9" t="s">
        <v>12179</v>
      </c>
      <c r="B3571" s="201" t="s">
        <v>12180</v>
      </c>
      <c r="C3571" s="202" t="s">
        <v>12181</v>
      </c>
      <c r="D3571" s="153"/>
      <c r="E3571" s="180" t="s">
        <v>104</v>
      </c>
      <c r="F3571" s="180"/>
    </row>
    <row r="3572" customHeight="1" spans="1:6">
      <c r="A3572" s="9" t="s">
        <v>12182</v>
      </c>
      <c r="B3572" s="200" t="s">
        <v>12183</v>
      </c>
      <c r="C3572" s="202" t="s">
        <v>12184</v>
      </c>
      <c r="D3572" s="152"/>
      <c r="E3572" s="154" t="s">
        <v>232</v>
      </c>
      <c r="F3572" s="180"/>
    </row>
    <row r="3573" customHeight="1" spans="1:6">
      <c r="A3573" s="9" t="s">
        <v>12185</v>
      </c>
      <c r="B3573" s="200" t="s">
        <v>12186</v>
      </c>
      <c r="C3573" s="202" t="s">
        <v>12187</v>
      </c>
      <c r="D3573" s="152"/>
      <c r="E3573" s="154"/>
      <c r="F3573" s="180"/>
    </row>
    <row r="3574" customHeight="1" spans="1:6">
      <c r="A3574" s="9" t="s">
        <v>12188</v>
      </c>
      <c r="B3574" s="153" t="s">
        <v>12189</v>
      </c>
      <c r="C3574" s="202" t="s">
        <v>12190</v>
      </c>
      <c r="D3574" s="154"/>
      <c r="E3574" s="154" t="s">
        <v>104</v>
      </c>
      <c r="F3574" s="180"/>
    </row>
    <row r="3575" customHeight="1" spans="1:6">
      <c r="A3575" s="9" t="s">
        <v>12191</v>
      </c>
      <c r="B3575" s="200" t="s">
        <v>12192</v>
      </c>
      <c r="C3575" s="202" t="s">
        <v>12193</v>
      </c>
      <c r="D3575" s="152"/>
      <c r="E3575" s="154" t="s">
        <v>181</v>
      </c>
      <c r="F3575" s="180"/>
    </row>
    <row r="3576" customHeight="1" spans="1:6">
      <c r="A3576" s="9" t="s">
        <v>12194</v>
      </c>
      <c r="B3576" s="194" t="s">
        <v>12195</v>
      </c>
      <c r="C3576" s="192" t="s">
        <v>12196</v>
      </c>
      <c r="D3576" s="194"/>
      <c r="E3576" s="194" t="s">
        <v>243</v>
      </c>
      <c r="F3576" s="194"/>
    </row>
    <row r="3577" customHeight="1" spans="1:6">
      <c r="A3577" s="9" t="s">
        <v>12197</v>
      </c>
      <c r="B3577" s="201" t="s">
        <v>12198</v>
      </c>
      <c r="C3577" s="202" t="s">
        <v>12199</v>
      </c>
      <c r="D3577" s="154"/>
      <c r="E3577" s="154" t="s">
        <v>243</v>
      </c>
      <c r="F3577" s="180"/>
    </row>
    <row r="3578" customHeight="1" spans="1:6">
      <c r="A3578" s="9" t="s">
        <v>12200</v>
      </c>
      <c r="B3578" s="201" t="s">
        <v>12201</v>
      </c>
      <c r="C3578" s="202" t="s">
        <v>12202</v>
      </c>
      <c r="D3578" s="154" t="s">
        <v>12203</v>
      </c>
      <c r="E3578" s="154" t="s">
        <v>243</v>
      </c>
      <c r="F3578" s="180"/>
    </row>
    <row r="3579" customHeight="1" spans="1:6">
      <c r="A3579" s="9" t="s">
        <v>12204</v>
      </c>
      <c r="B3579" s="201" t="s">
        <v>12205</v>
      </c>
      <c r="C3579" s="202" t="s">
        <v>12206</v>
      </c>
      <c r="D3579" s="154" t="s">
        <v>12207</v>
      </c>
      <c r="E3579" s="154" t="s">
        <v>211</v>
      </c>
      <c r="F3579" s="180"/>
    </row>
    <row r="3580" customHeight="1" spans="1:6">
      <c r="A3580" s="9" t="s">
        <v>12208</v>
      </c>
      <c r="B3580" s="201" t="s">
        <v>12209</v>
      </c>
      <c r="C3580" s="202" t="s">
        <v>12210</v>
      </c>
      <c r="D3580" s="154" t="s">
        <v>12211</v>
      </c>
      <c r="E3580" s="154" t="s">
        <v>479</v>
      </c>
      <c r="F3580" s="180"/>
    </row>
    <row r="3581" customHeight="1" spans="1:6">
      <c r="A3581" s="9" t="s">
        <v>12212</v>
      </c>
      <c r="B3581" s="214" t="s">
        <v>12213</v>
      </c>
      <c r="C3581" s="214" t="s">
        <v>12214</v>
      </c>
      <c r="D3581" s="194"/>
      <c r="E3581" s="204" t="s">
        <v>92</v>
      </c>
      <c r="F3581" s="204"/>
    </row>
    <row r="3582" customHeight="1" spans="1:6">
      <c r="A3582" s="9" t="s">
        <v>12215</v>
      </c>
      <c r="B3582" s="215" t="s">
        <v>12216</v>
      </c>
      <c r="C3582" s="205" t="s">
        <v>12217</v>
      </c>
      <c r="D3582" s="244" t="s">
        <v>12218</v>
      </c>
      <c r="E3582" s="26" t="s">
        <v>92</v>
      </c>
      <c r="F3582" s="26"/>
    </row>
    <row r="3583" customHeight="1" spans="1:6">
      <c r="A3583" s="9" t="s">
        <v>12219</v>
      </c>
      <c r="B3583" s="195" t="s">
        <v>12220</v>
      </c>
      <c r="C3583" s="202" t="s">
        <v>12221</v>
      </c>
      <c r="D3583" s="154"/>
      <c r="E3583" s="154" t="s">
        <v>181</v>
      </c>
      <c r="F3583" s="180"/>
    </row>
    <row r="3584" customHeight="1" spans="1:6">
      <c r="A3584" s="9" t="s">
        <v>12222</v>
      </c>
      <c r="B3584" s="195" t="s">
        <v>12223</v>
      </c>
      <c r="C3584" s="202" t="s">
        <v>12224</v>
      </c>
      <c r="D3584" s="154"/>
      <c r="E3584" s="154" t="s">
        <v>181</v>
      </c>
      <c r="F3584" s="180"/>
    </row>
    <row r="3585" customHeight="1" spans="1:6">
      <c r="A3585" s="9" t="s">
        <v>12225</v>
      </c>
      <c r="B3585" s="201" t="s">
        <v>12226</v>
      </c>
      <c r="C3585" s="202" t="s">
        <v>12227</v>
      </c>
      <c r="D3585" s="154" t="s">
        <v>12228</v>
      </c>
      <c r="E3585" s="154"/>
      <c r="F3585" s="180"/>
    </row>
    <row r="3586" customHeight="1" spans="1:6">
      <c r="A3586" s="9" t="s">
        <v>12229</v>
      </c>
      <c r="B3586" s="26" t="s">
        <v>12230</v>
      </c>
      <c r="C3586" s="26" t="s">
        <v>12231</v>
      </c>
      <c r="D3586" s="194"/>
      <c r="E3586" s="220" t="s">
        <v>92</v>
      </c>
      <c r="F3586" s="220"/>
    </row>
    <row r="3587" customHeight="1" spans="1:6">
      <c r="A3587" s="9" t="s">
        <v>12232</v>
      </c>
      <c r="B3587" s="195" t="s">
        <v>12233</v>
      </c>
      <c r="C3587" s="203" t="s">
        <v>12234</v>
      </c>
      <c r="D3587" s="197"/>
      <c r="E3587" s="197" t="s">
        <v>273</v>
      </c>
      <c r="F3587" s="197"/>
    </row>
    <row r="3588" customHeight="1" spans="1:6">
      <c r="A3588" s="9" t="s">
        <v>12235</v>
      </c>
      <c r="B3588" s="200" t="s">
        <v>12236</v>
      </c>
      <c r="C3588" s="202" t="s">
        <v>12237</v>
      </c>
      <c r="D3588" s="152"/>
      <c r="E3588" s="154" t="s">
        <v>104</v>
      </c>
      <c r="F3588" s="180"/>
    </row>
    <row r="3589" customHeight="1" spans="1:6">
      <c r="A3589" s="9" t="s">
        <v>12238</v>
      </c>
      <c r="B3589" s="200" t="s">
        <v>12239</v>
      </c>
      <c r="C3589" s="202" t="s">
        <v>12240</v>
      </c>
      <c r="D3589" s="152"/>
      <c r="E3589" s="154" t="s">
        <v>104</v>
      </c>
      <c r="F3589" s="180"/>
    </row>
    <row r="3590" customHeight="1" spans="1:6">
      <c r="A3590" s="9" t="s">
        <v>12241</v>
      </c>
      <c r="B3590" s="195" t="s">
        <v>12242</v>
      </c>
      <c r="C3590" s="202" t="s">
        <v>12243</v>
      </c>
      <c r="D3590" s="152"/>
      <c r="E3590" s="154" t="s">
        <v>232</v>
      </c>
      <c r="F3590" s="180"/>
    </row>
    <row r="3591" customHeight="1" spans="1:6">
      <c r="A3591" s="9" t="s">
        <v>12244</v>
      </c>
      <c r="B3591" s="195" t="s">
        <v>12245</v>
      </c>
      <c r="C3591" s="202" t="s">
        <v>12246</v>
      </c>
      <c r="D3591" s="152"/>
      <c r="E3591" s="154" t="s">
        <v>232</v>
      </c>
      <c r="F3591" s="180"/>
    </row>
    <row r="3592" customHeight="1" spans="1:6">
      <c r="A3592" s="9" t="s">
        <v>12247</v>
      </c>
      <c r="B3592" s="195" t="s">
        <v>12248</v>
      </c>
      <c r="C3592" s="202" t="s">
        <v>12249</v>
      </c>
      <c r="D3592" s="152" t="s">
        <v>12250</v>
      </c>
      <c r="E3592" s="154"/>
      <c r="F3592" s="180"/>
    </row>
    <row r="3593" customHeight="1" spans="1:6">
      <c r="A3593" s="9" t="s">
        <v>12251</v>
      </c>
      <c r="B3593" s="153" t="s">
        <v>12252</v>
      </c>
      <c r="C3593" s="202" t="s">
        <v>12253</v>
      </c>
      <c r="D3593" s="154"/>
      <c r="E3593" s="210" t="s">
        <v>104</v>
      </c>
      <c r="F3593" s="211"/>
    </row>
    <row r="3594" customHeight="1" spans="1:6">
      <c r="A3594" s="9" t="s">
        <v>12254</v>
      </c>
      <c r="B3594" s="194" t="s">
        <v>12255</v>
      </c>
      <c r="C3594" s="264" t="s">
        <v>12256</v>
      </c>
      <c r="D3594" s="194"/>
      <c r="E3594" s="158" t="s">
        <v>216</v>
      </c>
      <c r="F3594" s="158"/>
    </row>
    <row r="3595" customHeight="1" spans="1:6">
      <c r="A3595" s="9" t="s">
        <v>12257</v>
      </c>
      <c r="B3595" s="234" t="s">
        <v>12258</v>
      </c>
      <c r="C3595" s="235" t="s">
        <v>12259</v>
      </c>
      <c r="D3595" s="36">
        <v>912038108</v>
      </c>
      <c r="E3595" s="45" t="s">
        <v>691</v>
      </c>
      <c r="F3595" s="268" t="s">
        <v>12260</v>
      </c>
    </row>
    <row r="3596" customHeight="1" spans="1:6">
      <c r="A3596" s="9" t="s">
        <v>12261</v>
      </c>
      <c r="B3596" s="195" t="s">
        <v>12262</v>
      </c>
      <c r="C3596" s="196" t="s">
        <v>12263</v>
      </c>
      <c r="D3596" s="197"/>
      <c r="E3596" s="198" t="s">
        <v>216</v>
      </c>
      <c r="F3596" s="199"/>
    </row>
    <row r="3597" customHeight="1" spans="1:6">
      <c r="A3597" s="9" t="s">
        <v>12264</v>
      </c>
      <c r="B3597" s="200" t="s">
        <v>12265</v>
      </c>
      <c r="C3597" s="202" t="s">
        <v>12266</v>
      </c>
      <c r="D3597" s="152"/>
      <c r="E3597" s="154" t="s">
        <v>232</v>
      </c>
      <c r="F3597" s="180"/>
    </row>
    <row r="3598" customHeight="1" spans="1:6">
      <c r="A3598" s="9" t="s">
        <v>12267</v>
      </c>
      <c r="B3598" s="153" t="s">
        <v>12268</v>
      </c>
      <c r="C3598" s="202" t="s">
        <v>12269</v>
      </c>
      <c r="D3598" s="154"/>
      <c r="E3598" s="154" t="s">
        <v>202</v>
      </c>
      <c r="F3598" s="180"/>
    </row>
    <row r="3599" customHeight="1" spans="1:6">
      <c r="A3599" s="9" t="s">
        <v>12270</v>
      </c>
      <c r="B3599" s="195" t="s">
        <v>12271</v>
      </c>
      <c r="C3599" s="203" t="s">
        <v>12272</v>
      </c>
      <c r="D3599" s="197"/>
      <c r="E3599" s="197" t="s">
        <v>273</v>
      </c>
      <c r="F3599" s="197"/>
    </row>
    <row r="3600" customHeight="1" spans="1:6">
      <c r="A3600" s="9" t="s">
        <v>12273</v>
      </c>
      <c r="B3600" s="194" t="s">
        <v>12274</v>
      </c>
      <c r="C3600" s="202" t="s">
        <v>12275</v>
      </c>
      <c r="D3600" s="158">
        <v>928836268</v>
      </c>
      <c r="E3600" s="158" t="s">
        <v>216</v>
      </c>
      <c r="F3600" s="153"/>
    </row>
    <row r="3601" customHeight="1" spans="1:6">
      <c r="A3601" s="9" t="s">
        <v>12276</v>
      </c>
      <c r="B3601" s="153" t="s">
        <v>12277</v>
      </c>
      <c r="C3601" s="202" t="s">
        <v>12278</v>
      </c>
      <c r="D3601" s="154"/>
      <c r="E3601" s="154" t="s">
        <v>310</v>
      </c>
      <c r="F3601" s="153"/>
    </row>
    <row r="3602" customHeight="1" spans="1:6">
      <c r="A3602" s="9" t="s">
        <v>12279</v>
      </c>
      <c r="B3602" s="204" t="s">
        <v>12280</v>
      </c>
      <c r="C3602" s="204" t="s">
        <v>12281</v>
      </c>
      <c r="D3602" s="194"/>
      <c r="E3602" s="204" t="s">
        <v>92</v>
      </c>
      <c r="F3602" s="204"/>
    </row>
    <row r="3603" customHeight="1" spans="1:6">
      <c r="A3603" s="9" t="s">
        <v>12282</v>
      </c>
      <c r="B3603" s="214" t="s">
        <v>12283</v>
      </c>
      <c r="C3603" s="214" t="s">
        <v>12284</v>
      </c>
      <c r="D3603" s="194"/>
      <c r="E3603" s="204" t="s">
        <v>92</v>
      </c>
      <c r="F3603" s="204"/>
    </row>
    <row r="3604" customHeight="1" spans="1:6">
      <c r="A3604" s="9" t="s">
        <v>12285</v>
      </c>
      <c r="B3604" s="201" t="s">
        <v>12286</v>
      </c>
      <c r="C3604" s="202" t="s">
        <v>12287</v>
      </c>
      <c r="D3604" s="154" t="s">
        <v>12288</v>
      </c>
      <c r="E3604" s="154" t="s">
        <v>243</v>
      </c>
      <c r="F3604" s="180"/>
    </row>
    <row r="3605" customHeight="1" spans="1:6">
      <c r="A3605" s="9" t="s">
        <v>12289</v>
      </c>
      <c r="B3605" s="200" t="s">
        <v>12290</v>
      </c>
      <c r="C3605" s="202" t="s">
        <v>12291</v>
      </c>
      <c r="D3605" s="158"/>
      <c r="E3605" s="154" t="s">
        <v>310</v>
      </c>
      <c r="F3605" s="180"/>
    </row>
    <row r="3606" customHeight="1" spans="1:6">
      <c r="A3606" s="9" t="s">
        <v>12292</v>
      </c>
      <c r="B3606" s="200" t="s">
        <v>12293</v>
      </c>
      <c r="C3606" s="202" t="s">
        <v>12294</v>
      </c>
      <c r="D3606" s="152"/>
      <c r="E3606" s="154" t="s">
        <v>211</v>
      </c>
      <c r="F3606" s="180"/>
    </row>
    <row r="3607" customHeight="1" spans="1:6">
      <c r="A3607" s="9" t="s">
        <v>12295</v>
      </c>
      <c r="B3607" s="205" t="s">
        <v>12296</v>
      </c>
      <c r="C3607" s="205" t="s">
        <v>12297</v>
      </c>
      <c r="D3607" s="206" t="s">
        <v>12298</v>
      </c>
      <c r="E3607" s="193" t="s">
        <v>120</v>
      </c>
      <c r="F3607" s="239"/>
    </row>
    <row r="3608" customHeight="1" spans="1:6">
      <c r="A3608" s="9" t="s">
        <v>12299</v>
      </c>
      <c r="B3608" s="215" t="s">
        <v>12296</v>
      </c>
      <c r="C3608" s="205" t="s">
        <v>12297</v>
      </c>
      <c r="D3608" s="244" t="s">
        <v>12298</v>
      </c>
      <c r="E3608" s="26" t="s">
        <v>92</v>
      </c>
      <c r="F3608" s="26" t="s">
        <v>12300</v>
      </c>
    </row>
    <row r="3609" customHeight="1" spans="1:6">
      <c r="A3609" s="9" t="s">
        <v>12301</v>
      </c>
      <c r="B3609" s="255" t="s">
        <v>12302</v>
      </c>
      <c r="C3609" s="255" t="s">
        <v>12303</v>
      </c>
      <c r="D3609" s="256" t="s">
        <v>12304</v>
      </c>
      <c r="E3609" s="26" t="s">
        <v>1701</v>
      </c>
      <c r="F3609" s="290"/>
    </row>
    <row r="3610" customHeight="1" spans="1:6">
      <c r="A3610" s="9" t="s">
        <v>12305</v>
      </c>
      <c r="B3610" s="219" t="s">
        <v>12306</v>
      </c>
      <c r="C3610" s="219" t="s">
        <v>12307</v>
      </c>
      <c r="D3610" s="194"/>
      <c r="E3610" s="204" t="s">
        <v>92</v>
      </c>
      <c r="F3610" s="204"/>
    </row>
    <row r="3611" customHeight="1" spans="1:6">
      <c r="A3611" s="9" t="s">
        <v>12308</v>
      </c>
      <c r="B3611" s="201" t="s">
        <v>12309</v>
      </c>
      <c r="C3611" s="202" t="s">
        <v>12310</v>
      </c>
      <c r="D3611" s="154"/>
      <c r="E3611" s="210" t="s">
        <v>104</v>
      </c>
      <c r="F3611" s="211"/>
    </row>
    <row r="3612" customHeight="1" spans="1:6">
      <c r="A3612" s="9" t="s">
        <v>12311</v>
      </c>
      <c r="B3612" s="260" t="s">
        <v>12312</v>
      </c>
      <c r="C3612" s="243" t="s">
        <v>12313</v>
      </c>
      <c r="D3612" s="154"/>
      <c r="E3612" s="158" t="s">
        <v>243</v>
      </c>
      <c r="F3612" s="153"/>
    </row>
    <row r="3613" customHeight="1" spans="1:6">
      <c r="A3613" s="9" t="s">
        <v>12314</v>
      </c>
      <c r="B3613" s="160" t="s">
        <v>12315</v>
      </c>
      <c r="C3613" s="160" t="s">
        <v>12316</v>
      </c>
      <c r="D3613" s="204" t="s">
        <v>12317</v>
      </c>
      <c r="E3613" s="204" t="s">
        <v>92</v>
      </c>
      <c r="F3613" s="204"/>
    </row>
    <row r="3614" customHeight="1" spans="1:6">
      <c r="A3614" s="9" t="s">
        <v>12318</v>
      </c>
      <c r="B3614" s="201" t="s">
        <v>12319</v>
      </c>
      <c r="C3614" s="202" t="s">
        <v>12320</v>
      </c>
      <c r="D3614" s="154" t="s">
        <v>12321</v>
      </c>
      <c r="E3614" s="154" t="s">
        <v>243</v>
      </c>
      <c r="F3614" s="180"/>
    </row>
    <row r="3615" customHeight="1" spans="1:6">
      <c r="A3615" s="9" t="s">
        <v>12322</v>
      </c>
      <c r="B3615" s="194" t="s">
        <v>12323</v>
      </c>
      <c r="C3615" s="202" t="s">
        <v>12324</v>
      </c>
      <c r="D3615" s="248">
        <v>918152851</v>
      </c>
      <c r="E3615" s="154" t="s">
        <v>104</v>
      </c>
      <c r="F3615" s="180"/>
    </row>
    <row r="3616" customHeight="1" spans="1:6">
      <c r="A3616" s="9" t="s">
        <v>12325</v>
      </c>
      <c r="B3616" s="195" t="s">
        <v>12326</v>
      </c>
      <c r="C3616" s="202" t="s">
        <v>12327</v>
      </c>
      <c r="D3616" s="152" t="s">
        <v>12328</v>
      </c>
      <c r="E3616" s="154"/>
      <c r="F3616" s="180"/>
    </row>
    <row r="3617" customHeight="1" spans="1:6">
      <c r="A3617" s="9" t="s">
        <v>12329</v>
      </c>
      <c r="B3617" s="195" t="s">
        <v>12330</v>
      </c>
      <c r="C3617" s="202" t="s">
        <v>12331</v>
      </c>
      <c r="D3617" s="152" t="s">
        <v>12332</v>
      </c>
      <c r="E3617" s="154" t="s">
        <v>243</v>
      </c>
      <c r="F3617" s="180"/>
    </row>
    <row r="3618" customHeight="1" spans="1:6">
      <c r="A3618" s="9" t="s">
        <v>12333</v>
      </c>
      <c r="B3618" s="153" t="s">
        <v>12334</v>
      </c>
      <c r="C3618" s="202" t="s">
        <v>12335</v>
      </c>
      <c r="D3618" s="154">
        <v>916600567</v>
      </c>
      <c r="E3618" s="154" t="s">
        <v>161</v>
      </c>
      <c r="F3618" s="180"/>
    </row>
    <row r="3619" customHeight="1" spans="1:6">
      <c r="A3619" s="9" t="s">
        <v>12336</v>
      </c>
      <c r="B3619" s="200" t="s">
        <v>12337</v>
      </c>
      <c r="C3619" s="202" t="s">
        <v>12338</v>
      </c>
      <c r="D3619" s="152" t="s">
        <v>12339</v>
      </c>
      <c r="E3619" s="154" t="s">
        <v>232</v>
      </c>
      <c r="F3619" s="180"/>
    </row>
    <row r="3620" customHeight="1" spans="1:6">
      <c r="A3620" s="9" t="s">
        <v>12340</v>
      </c>
      <c r="B3620" s="201" t="s">
        <v>12341</v>
      </c>
      <c r="C3620" s="202" t="s">
        <v>12342</v>
      </c>
      <c r="D3620" s="154"/>
      <c r="E3620" s="154"/>
      <c r="F3620" s="180"/>
    </row>
    <row r="3621" customHeight="1" spans="1:6">
      <c r="A3621" s="9" t="s">
        <v>12343</v>
      </c>
      <c r="B3621" s="195" t="s">
        <v>12344</v>
      </c>
      <c r="C3621" s="212" t="s">
        <v>12345</v>
      </c>
      <c r="D3621" s="197" t="s">
        <v>12346</v>
      </c>
      <c r="E3621" s="198" t="s">
        <v>216</v>
      </c>
      <c r="F3621" s="199"/>
    </row>
    <row r="3622" customHeight="1" spans="1:6">
      <c r="A3622" s="9" t="s">
        <v>12347</v>
      </c>
      <c r="B3622" s="200" t="s">
        <v>12348</v>
      </c>
      <c r="C3622" s="236" t="s">
        <v>12349</v>
      </c>
      <c r="D3622" s="194" t="s">
        <v>12350</v>
      </c>
      <c r="E3622" s="193" t="s">
        <v>216</v>
      </c>
      <c r="F3622" s="191"/>
    </row>
    <row r="3623" customHeight="1" spans="1:6">
      <c r="A3623" s="9" t="s">
        <v>12351</v>
      </c>
      <c r="B3623" s="200" t="s">
        <v>12352</v>
      </c>
      <c r="C3623" s="246" t="s">
        <v>12353</v>
      </c>
      <c r="D3623" s="194"/>
      <c r="E3623" s="194" t="s">
        <v>202</v>
      </c>
      <c r="F3623" s="194"/>
    </row>
    <row r="3624" customHeight="1" spans="1:6">
      <c r="A3624" s="9" t="s">
        <v>12354</v>
      </c>
      <c r="B3624" s="195" t="s">
        <v>12355</v>
      </c>
      <c r="C3624" s="202" t="s">
        <v>12356</v>
      </c>
      <c r="D3624" s="158" t="s">
        <v>12357</v>
      </c>
      <c r="E3624" s="154" t="s">
        <v>202</v>
      </c>
      <c r="F3624" s="180"/>
    </row>
    <row r="3625" customHeight="1" spans="1:6">
      <c r="A3625" s="9" t="s">
        <v>12358</v>
      </c>
      <c r="B3625" s="200" t="s">
        <v>12359</v>
      </c>
      <c r="C3625" s="202" t="s">
        <v>12360</v>
      </c>
      <c r="D3625" s="152"/>
      <c r="E3625" s="154" t="s">
        <v>216</v>
      </c>
      <c r="F3625" s="180"/>
    </row>
    <row r="3626" customHeight="1" spans="1:6">
      <c r="A3626" s="9" t="s">
        <v>12361</v>
      </c>
      <c r="B3626" s="158" t="s">
        <v>12362</v>
      </c>
      <c r="C3626" s="202" t="s">
        <v>12363</v>
      </c>
      <c r="D3626" s="158">
        <v>920103765</v>
      </c>
      <c r="E3626" s="154" t="s">
        <v>104</v>
      </c>
      <c r="F3626" s="180"/>
    </row>
    <row r="3627" customHeight="1" spans="1:6">
      <c r="A3627" s="9" t="s">
        <v>12364</v>
      </c>
      <c r="B3627" s="153" t="s">
        <v>12365</v>
      </c>
      <c r="C3627" s="202" t="s">
        <v>12366</v>
      </c>
      <c r="D3627" s="154"/>
      <c r="E3627" s="154" t="s">
        <v>253</v>
      </c>
      <c r="F3627" s="180"/>
    </row>
    <row r="3628" customHeight="1" spans="1:6">
      <c r="A3628" s="9" t="s">
        <v>12367</v>
      </c>
      <c r="B3628" s="200" t="s">
        <v>12368</v>
      </c>
      <c r="C3628" s="202" t="s">
        <v>12369</v>
      </c>
      <c r="D3628" s="152" t="s">
        <v>12370</v>
      </c>
      <c r="E3628" s="154" t="s">
        <v>232</v>
      </c>
      <c r="F3628" s="180"/>
    </row>
    <row r="3629" customHeight="1" spans="1:6">
      <c r="A3629" s="9" t="s">
        <v>12371</v>
      </c>
      <c r="B3629" s="195" t="s">
        <v>12372</v>
      </c>
      <c r="C3629" s="202" t="s">
        <v>12373</v>
      </c>
      <c r="D3629" s="152"/>
      <c r="E3629" s="154" t="s">
        <v>232</v>
      </c>
      <c r="F3629" s="180"/>
    </row>
    <row r="3630" customHeight="1" spans="1:6">
      <c r="A3630" s="9" t="s">
        <v>12374</v>
      </c>
      <c r="B3630" s="197" t="s">
        <v>12375</v>
      </c>
      <c r="C3630" s="196" t="s">
        <v>12376</v>
      </c>
      <c r="D3630" s="197" t="s">
        <v>12377</v>
      </c>
      <c r="E3630" s="197" t="s">
        <v>104</v>
      </c>
      <c r="F3630" s="197"/>
    </row>
    <row r="3631" customHeight="1" spans="1:6">
      <c r="A3631" s="9" t="s">
        <v>12378</v>
      </c>
      <c r="B3631" s="200" t="s">
        <v>12379</v>
      </c>
      <c r="C3631" s="202" t="s">
        <v>12380</v>
      </c>
      <c r="D3631" s="152"/>
      <c r="E3631" s="154" t="s">
        <v>104</v>
      </c>
      <c r="F3631" s="180"/>
    </row>
    <row r="3632" customHeight="1" spans="1:6">
      <c r="A3632" s="9" t="s">
        <v>12381</v>
      </c>
      <c r="B3632" s="201" t="s">
        <v>12382</v>
      </c>
      <c r="C3632" s="202" t="s">
        <v>12383</v>
      </c>
      <c r="D3632" s="154"/>
      <c r="E3632" s="210" t="s">
        <v>104</v>
      </c>
      <c r="F3632" s="211"/>
    </row>
    <row r="3633" customHeight="1" spans="1:6">
      <c r="A3633" s="9" t="s">
        <v>12384</v>
      </c>
      <c r="B3633" s="200" t="s">
        <v>12385</v>
      </c>
      <c r="C3633" s="202" t="s">
        <v>12386</v>
      </c>
      <c r="D3633" s="152" t="s">
        <v>12387</v>
      </c>
      <c r="E3633" s="154"/>
      <c r="F3633" s="180"/>
    </row>
    <row r="3634" customHeight="1" spans="1:6">
      <c r="A3634" s="9" t="s">
        <v>12388</v>
      </c>
      <c r="B3634" s="200" t="s">
        <v>12389</v>
      </c>
      <c r="C3634" s="202" t="s">
        <v>12390</v>
      </c>
      <c r="D3634" s="152"/>
      <c r="E3634" s="154" t="s">
        <v>104</v>
      </c>
      <c r="F3634" s="180"/>
    </row>
    <row r="3635" customHeight="1" spans="1:6">
      <c r="A3635" s="9" t="s">
        <v>12391</v>
      </c>
      <c r="B3635" s="200" t="s">
        <v>12392</v>
      </c>
      <c r="C3635" s="203" t="s">
        <v>12393</v>
      </c>
      <c r="D3635" s="194"/>
      <c r="E3635" s="194" t="s">
        <v>273</v>
      </c>
      <c r="F3635" s="194"/>
    </row>
    <row r="3636" customHeight="1" spans="1:6">
      <c r="A3636" s="9" t="s">
        <v>12394</v>
      </c>
      <c r="B3636" s="195" t="s">
        <v>12395</v>
      </c>
      <c r="C3636" s="202" t="s">
        <v>12396</v>
      </c>
      <c r="D3636" s="152"/>
      <c r="E3636" s="154" t="s">
        <v>232</v>
      </c>
      <c r="F3636" s="180"/>
    </row>
    <row r="3637" customHeight="1" spans="1:6">
      <c r="A3637" s="9" t="s">
        <v>12397</v>
      </c>
      <c r="B3637" s="197" t="s">
        <v>12398</v>
      </c>
      <c r="C3637" s="202" t="s">
        <v>12399</v>
      </c>
      <c r="D3637" s="153"/>
      <c r="E3637" s="180" t="s">
        <v>216</v>
      </c>
      <c r="F3637" s="180"/>
    </row>
    <row r="3638" customHeight="1" spans="1:6">
      <c r="A3638" s="9" t="s">
        <v>12400</v>
      </c>
      <c r="B3638" s="200" t="s">
        <v>12401</v>
      </c>
      <c r="C3638" s="202" t="s">
        <v>12402</v>
      </c>
      <c r="D3638" s="152"/>
      <c r="E3638" s="154" t="s">
        <v>104</v>
      </c>
      <c r="F3638" s="180"/>
    </row>
    <row r="3639" customHeight="1" spans="1:6">
      <c r="A3639" s="9" t="s">
        <v>12403</v>
      </c>
      <c r="B3639" s="201" t="s">
        <v>12404</v>
      </c>
      <c r="C3639" s="202" t="s">
        <v>12405</v>
      </c>
      <c r="D3639" s="154"/>
      <c r="E3639" s="210" t="s">
        <v>104</v>
      </c>
      <c r="F3639" s="211"/>
    </row>
    <row r="3640" customHeight="1" spans="1:6">
      <c r="A3640" s="9" t="s">
        <v>12406</v>
      </c>
      <c r="B3640" s="195" t="s">
        <v>12407</v>
      </c>
      <c r="C3640" s="202" t="s">
        <v>12408</v>
      </c>
      <c r="D3640" s="152"/>
      <c r="E3640" s="154" t="s">
        <v>232</v>
      </c>
      <c r="F3640" s="180"/>
    </row>
    <row r="3641" customHeight="1" spans="1:6">
      <c r="A3641" s="9" t="s">
        <v>12409</v>
      </c>
      <c r="B3641" s="153" t="s">
        <v>12410</v>
      </c>
      <c r="C3641" s="202" t="s">
        <v>12411</v>
      </c>
      <c r="D3641" s="154"/>
      <c r="E3641" s="154" t="s">
        <v>104</v>
      </c>
      <c r="F3641" s="180"/>
    </row>
    <row r="3642" customHeight="1" spans="1:6">
      <c r="A3642" s="9" t="s">
        <v>12412</v>
      </c>
      <c r="B3642" s="153" t="s">
        <v>12413</v>
      </c>
      <c r="C3642" s="202" t="s">
        <v>12414</v>
      </c>
      <c r="D3642" s="154"/>
      <c r="E3642" s="154" t="s">
        <v>104</v>
      </c>
      <c r="F3642" s="180"/>
    </row>
    <row r="3643" customHeight="1" spans="1:6">
      <c r="A3643" s="9" t="s">
        <v>12415</v>
      </c>
      <c r="B3643" s="195" t="s">
        <v>12416</v>
      </c>
      <c r="C3643" s="213" t="s">
        <v>12417</v>
      </c>
      <c r="D3643" s="197"/>
      <c r="E3643" s="197" t="s">
        <v>202</v>
      </c>
      <c r="F3643" s="197"/>
    </row>
    <row r="3644" customHeight="1" spans="1:6">
      <c r="A3644" s="9" t="s">
        <v>12418</v>
      </c>
      <c r="B3644" s="195" t="s">
        <v>12419</v>
      </c>
      <c r="C3644" s="202" t="s">
        <v>12420</v>
      </c>
      <c r="D3644" s="152"/>
      <c r="E3644" s="154" t="s">
        <v>232</v>
      </c>
      <c r="F3644" s="180"/>
    </row>
    <row r="3645" customHeight="1" spans="1:6">
      <c r="A3645" s="9" t="s">
        <v>12421</v>
      </c>
      <c r="B3645" s="200" t="s">
        <v>12422</v>
      </c>
      <c r="C3645" s="192" t="s">
        <v>12423</v>
      </c>
      <c r="D3645" s="194"/>
      <c r="E3645" s="193" t="s">
        <v>351</v>
      </c>
      <c r="F3645" s="191"/>
    </row>
    <row r="3646" customHeight="1" spans="1:6">
      <c r="A3646" s="9" t="s">
        <v>12424</v>
      </c>
      <c r="B3646" s="205" t="s">
        <v>12425</v>
      </c>
      <c r="C3646" s="205" t="s">
        <v>12426</v>
      </c>
      <c r="D3646" s="206" t="s">
        <v>12427</v>
      </c>
      <c r="E3646" s="193" t="s">
        <v>120</v>
      </c>
      <c r="F3646" s="221" t="s">
        <v>12428</v>
      </c>
    </row>
    <row r="3647" customHeight="1" spans="1:6">
      <c r="A3647" s="9" t="s">
        <v>12429</v>
      </c>
      <c r="B3647" s="200" t="s">
        <v>12430</v>
      </c>
      <c r="C3647" s="202" t="s">
        <v>12431</v>
      </c>
      <c r="D3647" s="152" t="s">
        <v>12432</v>
      </c>
      <c r="E3647" s="154" t="s">
        <v>232</v>
      </c>
      <c r="F3647" s="180"/>
    </row>
    <row r="3648" customHeight="1" spans="1:6">
      <c r="A3648" s="9" t="s">
        <v>12433</v>
      </c>
      <c r="B3648" s="200" t="s">
        <v>12434</v>
      </c>
      <c r="C3648" s="202" t="s">
        <v>12435</v>
      </c>
      <c r="D3648" s="152"/>
      <c r="E3648" s="154" t="s">
        <v>232</v>
      </c>
      <c r="F3648" s="180"/>
    </row>
    <row r="3649" customHeight="1" spans="1:6">
      <c r="A3649" s="9" t="s">
        <v>12436</v>
      </c>
      <c r="B3649" s="194" t="s">
        <v>12437</v>
      </c>
      <c r="C3649" s="202" t="s">
        <v>12438</v>
      </c>
      <c r="D3649" s="158"/>
      <c r="E3649" s="154" t="s">
        <v>104</v>
      </c>
      <c r="F3649" s="180"/>
    </row>
    <row r="3650" customHeight="1" spans="1:6">
      <c r="A3650" s="9" t="s">
        <v>12439</v>
      </c>
      <c r="B3650" s="200" t="s">
        <v>12440</v>
      </c>
      <c r="C3650" s="202" t="s">
        <v>12441</v>
      </c>
      <c r="D3650" s="152"/>
      <c r="E3650" s="154"/>
      <c r="F3650" s="180"/>
    </row>
    <row r="3651" customHeight="1" spans="1:6">
      <c r="A3651" s="9" t="s">
        <v>12442</v>
      </c>
      <c r="B3651" s="200" t="s">
        <v>12443</v>
      </c>
      <c r="C3651" s="202" t="s">
        <v>12444</v>
      </c>
      <c r="D3651" s="152"/>
      <c r="E3651" s="154" t="s">
        <v>232</v>
      </c>
      <c r="F3651" s="180"/>
    </row>
    <row r="3652" customHeight="1" spans="1:6">
      <c r="A3652" s="9" t="s">
        <v>12445</v>
      </c>
      <c r="B3652" s="153" t="s">
        <v>12446</v>
      </c>
      <c r="C3652" s="202" t="s">
        <v>12447</v>
      </c>
      <c r="D3652" s="154"/>
      <c r="E3652" s="154" t="s">
        <v>202</v>
      </c>
      <c r="F3652" s="180"/>
    </row>
    <row r="3653" customHeight="1" spans="1:6">
      <c r="A3653" s="9" t="s">
        <v>12448</v>
      </c>
      <c r="B3653" s="195" t="s">
        <v>12449</v>
      </c>
      <c r="C3653" s="203" t="s">
        <v>12450</v>
      </c>
      <c r="D3653" s="197"/>
      <c r="E3653" s="197" t="s">
        <v>273</v>
      </c>
      <c r="F3653" s="197"/>
    </row>
    <row r="3654" customHeight="1" spans="1:6">
      <c r="A3654" s="9" t="s">
        <v>12451</v>
      </c>
      <c r="B3654" s="200" t="s">
        <v>12452</v>
      </c>
      <c r="C3654" s="202" t="s">
        <v>12453</v>
      </c>
      <c r="D3654" s="152"/>
      <c r="E3654" s="154" t="s">
        <v>232</v>
      </c>
      <c r="F3654" s="180"/>
    </row>
    <row r="3655" customHeight="1" spans="1:6">
      <c r="A3655" s="9" t="s">
        <v>12454</v>
      </c>
      <c r="B3655" s="195" t="s">
        <v>12455</v>
      </c>
      <c r="C3655" s="203" t="s">
        <v>12456</v>
      </c>
      <c r="D3655" s="197"/>
      <c r="E3655" s="197" t="s">
        <v>273</v>
      </c>
      <c r="F3655" s="197"/>
    </row>
    <row r="3656" customHeight="1" spans="1:6">
      <c r="A3656" s="9" t="s">
        <v>12457</v>
      </c>
      <c r="B3656" s="201" t="s">
        <v>12458</v>
      </c>
      <c r="C3656" s="202" t="s">
        <v>12459</v>
      </c>
      <c r="D3656" s="154" t="s">
        <v>12460</v>
      </c>
      <c r="E3656" s="154" t="s">
        <v>202</v>
      </c>
      <c r="F3656" s="180"/>
    </row>
    <row r="3657" customHeight="1" spans="1:6">
      <c r="A3657" s="9" t="s">
        <v>12461</v>
      </c>
      <c r="B3657" s="200" t="s">
        <v>12462</v>
      </c>
      <c r="C3657" s="192" t="s">
        <v>12463</v>
      </c>
      <c r="D3657" s="194" t="s">
        <v>12464</v>
      </c>
      <c r="E3657" s="193" t="s">
        <v>216</v>
      </c>
      <c r="F3657" s="191"/>
    </row>
    <row r="3658" customHeight="1" spans="1:6">
      <c r="A3658" s="9" t="s">
        <v>12465</v>
      </c>
      <c r="B3658" s="195" t="s">
        <v>12466</v>
      </c>
      <c r="C3658" s="202" t="s">
        <v>12467</v>
      </c>
      <c r="D3658" s="152"/>
      <c r="E3658" s="154" t="s">
        <v>181</v>
      </c>
      <c r="F3658" s="180"/>
    </row>
    <row r="3659" customHeight="1" spans="1:6">
      <c r="A3659" s="9" t="s">
        <v>12468</v>
      </c>
      <c r="B3659" s="197" t="s">
        <v>12469</v>
      </c>
      <c r="C3659" s="202" t="s">
        <v>12470</v>
      </c>
      <c r="D3659" s="158"/>
      <c r="E3659" s="154" t="s">
        <v>243</v>
      </c>
      <c r="F3659" s="250"/>
    </row>
    <row r="3660" customHeight="1" spans="1:6">
      <c r="A3660" s="9" t="s">
        <v>12471</v>
      </c>
      <c r="B3660" s="280" t="s">
        <v>12472</v>
      </c>
      <c r="C3660" s="202" t="s">
        <v>12473</v>
      </c>
      <c r="D3660" s="153">
        <v>920772580</v>
      </c>
      <c r="E3660" s="180" t="s">
        <v>202</v>
      </c>
      <c r="F3660" s="180"/>
    </row>
    <row r="3661" customHeight="1" spans="1:6">
      <c r="A3661" s="9" t="s">
        <v>12474</v>
      </c>
      <c r="B3661" s="195" t="s">
        <v>12475</v>
      </c>
      <c r="C3661" s="202" t="s">
        <v>12476</v>
      </c>
      <c r="D3661" s="152"/>
      <c r="E3661" s="154" t="s">
        <v>232</v>
      </c>
      <c r="F3661" s="180"/>
    </row>
    <row r="3662" customHeight="1" spans="1:6">
      <c r="A3662" s="9" t="s">
        <v>12477</v>
      </c>
      <c r="B3662" s="200" t="s">
        <v>12478</v>
      </c>
      <c r="C3662" s="202" t="s">
        <v>12479</v>
      </c>
      <c r="D3662" s="158"/>
      <c r="E3662" s="154" t="s">
        <v>104</v>
      </c>
      <c r="F3662" s="180"/>
    </row>
    <row r="3663" customHeight="1" spans="1:6">
      <c r="A3663" s="9" t="s">
        <v>12480</v>
      </c>
      <c r="B3663" s="200" t="s">
        <v>12481</v>
      </c>
      <c r="C3663" s="202" t="s">
        <v>12482</v>
      </c>
      <c r="D3663" s="152"/>
      <c r="E3663" s="154" t="s">
        <v>232</v>
      </c>
      <c r="F3663" s="180"/>
    </row>
    <row r="3664" customHeight="1" spans="1:6">
      <c r="A3664" s="9" t="s">
        <v>12483</v>
      </c>
      <c r="B3664" s="195" t="s">
        <v>12484</v>
      </c>
      <c r="C3664" s="212" t="s">
        <v>12485</v>
      </c>
      <c r="D3664" s="197"/>
      <c r="E3664" s="198" t="s">
        <v>216</v>
      </c>
      <c r="F3664" s="199"/>
    </row>
    <row r="3665" customHeight="1" spans="1:6">
      <c r="A3665" s="9" t="s">
        <v>12486</v>
      </c>
      <c r="B3665" s="153" t="s">
        <v>12487</v>
      </c>
      <c r="C3665" s="202" t="s">
        <v>12488</v>
      </c>
      <c r="D3665" s="154">
        <v>918585989</v>
      </c>
      <c r="E3665" s="154" t="s">
        <v>232</v>
      </c>
      <c r="F3665" s="180"/>
    </row>
    <row r="3666" customHeight="1" spans="1:6">
      <c r="A3666" s="9" t="s">
        <v>12489</v>
      </c>
      <c r="B3666" s="200" t="s">
        <v>12490</v>
      </c>
      <c r="C3666" s="236" t="s">
        <v>12491</v>
      </c>
      <c r="D3666" s="194"/>
      <c r="E3666" s="194" t="s">
        <v>3811</v>
      </c>
      <c r="F3666" s="194"/>
    </row>
    <row r="3667" customHeight="1" spans="1:6">
      <c r="A3667" s="9" t="s">
        <v>12492</v>
      </c>
      <c r="B3667" s="200" t="s">
        <v>12493</v>
      </c>
      <c r="C3667" s="202" t="s">
        <v>12494</v>
      </c>
      <c r="D3667" s="154"/>
      <c r="E3667" s="154" t="s">
        <v>104</v>
      </c>
      <c r="F3667" s="180"/>
    </row>
    <row r="3668" customHeight="1" spans="1:6">
      <c r="A3668" s="9" t="s">
        <v>12495</v>
      </c>
      <c r="B3668" s="195" t="s">
        <v>12496</v>
      </c>
      <c r="C3668" s="202" t="s">
        <v>12497</v>
      </c>
      <c r="D3668" s="152" t="s">
        <v>12498</v>
      </c>
      <c r="E3668" s="154" t="s">
        <v>104</v>
      </c>
      <c r="F3668" s="180"/>
    </row>
    <row r="3669" customHeight="1" spans="1:6">
      <c r="A3669" s="9" t="s">
        <v>12499</v>
      </c>
      <c r="B3669" s="215" t="s">
        <v>12500</v>
      </c>
      <c r="C3669" s="205" t="s">
        <v>12501</v>
      </c>
      <c r="D3669" s="206" t="s">
        <v>12502</v>
      </c>
      <c r="E3669" s="193" t="s">
        <v>120</v>
      </c>
      <c r="F3669" s="221"/>
    </row>
    <row r="3670" customHeight="1" spans="1:6">
      <c r="A3670" s="9" t="s">
        <v>12503</v>
      </c>
      <c r="B3670" s="214" t="s">
        <v>12504</v>
      </c>
      <c r="C3670" s="214" t="s">
        <v>12505</v>
      </c>
      <c r="D3670" s="204" t="s">
        <v>12506</v>
      </c>
      <c r="E3670" s="204" t="s">
        <v>92</v>
      </c>
      <c r="F3670" s="204"/>
    </row>
    <row r="3671" customHeight="1" spans="1:6">
      <c r="A3671" s="9" t="s">
        <v>12507</v>
      </c>
      <c r="B3671" s="215" t="s">
        <v>12508</v>
      </c>
      <c r="C3671" s="205" t="s">
        <v>12509</v>
      </c>
      <c r="D3671" s="342" t="s">
        <v>12510</v>
      </c>
      <c r="E3671" s="193" t="s">
        <v>120</v>
      </c>
      <c r="F3671" s="216"/>
    </row>
    <row r="3672" customHeight="1" spans="1:6">
      <c r="A3672" s="9" t="s">
        <v>12511</v>
      </c>
      <c r="B3672" s="201" t="s">
        <v>12512</v>
      </c>
      <c r="C3672" s="202" t="s">
        <v>12513</v>
      </c>
      <c r="D3672" s="154" t="s">
        <v>12514</v>
      </c>
      <c r="E3672" s="154" t="s">
        <v>243</v>
      </c>
      <c r="F3672" s="180"/>
    </row>
    <row r="3673" customHeight="1" spans="1:6">
      <c r="A3673" s="9" t="s">
        <v>12515</v>
      </c>
      <c r="B3673" s="195" t="s">
        <v>12516</v>
      </c>
      <c r="C3673" s="202" t="s">
        <v>12517</v>
      </c>
      <c r="D3673" s="152"/>
      <c r="E3673" s="154" t="s">
        <v>181</v>
      </c>
      <c r="F3673" s="180"/>
    </row>
    <row r="3674" customHeight="1" spans="1:6">
      <c r="A3674" s="9" t="s">
        <v>12518</v>
      </c>
      <c r="B3674" s="201" t="s">
        <v>12519</v>
      </c>
      <c r="C3674" s="202" t="s">
        <v>12520</v>
      </c>
      <c r="D3674" s="154"/>
      <c r="E3674" s="154" t="s">
        <v>243</v>
      </c>
      <c r="F3674" s="180"/>
    </row>
    <row r="3675" customHeight="1" spans="1:6">
      <c r="A3675" s="9" t="s">
        <v>12521</v>
      </c>
      <c r="B3675" s="201" t="s">
        <v>12522</v>
      </c>
      <c r="C3675" s="202" t="s">
        <v>12523</v>
      </c>
      <c r="D3675" s="154" t="s">
        <v>12524</v>
      </c>
      <c r="E3675" s="154" t="s">
        <v>202</v>
      </c>
      <c r="F3675" s="180"/>
    </row>
    <row r="3676" customHeight="1" spans="1:6">
      <c r="A3676" s="9" t="s">
        <v>12525</v>
      </c>
      <c r="B3676" s="233" t="s">
        <v>12526</v>
      </c>
      <c r="C3676" s="233" t="s">
        <v>12527</v>
      </c>
      <c r="D3676" s="204" t="s">
        <v>12528</v>
      </c>
      <c r="E3676" s="204" t="s">
        <v>605</v>
      </c>
      <c r="F3676" s="204" t="s">
        <v>12529</v>
      </c>
    </row>
    <row r="3677" customHeight="1" spans="1:6">
      <c r="A3677" s="9" t="s">
        <v>12530</v>
      </c>
      <c r="B3677" s="200" t="s">
        <v>12531</v>
      </c>
      <c r="C3677" s="192" t="s">
        <v>12532</v>
      </c>
      <c r="D3677" s="194"/>
      <c r="E3677" s="193" t="s">
        <v>202</v>
      </c>
      <c r="F3677" s="191"/>
    </row>
    <row r="3678" customHeight="1" spans="1:6">
      <c r="A3678" s="9" t="s">
        <v>12533</v>
      </c>
      <c r="B3678" s="214" t="s">
        <v>12534</v>
      </c>
      <c r="C3678" s="214" t="s">
        <v>12535</v>
      </c>
      <c r="D3678" s="204">
        <v>992088904</v>
      </c>
      <c r="E3678" s="204" t="s">
        <v>92</v>
      </c>
      <c r="F3678" s="204"/>
    </row>
    <row r="3679" customHeight="1" spans="1:6">
      <c r="A3679" s="9" t="s">
        <v>12536</v>
      </c>
      <c r="B3679" s="153" t="s">
        <v>12537</v>
      </c>
      <c r="C3679" s="202" t="s">
        <v>12538</v>
      </c>
      <c r="D3679" s="154"/>
      <c r="E3679" s="154" t="s">
        <v>104</v>
      </c>
      <c r="F3679" s="180"/>
    </row>
    <row r="3680" customHeight="1" spans="1:6">
      <c r="A3680" s="9" t="s">
        <v>12539</v>
      </c>
      <c r="B3680" s="201" t="s">
        <v>12540</v>
      </c>
      <c r="C3680" s="202" t="s">
        <v>12541</v>
      </c>
      <c r="D3680" s="154"/>
      <c r="E3680" s="154"/>
      <c r="F3680" s="180"/>
    </row>
    <row r="3681" customHeight="1" spans="1:6">
      <c r="A3681" s="9" t="s">
        <v>12542</v>
      </c>
      <c r="B3681" s="200" t="s">
        <v>12543</v>
      </c>
      <c r="C3681" s="202" t="s">
        <v>12544</v>
      </c>
      <c r="D3681" s="158" t="s">
        <v>12545</v>
      </c>
      <c r="E3681" s="154"/>
      <c r="F3681" s="180"/>
    </row>
    <row r="3682" customHeight="1" spans="1:6">
      <c r="A3682" s="9" t="s">
        <v>12546</v>
      </c>
      <c r="B3682" s="200" t="s">
        <v>12547</v>
      </c>
      <c r="C3682" s="192" t="s">
        <v>12548</v>
      </c>
      <c r="D3682" s="194"/>
      <c r="E3682" s="194" t="s">
        <v>273</v>
      </c>
      <c r="F3682" s="194"/>
    </row>
    <row r="3683" customHeight="1" spans="1:6">
      <c r="A3683" s="9" t="s">
        <v>12549</v>
      </c>
      <c r="B3683" s="200" t="s">
        <v>12550</v>
      </c>
      <c r="C3683" s="264" t="s">
        <v>12551</v>
      </c>
      <c r="D3683" s="194"/>
      <c r="E3683" s="194" t="s">
        <v>202</v>
      </c>
      <c r="F3683" s="194"/>
    </row>
    <row r="3684" customHeight="1" spans="1:6">
      <c r="A3684" s="9" t="s">
        <v>12552</v>
      </c>
      <c r="B3684" s="194" t="s">
        <v>12553</v>
      </c>
      <c r="C3684" s="202" t="s">
        <v>12554</v>
      </c>
      <c r="D3684" s="248"/>
      <c r="E3684" s="154" t="s">
        <v>104</v>
      </c>
      <c r="F3684" s="180"/>
    </row>
    <row r="3685" customHeight="1" spans="1:6">
      <c r="A3685" s="9" t="s">
        <v>12555</v>
      </c>
      <c r="B3685" s="194" t="s">
        <v>12556</v>
      </c>
      <c r="C3685" s="264" t="s">
        <v>12557</v>
      </c>
      <c r="D3685" s="194"/>
      <c r="E3685" s="194" t="s">
        <v>202</v>
      </c>
      <c r="F3685" s="194"/>
    </row>
    <row r="3686" customHeight="1" spans="1:6">
      <c r="A3686" s="9" t="s">
        <v>12558</v>
      </c>
      <c r="B3686" s="214" t="s">
        <v>12559</v>
      </c>
      <c r="C3686" s="214" t="s">
        <v>12560</v>
      </c>
      <c r="D3686" s="194"/>
      <c r="E3686" s="204" t="s">
        <v>92</v>
      </c>
      <c r="F3686" s="204"/>
    </row>
    <row r="3687" customHeight="1" spans="1:6">
      <c r="A3687" s="9" t="s">
        <v>12561</v>
      </c>
      <c r="B3687" s="160" t="s">
        <v>12562</v>
      </c>
      <c r="C3687" s="160" t="s">
        <v>12563</v>
      </c>
      <c r="D3687" s="204" t="s">
        <v>12564</v>
      </c>
      <c r="E3687" s="204" t="s">
        <v>92</v>
      </c>
      <c r="F3687" s="204"/>
    </row>
    <row r="3688" customHeight="1" spans="1:6">
      <c r="A3688" s="9" t="s">
        <v>12565</v>
      </c>
      <c r="B3688" s="160" t="s">
        <v>12566</v>
      </c>
      <c r="C3688" s="160" t="s">
        <v>12567</v>
      </c>
      <c r="D3688" s="204" t="s">
        <v>12568</v>
      </c>
      <c r="E3688" s="204" t="s">
        <v>92</v>
      </c>
      <c r="F3688" s="204"/>
    </row>
    <row r="3689" customHeight="1" spans="1:6">
      <c r="A3689" s="9" t="s">
        <v>12569</v>
      </c>
      <c r="B3689" s="214" t="s">
        <v>12570</v>
      </c>
      <c r="C3689" s="214" t="s">
        <v>12571</v>
      </c>
      <c r="D3689" s="194"/>
      <c r="E3689" s="204" t="s">
        <v>92</v>
      </c>
      <c r="F3689" s="204"/>
    </row>
    <row r="3690" customHeight="1" spans="1:6">
      <c r="A3690" s="9" t="s">
        <v>12572</v>
      </c>
      <c r="B3690" s="195" t="s">
        <v>12573</v>
      </c>
      <c r="C3690" s="202" t="s">
        <v>12574</v>
      </c>
      <c r="D3690" s="152"/>
      <c r="E3690" s="154" t="s">
        <v>211</v>
      </c>
      <c r="F3690" s="180"/>
    </row>
    <row r="3691" customHeight="1" spans="1:6">
      <c r="A3691" s="9" t="s">
        <v>12575</v>
      </c>
      <c r="B3691" s="215" t="s">
        <v>12576</v>
      </c>
      <c r="C3691" s="205" t="s">
        <v>12577</v>
      </c>
      <c r="D3691" s="244" t="s">
        <v>12578</v>
      </c>
      <c r="E3691" s="26" t="s">
        <v>92</v>
      </c>
      <c r="F3691" s="26" t="s">
        <v>12579</v>
      </c>
    </row>
    <row r="3692" customHeight="1" spans="1:6">
      <c r="A3692" s="9" t="s">
        <v>12580</v>
      </c>
      <c r="B3692" s="194" t="s">
        <v>12581</v>
      </c>
      <c r="C3692" s="264" t="s">
        <v>12582</v>
      </c>
      <c r="D3692" s="194"/>
      <c r="E3692" s="194" t="s">
        <v>202</v>
      </c>
      <c r="F3692" s="194"/>
    </row>
    <row r="3693" customHeight="1" spans="1:6">
      <c r="A3693" s="9" t="s">
        <v>12583</v>
      </c>
      <c r="B3693" s="200" t="s">
        <v>12584</v>
      </c>
      <c r="C3693" s="202" t="s">
        <v>12585</v>
      </c>
      <c r="D3693" s="152" t="s">
        <v>12586</v>
      </c>
      <c r="E3693" s="154" t="s">
        <v>232</v>
      </c>
      <c r="F3693" s="180"/>
    </row>
    <row r="3694" customHeight="1" spans="1:6">
      <c r="A3694" s="9" t="s">
        <v>12587</v>
      </c>
      <c r="B3694" s="215" t="s">
        <v>12588</v>
      </c>
      <c r="C3694" s="205" t="s">
        <v>12589</v>
      </c>
      <c r="D3694" s="244" t="s">
        <v>12590</v>
      </c>
      <c r="E3694" s="26" t="s">
        <v>92</v>
      </c>
      <c r="F3694" s="26" t="s">
        <v>12591</v>
      </c>
    </row>
    <row r="3695" customHeight="1" spans="1:6">
      <c r="A3695" s="9" t="s">
        <v>12592</v>
      </c>
      <c r="B3695" s="160" t="s">
        <v>12593</v>
      </c>
      <c r="C3695" s="160" t="s">
        <v>12594</v>
      </c>
      <c r="D3695" s="204" t="s">
        <v>12595</v>
      </c>
      <c r="E3695" s="204" t="s">
        <v>92</v>
      </c>
      <c r="F3695" s="204"/>
    </row>
    <row r="3696" customHeight="1" spans="1:6">
      <c r="A3696" s="9" t="s">
        <v>12596</v>
      </c>
      <c r="B3696" s="160" t="s">
        <v>12597</v>
      </c>
      <c r="C3696" s="160" t="s">
        <v>12598</v>
      </c>
      <c r="D3696" s="204" t="s">
        <v>12599</v>
      </c>
      <c r="E3696" s="204" t="s">
        <v>92</v>
      </c>
      <c r="F3696" s="204"/>
    </row>
    <row r="3697" customHeight="1" spans="1:6">
      <c r="A3697" s="9" t="s">
        <v>12600</v>
      </c>
      <c r="B3697" s="200" t="s">
        <v>12601</v>
      </c>
      <c r="C3697" s="192" t="s">
        <v>12602</v>
      </c>
      <c r="D3697" s="194" t="s">
        <v>12603</v>
      </c>
      <c r="E3697" s="194" t="s">
        <v>273</v>
      </c>
      <c r="F3697" s="194"/>
    </row>
    <row r="3698" customHeight="1" spans="1:6">
      <c r="A3698" s="9" t="s">
        <v>12604</v>
      </c>
      <c r="B3698" s="201" t="s">
        <v>12605</v>
      </c>
      <c r="C3698" s="202" t="s">
        <v>12606</v>
      </c>
      <c r="D3698" s="154"/>
      <c r="E3698" s="154" t="s">
        <v>211</v>
      </c>
      <c r="F3698" s="180"/>
    </row>
    <row r="3699" customHeight="1" spans="1:6">
      <c r="A3699" s="9" t="s">
        <v>12607</v>
      </c>
      <c r="B3699" s="195" t="s">
        <v>12608</v>
      </c>
      <c r="C3699" s="202" t="s">
        <v>12609</v>
      </c>
      <c r="D3699" s="152" t="s">
        <v>12610</v>
      </c>
      <c r="E3699" s="154" t="s">
        <v>232</v>
      </c>
      <c r="F3699" s="180"/>
    </row>
    <row r="3700" customHeight="1" spans="1:6">
      <c r="A3700" s="9" t="s">
        <v>12611</v>
      </c>
      <c r="B3700" s="205" t="s">
        <v>12612</v>
      </c>
      <c r="C3700" s="205" t="s">
        <v>12613</v>
      </c>
      <c r="D3700" s="206" t="s">
        <v>12614</v>
      </c>
      <c r="E3700" s="193" t="s">
        <v>120</v>
      </c>
      <c r="F3700" s="267"/>
    </row>
    <row r="3701" customHeight="1" spans="1:6">
      <c r="A3701" s="9" t="s">
        <v>12615</v>
      </c>
      <c r="B3701" s="223" t="s">
        <v>12616</v>
      </c>
      <c r="C3701" s="223" t="s">
        <v>12617</v>
      </c>
      <c r="D3701" s="204" t="s">
        <v>12618</v>
      </c>
      <c r="E3701" s="204" t="s">
        <v>92</v>
      </c>
      <c r="F3701" s="204"/>
    </row>
    <row r="3702" customHeight="1" spans="1:6">
      <c r="A3702" s="9" t="s">
        <v>12619</v>
      </c>
      <c r="B3702" s="271" t="s">
        <v>12620</v>
      </c>
      <c r="C3702" s="271" t="s">
        <v>12621</v>
      </c>
      <c r="D3702" s="272" t="s">
        <v>12622</v>
      </c>
      <c r="E3702" s="29" t="s">
        <v>1701</v>
      </c>
      <c r="F3702" s="331" t="s">
        <v>12623</v>
      </c>
    </row>
    <row r="3703" customHeight="1" spans="1:6">
      <c r="A3703" s="9" t="s">
        <v>12624</v>
      </c>
      <c r="B3703" s="160" t="s">
        <v>12625</v>
      </c>
      <c r="C3703" s="160" t="s">
        <v>12626</v>
      </c>
      <c r="D3703" s="204" t="s">
        <v>12627</v>
      </c>
      <c r="E3703" s="204" t="s">
        <v>92</v>
      </c>
      <c r="F3703" s="204"/>
    </row>
    <row r="3704" customHeight="1" spans="1:6">
      <c r="A3704" s="9" t="s">
        <v>12628</v>
      </c>
      <c r="B3704" s="160" t="s">
        <v>12629</v>
      </c>
      <c r="C3704" s="160" t="s">
        <v>12630</v>
      </c>
      <c r="D3704" s="204" t="s">
        <v>12631</v>
      </c>
      <c r="E3704" s="204" t="s">
        <v>92</v>
      </c>
      <c r="F3704" s="204"/>
    </row>
    <row r="3705" customHeight="1" spans="1:6">
      <c r="A3705" s="9" t="s">
        <v>12632</v>
      </c>
      <c r="B3705" s="219" t="s">
        <v>12633</v>
      </c>
      <c r="C3705" s="219" t="s">
        <v>12634</v>
      </c>
      <c r="D3705" s="194"/>
      <c r="E3705" s="204" t="s">
        <v>92</v>
      </c>
      <c r="F3705" s="204"/>
    </row>
    <row r="3706" customHeight="1" spans="1:6">
      <c r="A3706" s="9" t="s">
        <v>12635</v>
      </c>
      <c r="B3706" s="160" t="s">
        <v>12636</v>
      </c>
      <c r="C3706" s="160" t="s">
        <v>12637</v>
      </c>
      <c r="D3706" s="204" t="s">
        <v>12638</v>
      </c>
      <c r="E3706" s="204" t="s">
        <v>92</v>
      </c>
      <c r="F3706" s="204"/>
    </row>
    <row r="3707" customHeight="1" spans="1:6">
      <c r="A3707" s="9" t="s">
        <v>12639</v>
      </c>
      <c r="B3707" s="195" t="s">
        <v>12640</v>
      </c>
      <c r="C3707" s="196" t="s">
        <v>12641</v>
      </c>
      <c r="D3707" s="197"/>
      <c r="E3707" s="197" t="s">
        <v>202</v>
      </c>
      <c r="F3707" s="197"/>
    </row>
    <row r="3708" customHeight="1" spans="1:6">
      <c r="A3708" s="9" t="s">
        <v>12642</v>
      </c>
      <c r="B3708" s="200" t="s">
        <v>12643</v>
      </c>
      <c r="C3708" s="192" t="s">
        <v>12644</v>
      </c>
      <c r="D3708" s="194" t="s">
        <v>12645</v>
      </c>
      <c r="E3708" s="194" t="s">
        <v>273</v>
      </c>
      <c r="F3708" s="194"/>
    </row>
    <row r="3709" customHeight="1" spans="1:6">
      <c r="A3709" s="9" t="s">
        <v>12646</v>
      </c>
      <c r="B3709" s="225" t="s">
        <v>12647</v>
      </c>
      <c r="C3709" s="225" t="s">
        <v>12648</v>
      </c>
      <c r="D3709" s="343" t="s">
        <v>12649</v>
      </c>
      <c r="E3709" s="229" t="s">
        <v>120</v>
      </c>
      <c r="F3709" s="252" t="s">
        <v>12650</v>
      </c>
    </row>
    <row r="3710" customHeight="1" spans="1:6">
      <c r="A3710" s="9" t="s">
        <v>12651</v>
      </c>
      <c r="B3710" s="195" t="s">
        <v>12652</v>
      </c>
      <c r="C3710" s="202" t="s">
        <v>12653</v>
      </c>
      <c r="D3710" s="158" t="s">
        <v>12654</v>
      </c>
      <c r="E3710" s="154" t="s">
        <v>310</v>
      </c>
      <c r="F3710" s="180"/>
    </row>
    <row r="3711" customHeight="1" spans="1:6">
      <c r="A3711" s="9" t="s">
        <v>12655</v>
      </c>
      <c r="B3711" s="214" t="s">
        <v>12656</v>
      </c>
      <c r="C3711" s="214" t="s">
        <v>12657</v>
      </c>
      <c r="D3711" s="194"/>
      <c r="E3711" s="204" t="s">
        <v>92</v>
      </c>
      <c r="F3711" s="204"/>
    </row>
    <row r="3712" customHeight="1" spans="1:6">
      <c r="A3712" s="9" t="s">
        <v>12658</v>
      </c>
      <c r="B3712" s="195" t="s">
        <v>12659</v>
      </c>
      <c r="C3712" s="202" t="s">
        <v>12660</v>
      </c>
      <c r="D3712" s="152" t="s">
        <v>12661</v>
      </c>
      <c r="E3712" s="154" t="s">
        <v>232</v>
      </c>
      <c r="F3712" s="180"/>
    </row>
    <row r="3713" customHeight="1" spans="1:6">
      <c r="A3713" s="9" t="s">
        <v>12662</v>
      </c>
      <c r="B3713" s="201" t="s">
        <v>12663</v>
      </c>
      <c r="C3713" s="202" t="s">
        <v>12664</v>
      </c>
      <c r="D3713" s="154" t="s">
        <v>12665</v>
      </c>
      <c r="E3713" s="154" t="s">
        <v>58</v>
      </c>
      <c r="F3713" s="180"/>
    </row>
    <row r="3714" customHeight="1" spans="1:6">
      <c r="A3714" s="9" t="s">
        <v>12666</v>
      </c>
      <c r="B3714" s="197" t="s">
        <v>12667</v>
      </c>
      <c r="C3714" s="202" t="s">
        <v>12668</v>
      </c>
      <c r="D3714" s="248">
        <v>989070217</v>
      </c>
      <c r="E3714" s="154" t="s">
        <v>104</v>
      </c>
      <c r="F3714" s="180"/>
    </row>
    <row r="3715" customHeight="1" spans="1:6">
      <c r="A3715" s="9" t="s">
        <v>12669</v>
      </c>
      <c r="B3715" s="223" t="s">
        <v>12670</v>
      </c>
      <c r="C3715" s="223" t="s">
        <v>12671</v>
      </c>
      <c r="D3715" s="204" t="s">
        <v>12672</v>
      </c>
      <c r="E3715" s="204" t="s">
        <v>92</v>
      </c>
      <c r="F3715" s="204"/>
    </row>
    <row r="3716" customHeight="1" spans="1:6">
      <c r="A3716" s="9" t="s">
        <v>12673</v>
      </c>
      <c r="B3716" s="214" t="s">
        <v>12674</v>
      </c>
      <c r="C3716" s="214" t="s">
        <v>12675</v>
      </c>
      <c r="D3716" s="194"/>
      <c r="E3716" s="204" t="s">
        <v>92</v>
      </c>
      <c r="F3716" s="204"/>
    </row>
    <row r="3717" customHeight="1" spans="1:6">
      <c r="A3717" s="9" t="s">
        <v>12676</v>
      </c>
      <c r="B3717" s="214" t="s">
        <v>12677</v>
      </c>
      <c r="C3717" s="214" t="s">
        <v>12678</v>
      </c>
      <c r="D3717" s="194"/>
      <c r="E3717" s="204" t="s">
        <v>92</v>
      </c>
      <c r="F3717" s="204"/>
    </row>
    <row r="3718" customHeight="1" spans="1:6">
      <c r="A3718" s="9" t="s">
        <v>12679</v>
      </c>
      <c r="B3718" s="223" t="s">
        <v>12680</v>
      </c>
      <c r="C3718" s="223" t="s">
        <v>12681</v>
      </c>
      <c r="D3718" s="204" t="s">
        <v>12682</v>
      </c>
      <c r="E3718" s="204" t="s">
        <v>92</v>
      </c>
      <c r="F3718" s="204"/>
    </row>
    <row r="3719" customHeight="1" spans="1:6">
      <c r="A3719" s="9" t="s">
        <v>12683</v>
      </c>
      <c r="B3719" s="214" t="s">
        <v>12684</v>
      </c>
      <c r="C3719" s="214" t="s">
        <v>12685</v>
      </c>
      <c r="D3719" s="204" t="s">
        <v>12686</v>
      </c>
      <c r="E3719" s="204" t="s">
        <v>92</v>
      </c>
      <c r="F3719" s="204"/>
    </row>
    <row r="3720" customHeight="1" spans="1:6">
      <c r="A3720" s="9" t="s">
        <v>12687</v>
      </c>
      <c r="B3720" s="214" t="s">
        <v>12688</v>
      </c>
      <c r="C3720" s="214" t="s">
        <v>12689</v>
      </c>
      <c r="D3720" s="204" t="s">
        <v>12690</v>
      </c>
      <c r="E3720" s="204" t="s">
        <v>92</v>
      </c>
      <c r="F3720" s="204"/>
    </row>
    <row r="3721" customHeight="1" spans="1:6">
      <c r="A3721" s="9" t="s">
        <v>12691</v>
      </c>
      <c r="B3721" s="214" t="s">
        <v>12692</v>
      </c>
      <c r="C3721" s="214" t="s">
        <v>12693</v>
      </c>
      <c r="D3721" s="194"/>
      <c r="E3721" s="204" t="s">
        <v>92</v>
      </c>
      <c r="F3721" s="204"/>
    </row>
    <row r="3722" customHeight="1" spans="1:6">
      <c r="A3722" s="9" t="s">
        <v>12694</v>
      </c>
      <c r="B3722" s="223" t="s">
        <v>12695</v>
      </c>
      <c r="C3722" s="223" t="s">
        <v>12696</v>
      </c>
      <c r="D3722" s="204" t="s">
        <v>12697</v>
      </c>
      <c r="E3722" s="204" t="s">
        <v>92</v>
      </c>
      <c r="F3722" s="204"/>
    </row>
    <row r="3723" customHeight="1" spans="1:6">
      <c r="A3723" s="9" t="s">
        <v>12698</v>
      </c>
      <c r="B3723" s="214" t="s">
        <v>12699</v>
      </c>
      <c r="C3723" s="214" t="s">
        <v>12700</v>
      </c>
      <c r="D3723" s="204">
        <v>912421949</v>
      </c>
      <c r="E3723" s="204" t="s">
        <v>92</v>
      </c>
      <c r="F3723" s="204"/>
    </row>
    <row r="3724" customHeight="1" spans="1:6">
      <c r="A3724" s="9" t="s">
        <v>12701</v>
      </c>
      <c r="B3724" s="195" t="s">
        <v>12702</v>
      </c>
      <c r="C3724" s="212" t="s">
        <v>12703</v>
      </c>
      <c r="D3724" s="197" t="s">
        <v>12704</v>
      </c>
      <c r="E3724" s="154" t="s">
        <v>104</v>
      </c>
      <c r="F3724" s="199"/>
    </row>
    <row r="3725" customHeight="1" spans="1:6">
      <c r="A3725" s="9" t="s">
        <v>12705</v>
      </c>
      <c r="B3725" s="205" t="s">
        <v>12706</v>
      </c>
      <c r="C3725" s="205" t="s">
        <v>12707</v>
      </c>
      <c r="D3725" s="206" t="s">
        <v>12708</v>
      </c>
      <c r="E3725" s="193" t="s">
        <v>120</v>
      </c>
      <c r="F3725" s="221" t="s">
        <v>12709</v>
      </c>
    </row>
    <row r="3726" customHeight="1" spans="1:6">
      <c r="A3726" s="9" t="s">
        <v>12710</v>
      </c>
      <c r="B3726" s="219" t="s">
        <v>12711</v>
      </c>
      <c r="C3726" s="219" t="s">
        <v>12712</v>
      </c>
      <c r="D3726" s="194"/>
      <c r="E3726" s="204" t="s">
        <v>92</v>
      </c>
      <c r="F3726" s="204"/>
    </row>
    <row r="3727" customHeight="1" spans="1:6">
      <c r="A3727" s="9" t="s">
        <v>12713</v>
      </c>
      <c r="B3727" s="201" t="s">
        <v>12714</v>
      </c>
      <c r="C3727" s="202" t="s">
        <v>12715</v>
      </c>
      <c r="D3727" s="154"/>
      <c r="E3727" s="154" t="s">
        <v>202</v>
      </c>
      <c r="F3727" s="180"/>
    </row>
    <row r="3728" customHeight="1" spans="1:6">
      <c r="A3728" s="9" t="s">
        <v>12716</v>
      </c>
      <c r="B3728" s="215" t="s">
        <v>12717</v>
      </c>
      <c r="C3728" s="205" t="s">
        <v>12718</v>
      </c>
      <c r="D3728" s="227" t="s">
        <v>12719</v>
      </c>
      <c r="E3728" s="193" t="s">
        <v>120</v>
      </c>
      <c r="F3728" s="216" t="s">
        <v>12720</v>
      </c>
    </row>
    <row r="3729" customHeight="1" spans="1:6">
      <c r="A3729" s="9" t="s">
        <v>12721</v>
      </c>
      <c r="B3729" s="233" t="s">
        <v>12722</v>
      </c>
      <c r="C3729" s="233" t="s">
        <v>12723</v>
      </c>
      <c r="D3729" s="204" t="s">
        <v>12724</v>
      </c>
      <c r="E3729" s="204" t="s">
        <v>605</v>
      </c>
      <c r="F3729" s="204" t="s">
        <v>12725</v>
      </c>
    </row>
    <row r="3730" customHeight="1" spans="1:6">
      <c r="A3730" s="9" t="s">
        <v>12726</v>
      </c>
      <c r="B3730" s="205" t="s">
        <v>12727</v>
      </c>
      <c r="C3730" s="205" t="s">
        <v>12728</v>
      </c>
      <c r="D3730" s="206" t="s">
        <v>12729</v>
      </c>
      <c r="E3730" s="193" t="s">
        <v>120</v>
      </c>
      <c r="F3730" s="207" t="s">
        <v>12730</v>
      </c>
    </row>
    <row r="3731" customHeight="1" spans="1:6">
      <c r="A3731" s="9" t="s">
        <v>12731</v>
      </c>
      <c r="B3731" s="208" t="s">
        <v>12732</v>
      </c>
      <c r="C3731" s="208" t="s">
        <v>12733</v>
      </c>
      <c r="D3731" s="194"/>
      <c r="E3731" s="204" t="s">
        <v>92</v>
      </c>
      <c r="F3731" s="204"/>
    </row>
    <row r="3732" customHeight="1" spans="1:6">
      <c r="A3732" s="9" t="s">
        <v>12734</v>
      </c>
      <c r="B3732" s="208" t="s">
        <v>12735</v>
      </c>
      <c r="C3732" s="208" t="s">
        <v>12736</v>
      </c>
      <c r="D3732" s="194"/>
      <c r="E3732" s="204" t="s">
        <v>92</v>
      </c>
      <c r="F3732" s="204"/>
    </row>
    <row r="3733" customHeight="1" spans="1:6">
      <c r="A3733" s="9" t="s">
        <v>12737</v>
      </c>
      <c r="B3733" s="205" t="s">
        <v>12738</v>
      </c>
      <c r="C3733" s="205" t="s">
        <v>12739</v>
      </c>
      <c r="D3733" s="206" t="s">
        <v>12740</v>
      </c>
      <c r="E3733" s="193" t="s">
        <v>120</v>
      </c>
      <c r="F3733" s="221" t="s">
        <v>12741</v>
      </c>
    </row>
    <row r="3734" customHeight="1" spans="1:6">
      <c r="A3734" s="9" t="s">
        <v>12742</v>
      </c>
      <c r="B3734" s="160" t="s">
        <v>12743</v>
      </c>
      <c r="C3734" s="160" t="s">
        <v>12744</v>
      </c>
      <c r="D3734" s="204" t="s">
        <v>12745</v>
      </c>
      <c r="E3734" s="204" t="s">
        <v>92</v>
      </c>
      <c r="F3734" s="204"/>
    </row>
    <row r="3735" customHeight="1" spans="1:6">
      <c r="A3735" s="9" t="s">
        <v>12746</v>
      </c>
      <c r="B3735" s="223" t="s">
        <v>12747</v>
      </c>
      <c r="C3735" s="223" t="s">
        <v>12748</v>
      </c>
      <c r="D3735" s="204" t="s">
        <v>12749</v>
      </c>
      <c r="E3735" s="204" t="s">
        <v>92</v>
      </c>
      <c r="F3735" s="204"/>
    </row>
    <row r="3736" customHeight="1" spans="1:6">
      <c r="A3736" s="9" t="s">
        <v>12750</v>
      </c>
      <c r="B3736" s="166" t="str">
        <f>IFERROR(__xludf.DUMMYFUNCTION("""COMPUTED_VALUE"""),"Behailu Teklemariam Tesfalidet")</f>
        <v>Behailu Teklemariam Tesfalidet</v>
      </c>
      <c r="C3736" s="166" t="str">
        <f>IFERROR(__xludf.DUMMYFUNCTION("""COMPUTED_VALUE"""),"በሀይሉ ተ/ማርያም ተስፋልደት")</f>
        <v>በሀይሉ ተ/ማርያም ተስፋልደት</v>
      </c>
      <c r="D3736" s="166" t="str">
        <f>IFERROR(__xludf.DUMMYFUNCTION("""COMPUTED_VALUE"""),"911648474")</f>
        <v>911648474</v>
      </c>
      <c r="E3736" s="166" t="str">
        <f>IFERROR(__xludf.DUMMYFUNCTION("""COMPUTED_VALUE"""),"addis abeba")</f>
        <v>addis abeba</v>
      </c>
      <c r="F3736" s="166"/>
    </row>
    <row r="3737" customHeight="1" spans="1:6">
      <c r="A3737" s="9" t="s">
        <v>12751</v>
      </c>
      <c r="B3737" s="276" t="str">
        <f>IFERROR(__xludf.DUMMYFUNCTION("""COMPUTED_VALUE"""),"Beidula G/Gergis G/Egziabhier w/o")</f>
        <v>Beidula G/Gergis G/Egziabhier w/o</v>
      </c>
      <c r="C3737" s="276" t="str">
        <f>IFERROR(__xludf.DUMMYFUNCTION("""COMPUTED_VALUE"""),"ብዕዱላ ገ/ጊወርጊስ ገ/እግዚአብሄር ወ/ሮ")</f>
        <v>ብዕዱላ ገ/ጊወርጊስ ገ/እግዚአብሄር ወ/ሮ</v>
      </c>
      <c r="D3737" s="276" t="str">
        <f>IFERROR(__xludf.DUMMYFUNCTION("""COMPUTED_VALUE"""),"0949-465158
0914-176364")</f>
        <v>0949-465158
0914-176364</v>
      </c>
      <c r="E3737" s="276" t="str">
        <f>IFERROR(__xludf.DUMMYFUNCTION("""COMPUTED_VALUE"""),"Addis Ababa")</f>
        <v>Addis Ababa</v>
      </c>
      <c r="F3737" s="276"/>
    </row>
    <row r="3738" customHeight="1" spans="1:6">
      <c r="A3738" s="9" t="s">
        <v>12752</v>
      </c>
      <c r="B3738" s="223" t="s">
        <v>12753</v>
      </c>
      <c r="C3738" s="223" t="s">
        <v>12754</v>
      </c>
      <c r="D3738" s="204" t="s">
        <v>12755</v>
      </c>
      <c r="E3738" s="173" t="s">
        <v>605</v>
      </c>
      <c r="F3738" s="234"/>
    </row>
    <row r="3739" customHeight="1" spans="1:6">
      <c r="A3739" s="9" t="s">
        <v>12756</v>
      </c>
      <c r="B3739" s="259" t="s">
        <v>12757</v>
      </c>
      <c r="C3739" s="259" t="s">
        <v>12758</v>
      </c>
      <c r="D3739" s="204" t="s">
        <v>9047</v>
      </c>
      <c r="E3739" s="204" t="s">
        <v>92</v>
      </c>
      <c r="F3739" s="204"/>
    </row>
    <row r="3740" customHeight="1" spans="1:6">
      <c r="A3740" s="9" t="s">
        <v>12759</v>
      </c>
      <c r="B3740" s="223" t="s">
        <v>12760</v>
      </c>
      <c r="C3740" s="223" t="s">
        <v>12761</v>
      </c>
      <c r="D3740" s="204" t="s">
        <v>12762</v>
      </c>
      <c r="E3740" s="204" t="s">
        <v>92</v>
      </c>
      <c r="F3740" s="204" t="s">
        <v>12763</v>
      </c>
    </row>
    <row r="3741" customHeight="1" spans="1:6">
      <c r="A3741" s="9" t="s">
        <v>12764</v>
      </c>
      <c r="B3741" s="280" t="s">
        <v>12765</v>
      </c>
      <c r="C3741" s="202" t="s">
        <v>12766</v>
      </c>
      <c r="D3741" s="153"/>
      <c r="E3741" s="180" t="s">
        <v>104</v>
      </c>
      <c r="F3741" s="180"/>
    </row>
    <row r="3742" customHeight="1" spans="1:6">
      <c r="A3742" s="9" t="s">
        <v>12767</v>
      </c>
      <c r="B3742" s="197" t="s">
        <v>12768</v>
      </c>
      <c r="C3742" s="202" t="s">
        <v>12769</v>
      </c>
      <c r="D3742" s="158">
        <v>931896780</v>
      </c>
      <c r="E3742" s="158" t="s">
        <v>216</v>
      </c>
      <c r="F3742" s="153"/>
    </row>
    <row r="3743" customHeight="1" spans="1:6">
      <c r="A3743" s="9" t="s">
        <v>12770</v>
      </c>
      <c r="B3743" s="195" t="s">
        <v>12771</v>
      </c>
      <c r="C3743" s="212" t="s">
        <v>12772</v>
      </c>
      <c r="D3743" s="197" t="s">
        <v>12773</v>
      </c>
      <c r="E3743" s="198" t="s">
        <v>216</v>
      </c>
      <c r="F3743" s="199"/>
    </row>
    <row r="3744" customHeight="1" spans="1:6">
      <c r="A3744" s="9" t="s">
        <v>12774</v>
      </c>
      <c r="B3744" s="200" t="s">
        <v>12775</v>
      </c>
      <c r="C3744" s="202" t="s">
        <v>12776</v>
      </c>
      <c r="D3744" s="152"/>
      <c r="E3744" s="154" t="s">
        <v>232</v>
      </c>
      <c r="F3744" s="180"/>
    </row>
    <row r="3745" customHeight="1" spans="1:6">
      <c r="A3745" s="9" t="s">
        <v>12777</v>
      </c>
      <c r="B3745" s="195" t="s">
        <v>12778</v>
      </c>
      <c r="C3745" s="202" t="s">
        <v>12779</v>
      </c>
      <c r="D3745" s="152" t="s">
        <v>12780</v>
      </c>
      <c r="E3745" s="154"/>
      <c r="F3745" s="180"/>
    </row>
    <row r="3746" customHeight="1" spans="1:6">
      <c r="A3746" s="9" t="s">
        <v>12781</v>
      </c>
      <c r="B3746" s="214" t="s">
        <v>12782</v>
      </c>
      <c r="C3746" s="214" t="s">
        <v>12783</v>
      </c>
      <c r="D3746" s="194"/>
      <c r="E3746" s="204" t="s">
        <v>92</v>
      </c>
      <c r="F3746" s="204"/>
    </row>
    <row r="3747" customHeight="1" spans="1:6">
      <c r="A3747" s="9" t="s">
        <v>12784</v>
      </c>
      <c r="B3747" s="205" t="s">
        <v>12785</v>
      </c>
      <c r="C3747" s="205" t="s">
        <v>12786</v>
      </c>
      <c r="D3747" s="206" t="s">
        <v>12787</v>
      </c>
      <c r="E3747" s="193" t="s">
        <v>120</v>
      </c>
      <c r="F3747" s="239" t="s">
        <v>12788</v>
      </c>
    </row>
    <row r="3748" customHeight="1" spans="1:6">
      <c r="A3748" s="9" t="s">
        <v>12789</v>
      </c>
      <c r="B3748" s="200" t="s">
        <v>12790</v>
      </c>
      <c r="C3748" s="202" t="s">
        <v>12791</v>
      </c>
      <c r="D3748" s="152"/>
      <c r="E3748" s="154" t="s">
        <v>232</v>
      </c>
      <c r="F3748" s="180"/>
    </row>
    <row r="3749" customHeight="1" spans="1:6">
      <c r="A3749" s="9" t="s">
        <v>12792</v>
      </c>
      <c r="B3749" s="195" t="s">
        <v>12793</v>
      </c>
      <c r="C3749" s="212" t="s">
        <v>12794</v>
      </c>
      <c r="D3749" s="197" t="s">
        <v>12795</v>
      </c>
      <c r="E3749" s="198" t="s">
        <v>216</v>
      </c>
      <c r="F3749" s="199"/>
    </row>
    <row r="3750" customHeight="1" spans="1:6">
      <c r="A3750" s="9" t="s">
        <v>12796</v>
      </c>
      <c r="B3750" s="200" t="s">
        <v>12797</v>
      </c>
      <c r="C3750" s="202" t="s">
        <v>12798</v>
      </c>
      <c r="D3750" s="154">
        <v>995198216</v>
      </c>
      <c r="E3750" s="154" t="s">
        <v>104</v>
      </c>
      <c r="F3750" s="180"/>
    </row>
    <row r="3751" customHeight="1" spans="1:6">
      <c r="A3751" s="9" t="s">
        <v>12799</v>
      </c>
      <c r="B3751" s="195" t="s">
        <v>12800</v>
      </c>
      <c r="C3751" s="202" t="s">
        <v>12801</v>
      </c>
      <c r="D3751" s="152" t="s">
        <v>12802</v>
      </c>
      <c r="E3751" s="154"/>
      <c r="F3751" s="180"/>
    </row>
    <row r="3752" customHeight="1" spans="1:6">
      <c r="A3752" s="9" t="s">
        <v>12803</v>
      </c>
      <c r="B3752" s="200" t="s">
        <v>12804</v>
      </c>
      <c r="C3752" s="202" t="s">
        <v>12805</v>
      </c>
      <c r="D3752" s="152" t="s">
        <v>12806</v>
      </c>
      <c r="E3752" s="154" t="s">
        <v>104</v>
      </c>
      <c r="F3752" s="180"/>
    </row>
    <row r="3753" customHeight="1" spans="1:6">
      <c r="A3753" s="9" t="s">
        <v>12807</v>
      </c>
      <c r="B3753" s="214" t="s">
        <v>12808</v>
      </c>
      <c r="C3753" s="214" t="s">
        <v>12809</v>
      </c>
      <c r="D3753" s="194"/>
      <c r="E3753" s="204" t="s">
        <v>92</v>
      </c>
      <c r="F3753" s="204"/>
    </row>
    <row r="3754" customHeight="1" spans="1:6">
      <c r="A3754" s="9" t="s">
        <v>12810</v>
      </c>
      <c r="B3754" s="195" t="s">
        <v>12811</v>
      </c>
      <c r="C3754" s="196" t="s">
        <v>12812</v>
      </c>
      <c r="D3754" s="197" t="s">
        <v>12813</v>
      </c>
      <c r="E3754" s="198" t="s">
        <v>216</v>
      </c>
      <c r="F3754" s="199"/>
    </row>
    <row r="3755" customHeight="1" spans="1:6">
      <c r="A3755" s="9" t="s">
        <v>12814</v>
      </c>
      <c r="B3755" s="200" t="s">
        <v>12815</v>
      </c>
      <c r="C3755" s="192" t="s">
        <v>12816</v>
      </c>
      <c r="D3755" s="194"/>
      <c r="E3755" s="194" t="s">
        <v>273</v>
      </c>
      <c r="F3755" s="194"/>
    </row>
    <row r="3756" customHeight="1" spans="1:6">
      <c r="A3756" s="9" t="s">
        <v>12817</v>
      </c>
      <c r="B3756" s="195" t="s">
        <v>12818</v>
      </c>
      <c r="C3756" s="202" t="s">
        <v>12819</v>
      </c>
      <c r="D3756" s="152" t="s">
        <v>12820</v>
      </c>
      <c r="E3756" s="154" t="s">
        <v>232</v>
      </c>
      <c r="F3756" s="180"/>
    </row>
    <row r="3757" customHeight="1" spans="1:6">
      <c r="A3757" s="9" t="s">
        <v>12821</v>
      </c>
      <c r="B3757" s="200" t="s">
        <v>12822</v>
      </c>
      <c r="C3757" s="202" t="s">
        <v>12823</v>
      </c>
      <c r="D3757" s="152"/>
      <c r="E3757" s="154" t="s">
        <v>104</v>
      </c>
      <c r="F3757" s="180"/>
    </row>
    <row r="3758" customHeight="1" spans="1:6">
      <c r="A3758" s="9" t="s">
        <v>12824</v>
      </c>
      <c r="B3758" s="214" t="s">
        <v>12825</v>
      </c>
      <c r="C3758" s="214" t="s">
        <v>12826</v>
      </c>
      <c r="D3758" s="194"/>
      <c r="E3758" s="204" t="s">
        <v>92</v>
      </c>
      <c r="F3758" s="204"/>
    </row>
    <row r="3759" customHeight="1" spans="1:6">
      <c r="A3759" s="9" t="s">
        <v>12827</v>
      </c>
      <c r="B3759" s="214" t="s">
        <v>12828</v>
      </c>
      <c r="C3759" s="214" t="s">
        <v>12829</v>
      </c>
      <c r="D3759" s="194"/>
      <c r="E3759" s="204" t="s">
        <v>92</v>
      </c>
      <c r="F3759" s="204"/>
    </row>
    <row r="3760" customHeight="1" spans="1:6">
      <c r="A3760" s="9" t="s">
        <v>12830</v>
      </c>
      <c r="B3760" s="280" t="s">
        <v>12831</v>
      </c>
      <c r="C3760" s="202" t="s">
        <v>12832</v>
      </c>
      <c r="D3760" s="153">
        <v>923042383</v>
      </c>
      <c r="E3760" s="180" t="s">
        <v>104</v>
      </c>
      <c r="F3760" s="180"/>
    </row>
    <row r="3761" customHeight="1" spans="1:6">
      <c r="A3761" s="9" t="s">
        <v>12833</v>
      </c>
      <c r="B3761" s="195" t="s">
        <v>12834</v>
      </c>
      <c r="C3761" s="196" t="s">
        <v>12835</v>
      </c>
      <c r="D3761" s="197"/>
      <c r="E3761" s="197" t="s">
        <v>273</v>
      </c>
      <c r="F3761" s="197"/>
    </row>
    <row r="3762" customHeight="1" spans="1:6">
      <c r="A3762" s="9" t="s">
        <v>12836</v>
      </c>
      <c r="B3762" s="200" t="s">
        <v>12837</v>
      </c>
      <c r="C3762" s="236" t="s">
        <v>12838</v>
      </c>
      <c r="D3762" s="194"/>
      <c r="E3762" s="193" t="s">
        <v>216</v>
      </c>
      <c r="F3762" s="191"/>
    </row>
    <row r="3763" customHeight="1" spans="1:6">
      <c r="A3763" s="9" t="s">
        <v>12839</v>
      </c>
      <c r="B3763" s="153" t="s">
        <v>12840</v>
      </c>
      <c r="C3763" s="202" t="s">
        <v>12841</v>
      </c>
      <c r="D3763" s="154">
        <v>962923317</v>
      </c>
      <c r="E3763" s="154" t="s">
        <v>104</v>
      </c>
      <c r="F3763" s="180"/>
    </row>
    <row r="3764" customHeight="1" spans="1:6">
      <c r="A3764" s="9" t="s">
        <v>12842</v>
      </c>
      <c r="B3764" s="214" t="s">
        <v>12843</v>
      </c>
      <c r="C3764" s="214" t="s">
        <v>12844</v>
      </c>
      <c r="D3764" s="194"/>
      <c r="E3764" s="204" t="s">
        <v>92</v>
      </c>
      <c r="F3764" s="204"/>
    </row>
    <row r="3765" customHeight="1" spans="1:6">
      <c r="A3765" s="9" t="s">
        <v>12845</v>
      </c>
      <c r="B3765" s="194" t="s">
        <v>12846</v>
      </c>
      <c r="C3765" s="203" t="s">
        <v>12847</v>
      </c>
      <c r="D3765" s="197" t="s">
        <v>12848</v>
      </c>
      <c r="E3765" s="197" t="s">
        <v>253</v>
      </c>
      <c r="F3765" s="197"/>
    </row>
    <row r="3766" customHeight="1" spans="1:6">
      <c r="A3766" s="9" t="s">
        <v>12849</v>
      </c>
      <c r="B3766" s="195" t="s">
        <v>12850</v>
      </c>
      <c r="C3766" s="196" t="s">
        <v>12851</v>
      </c>
      <c r="D3766" s="197"/>
      <c r="E3766" s="197" t="s">
        <v>202</v>
      </c>
      <c r="F3766" s="197"/>
    </row>
    <row r="3767" customHeight="1" spans="1:6">
      <c r="A3767" s="9" t="s">
        <v>12852</v>
      </c>
      <c r="B3767" s="195" t="s">
        <v>12853</v>
      </c>
      <c r="C3767" s="202" t="s">
        <v>12854</v>
      </c>
      <c r="D3767" s="152" t="s">
        <v>12855</v>
      </c>
      <c r="E3767" s="154" t="s">
        <v>211</v>
      </c>
      <c r="F3767" s="180"/>
    </row>
    <row r="3768" customHeight="1" spans="1:6">
      <c r="A3768" s="9" t="s">
        <v>12856</v>
      </c>
      <c r="B3768" s="195" t="s">
        <v>12857</v>
      </c>
      <c r="C3768" s="196" t="s">
        <v>12858</v>
      </c>
      <c r="D3768" s="197" t="s">
        <v>12859</v>
      </c>
      <c r="E3768" s="197"/>
      <c r="F3768" s="197"/>
    </row>
    <row r="3769" customHeight="1" spans="1:6">
      <c r="A3769" s="9" t="s">
        <v>12860</v>
      </c>
      <c r="B3769" s="200" t="s">
        <v>12861</v>
      </c>
      <c r="C3769" s="202" t="s">
        <v>12862</v>
      </c>
      <c r="D3769" s="152" t="s">
        <v>12863</v>
      </c>
      <c r="E3769" s="154" t="s">
        <v>181</v>
      </c>
      <c r="F3769" s="180"/>
    </row>
    <row r="3770" customHeight="1" spans="1:6">
      <c r="A3770" s="9" t="s">
        <v>12864</v>
      </c>
      <c r="B3770" s="195" t="s">
        <v>12865</v>
      </c>
      <c r="C3770" s="202" t="s">
        <v>12866</v>
      </c>
      <c r="D3770" s="152"/>
      <c r="E3770" s="154" t="s">
        <v>232</v>
      </c>
      <c r="F3770" s="180"/>
    </row>
    <row r="3771" customHeight="1" spans="1:6">
      <c r="A3771" s="9" t="s">
        <v>12867</v>
      </c>
      <c r="B3771" s="195" t="s">
        <v>12868</v>
      </c>
      <c r="C3771" s="212" t="s">
        <v>12869</v>
      </c>
      <c r="D3771" s="197" t="s">
        <v>12870</v>
      </c>
      <c r="E3771" s="198" t="s">
        <v>202</v>
      </c>
      <c r="F3771" s="199"/>
    </row>
    <row r="3772" customHeight="1" spans="1:6">
      <c r="A3772" s="9" t="s">
        <v>12871</v>
      </c>
      <c r="B3772" s="219" t="s">
        <v>12872</v>
      </c>
      <c r="C3772" s="219" t="s">
        <v>12873</v>
      </c>
      <c r="D3772" s="194"/>
      <c r="E3772" s="204" t="s">
        <v>92</v>
      </c>
      <c r="F3772" s="204"/>
    </row>
    <row r="3773" customHeight="1" spans="1:6">
      <c r="A3773" s="9" t="s">
        <v>12874</v>
      </c>
      <c r="B3773" s="200" t="s">
        <v>12875</v>
      </c>
      <c r="C3773" s="264" t="s">
        <v>12876</v>
      </c>
      <c r="D3773" s="194"/>
      <c r="E3773" s="194" t="s">
        <v>202</v>
      </c>
      <c r="F3773" s="194"/>
    </row>
    <row r="3774" customHeight="1" spans="1:6">
      <c r="A3774" s="9" t="s">
        <v>12877</v>
      </c>
      <c r="B3774" s="195" t="s">
        <v>12878</v>
      </c>
      <c r="C3774" s="196" t="s">
        <v>12879</v>
      </c>
      <c r="D3774" s="197"/>
      <c r="E3774" s="197" t="s">
        <v>202</v>
      </c>
      <c r="F3774" s="197"/>
    </row>
    <row r="3775" customHeight="1" spans="1:6">
      <c r="A3775" s="9" t="s">
        <v>12880</v>
      </c>
      <c r="B3775" s="215" t="s">
        <v>12881</v>
      </c>
      <c r="C3775" s="205" t="s">
        <v>12882</v>
      </c>
      <c r="D3775" s="244" t="s">
        <v>12883</v>
      </c>
      <c r="E3775" s="26" t="s">
        <v>92</v>
      </c>
      <c r="F3775" s="26"/>
    </row>
    <row r="3776" customHeight="1" spans="1:6">
      <c r="A3776" s="9" t="s">
        <v>12884</v>
      </c>
      <c r="B3776" s="197" t="s">
        <v>12885</v>
      </c>
      <c r="C3776" s="254" t="s">
        <v>12886</v>
      </c>
      <c r="D3776" s="197"/>
      <c r="E3776" s="197" t="s">
        <v>202</v>
      </c>
      <c r="F3776" s="197"/>
    </row>
    <row r="3777" customHeight="1" spans="1:6">
      <c r="A3777" s="9" t="s">
        <v>12887</v>
      </c>
      <c r="B3777" s="195" t="s">
        <v>12888</v>
      </c>
      <c r="C3777" s="212" t="s">
        <v>12889</v>
      </c>
      <c r="D3777" s="197" t="s">
        <v>12890</v>
      </c>
      <c r="E3777" s="198" t="s">
        <v>216</v>
      </c>
      <c r="F3777" s="199"/>
    </row>
    <row r="3778" customHeight="1" spans="1:6">
      <c r="A3778" s="9" t="s">
        <v>12891</v>
      </c>
      <c r="B3778" s="201" t="s">
        <v>12892</v>
      </c>
      <c r="C3778" s="202" t="s">
        <v>12893</v>
      </c>
      <c r="D3778" s="154"/>
      <c r="E3778" s="154" t="s">
        <v>243</v>
      </c>
      <c r="F3778" s="180"/>
    </row>
    <row r="3779" customHeight="1" spans="1:6">
      <c r="A3779" s="9" t="s">
        <v>12894</v>
      </c>
      <c r="B3779" s="195" t="s">
        <v>12895</v>
      </c>
      <c r="C3779" s="202" t="s">
        <v>12896</v>
      </c>
      <c r="D3779" s="158" t="s">
        <v>12897</v>
      </c>
      <c r="E3779" s="154" t="s">
        <v>243</v>
      </c>
      <c r="F3779" s="180"/>
    </row>
    <row r="3780" customHeight="1" spans="1:6">
      <c r="A3780" s="9" t="s">
        <v>12898</v>
      </c>
      <c r="B3780" s="197" t="s">
        <v>12899</v>
      </c>
      <c r="C3780" s="202" t="s">
        <v>12900</v>
      </c>
      <c r="D3780" s="158"/>
      <c r="E3780" s="158" t="s">
        <v>1218</v>
      </c>
      <c r="F3780" s="153"/>
    </row>
    <row r="3781" customHeight="1" spans="1:6">
      <c r="A3781" s="9" t="s">
        <v>12901</v>
      </c>
      <c r="B3781" s="215" t="s">
        <v>12902</v>
      </c>
      <c r="C3781" s="205" t="s">
        <v>12903</v>
      </c>
      <c r="D3781" s="244" t="s">
        <v>12904</v>
      </c>
      <c r="E3781" s="26" t="s">
        <v>92</v>
      </c>
      <c r="F3781" s="26"/>
    </row>
    <row r="3782" customHeight="1" spans="1:6">
      <c r="A3782" s="9" t="s">
        <v>12905</v>
      </c>
      <c r="B3782" s="219" t="s">
        <v>12906</v>
      </c>
      <c r="C3782" s="219" t="s">
        <v>12907</v>
      </c>
      <c r="D3782" s="194"/>
      <c r="E3782" s="204" t="s">
        <v>92</v>
      </c>
      <c r="F3782" s="204"/>
    </row>
    <row r="3783" customHeight="1" spans="1:6">
      <c r="A3783" s="9" t="s">
        <v>12908</v>
      </c>
      <c r="B3783" s="201" t="s">
        <v>12909</v>
      </c>
      <c r="C3783" s="202" t="s">
        <v>12910</v>
      </c>
      <c r="D3783" s="154" t="s">
        <v>12911</v>
      </c>
      <c r="E3783" s="154" t="s">
        <v>243</v>
      </c>
      <c r="F3783" s="180"/>
    </row>
    <row r="3784" customHeight="1" spans="1:6">
      <c r="A3784" s="9" t="s">
        <v>12912</v>
      </c>
      <c r="B3784" s="201" t="s">
        <v>12913</v>
      </c>
      <c r="C3784" s="202" t="s">
        <v>12914</v>
      </c>
      <c r="D3784" s="154">
        <v>929182493</v>
      </c>
      <c r="E3784" s="154" t="s">
        <v>211</v>
      </c>
      <c r="F3784" s="180"/>
    </row>
    <row r="3785" customHeight="1" spans="1:6">
      <c r="A3785" s="9" t="s">
        <v>12915</v>
      </c>
      <c r="B3785" s="194" t="s">
        <v>12916</v>
      </c>
      <c r="C3785" s="246" t="s">
        <v>12917</v>
      </c>
      <c r="D3785" s="194"/>
      <c r="E3785" s="194" t="s">
        <v>243</v>
      </c>
      <c r="F3785" s="194"/>
    </row>
    <row r="3786" customHeight="1" spans="1:6">
      <c r="A3786" s="9" t="s">
        <v>12918</v>
      </c>
      <c r="B3786" s="195" t="s">
        <v>12919</v>
      </c>
      <c r="C3786" s="202" t="s">
        <v>12920</v>
      </c>
      <c r="D3786" s="152" t="s">
        <v>12921</v>
      </c>
      <c r="E3786" s="154"/>
      <c r="F3786" s="180"/>
    </row>
    <row r="3787" customHeight="1" spans="1:6">
      <c r="A3787" s="9" t="s">
        <v>12922</v>
      </c>
      <c r="B3787" s="201" t="s">
        <v>12923</v>
      </c>
      <c r="C3787" s="202" t="s">
        <v>12924</v>
      </c>
      <c r="D3787" s="154">
        <v>949031167</v>
      </c>
      <c r="E3787" s="154" t="s">
        <v>211</v>
      </c>
      <c r="F3787" s="180"/>
    </row>
    <row r="3788" customHeight="1" spans="1:6">
      <c r="A3788" s="9" t="s">
        <v>12925</v>
      </c>
      <c r="B3788" s="201" t="s">
        <v>12926</v>
      </c>
      <c r="C3788" s="202" t="s">
        <v>12927</v>
      </c>
      <c r="D3788" s="154"/>
      <c r="E3788" s="154" t="s">
        <v>243</v>
      </c>
      <c r="F3788" s="180"/>
    </row>
    <row r="3789" customHeight="1" spans="1:6">
      <c r="A3789" s="9" t="s">
        <v>12928</v>
      </c>
      <c r="B3789" s="201" t="s">
        <v>12929</v>
      </c>
      <c r="C3789" s="202" t="s">
        <v>12930</v>
      </c>
      <c r="D3789" s="154">
        <v>908857814</v>
      </c>
      <c r="E3789" s="154" t="s">
        <v>211</v>
      </c>
      <c r="F3789" s="180"/>
    </row>
    <row r="3790" customHeight="1" spans="1:6">
      <c r="A3790" s="9" t="s">
        <v>12931</v>
      </c>
      <c r="B3790" s="200" t="s">
        <v>12932</v>
      </c>
      <c r="C3790" s="192" t="s">
        <v>12933</v>
      </c>
      <c r="D3790" s="194"/>
      <c r="E3790" s="193" t="s">
        <v>202</v>
      </c>
      <c r="F3790" s="191"/>
    </row>
    <row r="3791" customHeight="1" spans="1:6">
      <c r="A3791" s="9" t="s">
        <v>12934</v>
      </c>
      <c r="B3791" s="200" t="s">
        <v>12935</v>
      </c>
      <c r="C3791" s="236" t="s">
        <v>12936</v>
      </c>
      <c r="D3791" s="194"/>
      <c r="E3791" s="193" t="s">
        <v>202</v>
      </c>
      <c r="F3791" s="191"/>
    </row>
    <row r="3792" customHeight="1" spans="1:6">
      <c r="A3792" s="9" t="s">
        <v>12937</v>
      </c>
      <c r="B3792" s="201" t="s">
        <v>12938</v>
      </c>
      <c r="C3792" s="202" t="s">
        <v>12939</v>
      </c>
      <c r="D3792" s="154" t="s">
        <v>12940</v>
      </c>
      <c r="E3792" s="210" t="s">
        <v>104</v>
      </c>
      <c r="F3792" s="211"/>
    </row>
    <row r="3793" customHeight="1" spans="1:6">
      <c r="A3793" s="9" t="s">
        <v>12941</v>
      </c>
      <c r="B3793" s="201" t="s">
        <v>12942</v>
      </c>
      <c r="C3793" s="202" t="s">
        <v>12943</v>
      </c>
      <c r="D3793" s="154" t="s">
        <v>12944</v>
      </c>
      <c r="E3793" s="154" t="s">
        <v>211</v>
      </c>
      <c r="F3793" s="180"/>
    </row>
    <row r="3794" customHeight="1" spans="1:6">
      <c r="A3794" s="9" t="s">
        <v>12945</v>
      </c>
      <c r="B3794" s="200" t="s">
        <v>12946</v>
      </c>
      <c r="C3794" s="202" t="s">
        <v>12947</v>
      </c>
      <c r="D3794" s="154"/>
      <c r="E3794" s="154" t="s">
        <v>181</v>
      </c>
      <c r="F3794" s="180"/>
    </row>
    <row r="3795" customHeight="1" spans="1:6">
      <c r="A3795" s="9" t="s">
        <v>12948</v>
      </c>
      <c r="B3795" s="195" t="s">
        <v>12946</v>
      </c>
      <c r="C3795" s="196" t="s">
        <v>12949</v>
      </c>
      <c r="D3795" s="197" t="s">
        <v>12950</v>
      </c>
      <c r="E3795" s="197" t="s">
        <v>186</v>
      </c>
      <c r="F3795" s="197"/>
    </row>
    <row r="3796" customHeight="1" spans="1:6">
      <c r="A3796" s="9" t="s">
        <v>12951</v>
      </c>
      <c r="B3796" s="200" t="s">
        <v>12952</v>
      </c>
      <c r="C3796" s="202" t="s">
        <v>12953</v>
      </c>
      <c r="D3796" s="152" t="s">
        <v>12954</v>
      </c>
      <c r="E3796" s="154" t="s">
        <v>211</v>
      </c>
      <c r="F3796" s="180"/>
    </row>
    <row r="3797" customHeight="1" spans="1:6">
      <c r="A3797" s="9" t="s">
        <v>12955</v>
      </c>
      <c r="B3797" s="201" t="s">
        <v>12956</v>
      </c>
      <c r="C3797" s="202" t="s">
        <v>12957</v>
      </c>
      <c r="D3797" s="154"/>
      <c r="E3797" s="154" t="s">
        <v>310</v>
      </c>
      <c r="F3797" s="180"/>
    </row>
    <row r="3798" customHeight="1" spans="1:6">
      <c r="A3798" s="9" t="s">
        <v>12958</v>
      </c>
      <c r="B3798" s="200" t="s">
        <v>12959</v>
      </c>
      <c r="C3798" s="202" t="s">
        <v>12960</v>
      </c>
      <c r="D3798" s="152"/>
      <c r="E3798" s="154" t="s">
        <v>211</v>
      </c>
      <c r="F3798" s="180"/>
    </row>
    <row r="3799" customHeight="1" spans="1:6">
      <c r="A3799" s="9" t="s">
        <v>12961</v>
      </c>
      <c r="B3799" s="195" t="s">
        <v>12962</v>
      </c>
      <c r="C3799" s="202" t="s">
        <v>12963</v>
      </c>
      <c r="D3799" s="248"/>
      <c r="E3799" s="158" t="s">
        <v>243</v>
      </c>
      <c r="F3799" s="153"/>
    </row>
    <row r="3800" customHeight="1" spans="1:6">
      <c r="A3800" s="9" t="s">
        <v>12964</v>
      </c>
      <c r="B3800" s="195" t="s">
        <v>12965</v>
      </c>
      <c r="C3800" s="202" t="s">
        <v>12966</v>
      </c>
      <c r="D3800" s="154"/>
      <c r="E3800" s="154" t="s">
        <v>1218</v>
      </c>
      <c r="F3800" s="180"/>
    </row>
    <row r="3801" customHeight="1" spans="1:6">
      <c r="A3801" s="9" t="s">
        <v>12967</v>
      </c>
      <c r="B3801" s="201" t="s">
        <v>12968</v>
      </c>
      <c r="C3801" s="202" t="s">
        <v>12969</v>
      </c>
      <c r="D3801" s="154" t="s">
        <v>12970</v>
      </c>
      <c r="E3801" s="154" t="s">
        <v>1395</v>
      </c>
      <c r="F3801" s="180"/>
    </row>
    <row r="3802" customHeight="1" spans="1:6">
      <c r="A3802" s="9" t="s">
        <v>12971</v>
      </c>
      <c r="B3802" s="194" t="s">
        <v>12972</v>
      </c>
      <c r="C3802" s="192" t="s">
        <v>12973</v>
      </c>
      <c r="D3802" s="194"/>
      <c r="E3802" s="194" t="s">
        <v>243</v>
      </c>
      <c r="F3802" s="194"/>
    </row>
    <row r="3803" customHeight="1" spans="1:6">
      <c r="A3803" s="9" t="s">
        <v>12974</v>
      </c>
      <c r="B3803" s="195" t="s">
        <v>12975</v>
      </c>
      <c r="C3803" s="202" t="s">
        <v>12976</v>
      </c>
      <c r="D3803" s="158"/>
      <c r="E3803" s="154" t="s">
        <v>310</v>
      </c>
      <c r="F3803" s="180"/>
    </row>
    <row r="3804" customHeight="1" spans="1:6">
      <c r="A3804" s="9" t="s">
        <v>12977</v>
      </c>
      <c r="B3804" s="195" t="s">
        <v>12978</v>
      </c>
      <c r="C3804" s="202" t="s">
        <v>12979</v>
      </c>
      <c r="D3804" s="152"/>
      <c r="E3804" s="154" t="s">
        <v>211</v>
      </c>
      <c r="F3804" s="180"/>
    </row>
    <row r="3805" customHeight="1" spans="1:6">
      <c r="A3805" s="9" t="s">
        <v>12980</v>
      </c>
      <c r="B3805" s="201" t="s">
        <v>12981</v>
      </c>
      <c r="C3805" s="202" t="s">
        <v>12982</v>
      </c>
      <c r="D3805" s="154" t="s">
        <v>12983</v>
      </c>
      <c r="E3805" s="154"/>
      <c r="F3805" s="180"/>
    </row>
    <row r="3806" customHeight="1" spans="1:6">
      <c r="A3806" s="9" t="s">
        <v>12984</v>
      </c>
      <c r="B3806" s="195" t="s">
        <v>12985</v>
      </c>
      <c r="C3806" s="202" t="s">
        <v>12986</v>
      </c>
      <c r="D3806" s="152" t="s">
        <v>12987</v>
      </c>
      <c r="E3806" s="154" t="s">
        <v>211</v>
      </c>
      <c r="F3806" s="180"/>
    </row>
    <row r="3807" customHeight="1" spans="1:6">
      <c r="A3807" s="9" t="s">
        <v>12988</v>
      </c>
      <c r="B3807" s="195" t="s">
        <v>12989</v>
      </c>
      <c r="C3807" s="202" t="s">
        <v>12990</v>
      </c>
      <c r="D3807" s="154">
        <v>918057347</v>
      </c>
      <c r="E3807" s="154" t="s">
        <v>104</v>
      </c>
      <c r="F3807" s="180"/>
    </row>
    <row r="3808" customHeight="1" spans="1:6">
      <c r="A3808" s="9" t="s">
        <v>12991</v>
      </c>
      <c r="B3808" s="160" t="s">
        <v>12992</v>
      </c>
      <c r="C3808" s="160" t="s">
        <v>12993</v>
      </c>
      <c r="D3808" s="204" t="s">
        <v>12994</v>
      </c>
      <c r="E3808" s="204" t="s">
        <v>92</v>
      </c>
      <c r="F3808" s="204"/>
    </row>
    <row r="3809" customHeight="1" spans="1:6">
      <c r="A3809" s="9" t="s">
        <v>12995</v>
      </c>
      <c r="B3809" s="195" t="s">
        <v>12996</v>
      </c>
      <c r="C3809" s="196" t="s">
        <v>12997</v>
      </c>
      <c r="D3809" s="197" t="s">
        <v>12998</v>
      </c>
      <c r="E3809" s="197" t="s">
        <v>273</v>
      </c>
      <c r="F3809" s="197"/>
    </row>
    <row r="3810" customHeight="1" spans="1:6">
      <c r="A3810" s="9" t="s">
        <v>12999</v>
      </c>
      <c r="B3810" s="201" t="s">
        <v>13000</v>
      </c>
      <c r="C3810" s="202" t="s">
        <v>13001</v>
      </c>
      <c r="D3810" s="154"/>
      <c r="E3810" s="154" t="s">
        <v>1395</v>
      </c>
      <c r="F3810" s="180"/>
    </row>
    <row r="3811" customHeight="1" spans="1:6">
      <c r="A3811" s="9" t="s">
        <v>13002</v>
      </c>
      <c r="B3811" s="195" t="s">
        <v>13003</v>
      </c>
      <c r="C3811" s="202" t="s">
        <v>13004</v>
      </c>
      <c r="D3811" s="152"/>
      <c r="E3811" s="154" t="s">
        <v>211</v>
      </c>
      <c r="F3811" s="180"/>
    </row>
    <row r="3812" customHeight="1" spans="1:6">
      <c r="A3812" s="9" t="s">
        <v>13005</v>
      </c>
      <c r="B3812" s="223" t="s">
        <v>13006</v>
      </c>
      <c r="C3812" s="223" t="s">
        <v>13007</v>
      </c>
      <c r="D3812" s="204" t="s">
        <v>12729</v>
      </c>
      <c r="E3812" s="204" t="s">
        <v>92</v>
      </c>
      <c r="F3812" s="204"/>
    </row>
    <row r="3813" customHeight="1" spans="1:6">
      <c r="A3813" s="9" t="s">
        <v>13008</v>
      </c>
      <c r="B3813" s="194" t="s">
        <v>13009</v>
      </c>
      <c r="C3813" s="202" t="s">
        <v>13010</v>
      </c>
      <c r="D3813" s="158"/>
      <c r="E3813" s="158" t="s">
        <v>216</v>
      </c>
      <c r="F3813" s="153"/>
    </row>
    <row r="3814" customHeight="1" spans="1:6">
      <c r="A3814" s="9" t="s">
        <v>13011</v>
      </c>
      <c r="B3814" s="195" t="s">
        <v>13012</v>
      </c>
      <c r="C3814" s="254" t="s">
        <v>13013</v>
      </c>
      <c r="D3814" s="197"/>
      <c r="E3814" s="197" t="s">
        <v>243</v>
      </c>
      <c r="F3814" s="197"/>
    </row>
    <row r="3815" customHeight="1" spans="1:6">
      <c r="A3815" s="9" t="s">
        <v>13014</v>
      </c>
      <c r="B3815" s="195" t="s">
        <v>13015</v>
      </c>
      <c r="C3815" s="254" t="s">
        <v>13016</v>
      </c>
      <c r="D3815" s="197"/>
      <c r="E3815" s="197" t="s">
        <v>243</v>
      </c>
      <c r="F3815" s="197"/>
    </row>
    <row r="3816" customHeight="1" spans="1:6">
      <c r="A3816" s="9" t="s">
        <v>13017</v>
      </c>
      <c r="B3816" s="201" t="s">
        <v>13018</v>
      </c>
      <c r="C3816" s="202" t="s">
        <v>13019</v>
      </c>
      <c r="D3816" s="158"/>
      <c r="E3816" s="158" t="s">
        <v>211</v>
      </c>
      <c r="F3816" s="153"/>
    </row>
    <row r="3817" customHeight="1" spans="1:6">
      <c r="A3817" s="9" t="s">
        <v>13020</v>
      </c>
      <c r="B3817" s="197" t="s">
        <v>13021</v>
      </c>
      <c r="C3817" s="196" t="s">
        <v>13022</v>
      </c>
      <c r="D3817" s="197" t="s">
        <v>13023</v>
      </c>
      <c r="E3817" s="197" t="s">
        <v>243</v>
      </c>
      <c r="F3817" s="197"/>
    </row>
    <row r="3818" customHeight="1" spans="1:6">
      <c r="A3818" s="9" t="s">
        <v>13024</v>
      </c>
      <c r="B3818" s="201" t="s">
        <v>13025</v>
      </c>
      <c r="C3818" s="202" t="s">
        <v>13026</v>
      </c>
      <c r="D3818" s="154" t="s">
        <v>13027</v>
      </c>
      <c r="E3818" s="154" t="s">
        <v>479</v>
      </c>
      <c r="F3818" s="180"/>
    </row>
    <row r="3819" customHeight="1" spans="1:6">
      <c r="A3819" s="9" t="s">
        <v>13028</v>
      </c>
      <c r="B3819" s="195" t="s">
        <v>13029</v>
      </c>
      <c r="C3819" s="202" t="s">
        <v>13030</v>
      </c>
      <c r="D3819" s="152"/>
      <c r="E3819" s="154" t="s">
        <v>104</v>
      </c>
      <c r="F3819" s="180"/>
    </row>
    <row r="3820" customHeight="1" spans="1:6">
      <c r="A3820" s="9" t="s">
        <v>13031</v>
      </c>
      <c r="B3820" s="214" t="s">
        <v>13032</v>
      </c>
      <c r="C3820" s="214" t="s">
        <v>13033</v>
      </c>
      <c r="D3820" s="204" t="s">
        <v>13034</v>
      </c>
      <c r="E3820" s="204" t="s">
        <v>92</v>
      </c>
      <c r="F3820" s="204"/>
    </row>
    <row r="3821" customHeight="1" spans="1:6">
      <c r="A3821" s="9" t="s">
        <v>13035</v>
      </c>
      <c r="B3821" s="201" t="s">
        <v>13036</v>
      </c>
      <c r="C3821" s="202" t="s">
        <v>13037</v>
      </c>
      <c r="D3821" s="154" t="s">
        <v>13038</v>
      </c>
      <c r="E3821" s="154" t="s">
        <v>58</v>
      </c>
      <c r="F3821" s="180"/>
    </row>
    <row r="3822" customHeight="1" spans="1:6">
      <c r="A3822" s="9" t="s">
        <v>13039</v>
      </c>
      <c r="B3822" s="200" t="s">
        <v>13040</v>
      </c>
      <c r="C3822" s="202" t="s">
        <v>13041</v>
      </c>
      <c r="D3822" s="158"/>
      <c r="E3822" s="154"/>
      <c r="F3822" s="180"/>
    </row>
    <row r="3823" customHeight="1" spans="1:6">
      <c r="A3823" s="9" t="s">
        <v>13042</v>
      </c>
      <c r="B3823" s="153" t="s">
        <v>13043</v>
      </c>
      <c r="C3823" s="202" t="s">
        <v>13044</v>
      </c>
      <c r="D3823" s="154">
        <v>966590513</v>
      </c>
      <c r="E3823" s="154"/>
      <c r="F3823" s="180"/>
    </row>
    <row r="3824" customHeight="1" spans="1:6">
      <c r="A3824" s="9" t="s">
        <v>13045</v>
      </c>
      <c r="B3824" s="201" t="s">
        <v>13046</v>
      </c>
      <c r="C3824" s="202" t="s">
        <v>13047</v>
      </c>
      <c r="D3824" s="154"/>
      <c r="E3824" s="154" t="s">
        <v>243</v>
      </c>
      <c r="F3824" s="180"/>
    </row>
    <row r="3825" customHeight="1" spans="1:6">
      <c r="A3825" s="9" t="s">
        <v>13048</v>
      </c>
      <c r="B3825" s="195" t="s">
        <v>13049</v>
      </c>
      <c r="C3825" s="196" t="s">
        <v>13050</v>
      </c>
      <c r="D3825" s="197"/>
      <c r="E3825" s="198" t="s">
        <v>202</v>
      </c>
      <c r="F3825" s="199"/>
    </row>
    <row r="3826" customHeight="1" spans="1:6">
      <c r="A3826" s="9" t="s">
        <v>13051</v>
      </c>
      <c r="B3826" s="214" t="s">
        <v>13052</v>
      </c>
      <c r="C3826" s="214" t="s">
        <v>13053</v>
      </c>
      <c r="D3826" s="204" t="s">
        <v>13054</v>
      </c>
      <c r="E3826" s="204" t="s">
        <v>92</v>
      </c>
      <c r="F3826" s="204"/>
    </row>
    <row r="3827" customHeight="1" spans="1:6">
      <c r="A3827" s="9" t="s">
        <v>13055</v>
      </c>
      <c r="B3827" s="201" t="s">
        <v>13056</v>
      </c>
      <c r="C3827" s="202" t="s">
        <v>13057</v>
      </c>
      <c r="D3827" s="158"/>
      <c r="E3827" s="154" t="s">
        <v>104</v>
      </c>
      <c r="F3827" s="180"/>
    </row>
    <row r="3828" customHeight="1" spans="1:6">
      <c r="A3828" s="9" t="s">
        <v>13058</v>
      </c>
      <c r="B3828" s="200" t="s">
        <v>13059</v>
      </c>
      <c r="C3828" s="192" t="s">
        <v>13060</v>
      </c>
      <c r="D3828" s="194"/>
      <c r="E3828" s="194" t="s">
        <v>243</v>
      </c>
      <c r="F3828" s="194"/>
    </row>
    <row r="3829" customHeight="1" spans="1:6">
      <c r="A3829" s="9" t="s">
        <v>13061</v>
      </c>
      <c r="B3829" s="200" t="s">
        <v>13062</v>
      </c>
      <c r="C3829" s="202" t="s">
        <v>13063</v>
      </c>
      <c r="D3829" s="154"/>
      <c r="E3829" s="154" t="s">
        <v>104</v>
      </c>
      <c r="F3829" s="180"/>
    </row>
    <row r="3830" customHeight="1" spans="1:6">
      <c r="A3830" s="9" t="s">
        <v>13064</v>
      </c>
      <c r="B3830" s="201" t="s">
        <v>13065</v>
      </c>
      <c r="C3830" s="202" t="s">
        <v>13066</v>
      </c>
      <c r="D3830" s="154" t="s">
        <v>13067</v>
      </c>
      <c r="E3830" s="154"/>
      <c r="F3830" s="180"/>
    </row>
    <row r="3831" customHeight="1" spans="1:6">
      <c r="A3831" s="9" t="s">
        <v>13068</v>
      </c>
      <c r="B3831" s="197" t="s">
        <v>13069</v>
      </c>
      <c r="C3831" s="196" t="s">
        <v>13070</v>
      </c>
      <c r="D3831" s="197"/>
      <c r="E3831" s="197" t="s">
        <v>310</v>
      </c>
      <c r="F3831" s="197"/>
    </row>
    <row r="3832" customHeight="1" spans="1:6">
      <c r="A3832" s="9" t="s">
        <v>13071</v>
      </c>
      <c r="B3832" s="201" t="s">
        <v>13072</v>
      </c>
      <c r="C3832" s="202" t="s">
        <v>13073</v>
      </c>
      <c r="D3832" s="154" t="s">
        <v>13074</v>
      </c>
      <c r="E3832" s="154" t="s">
        <v>211</v>
      </c>
      <c r="F3832" s="180"/>
    </row>
    <row r="3833" customHeight="1" spans="1:6">
      <c r="A3833" s="9" t="s">
        <v>13075</v>
      </c>
      <c r="B3833" s="200" t="s">
        <v>13076</v>
      </c>
      <c r="C3833" s="192" t="s">
        <v>13077</v>
      </c>
      <c r="D3833" s="194" t="s">
        <v>13078</v>
      </c>
      <c r="E3833" s="194" t="s">
        <v>273</v>
      </c>
      <c r="F3833" s="194"/>
    </row>
    <row r="3834" customHeight="1" spans="1:6">
      <c r="A3834" s="9" t="s">
        <v>13079</v>
      </c>
      <c r="B3834" s="195" t="s">
        <v>13080</v>
      </c>
      <c r="C3834" s="202" t="s">
        <v>13081</v>
      </c>
      <c r="D3834" s="154">
        <v>910699848</v>
      </c>
      <c r="E3834" s="154" t="s">
        <v>1281</v>
      </c>
      <c r="F3834" s="180"/>
    </row>
    <row r="3835" customHeight="1" spans="1:6">
      <c r="A3835" s="9" t="s">
        <v>13082</v>
      </c>
      <c r="B3835" s="201" t="s">
        <v>13083</v>
      </c>
      <c r="C3835" s="202" t="s">
        <v>13084</v>
      </c>
      <c r="D3835" s="154"/>
      <c r="E3835" s="154" t="s">
        <v>211</v>
      </c>
      <c r="F3835" s="180"/>
    </row>
    <row r="3836" customHeight="1" spans="1:6">
      <c r="A3836" s="9" t="s">
        <v>13085</v>
      </c>
      <c r="B3836" s="200" t="s">
        <v>13086</v>
      </c>
      <c r="C3836" s="202" t="s">
        <v>13087</v>
      </c>
      <c r="D3836" s="158"/>
      <c r="E3836" s="154" t="s">
        <v>310</v>
      </c>
      <c r="F3836" s="180"/>
    </row>
    <row r="3837" customHeight="1" spans="1:6">
      <c r="A3837" s="9" t="s">
        <v>13088</v>
      </c>
      <c r="B3837" s="201" t="s">
        <v>13089</v>
      </c>
      <c r="C3837" s="202" t="s">
        <v>13090</v>
      </c>
      <c r="D3837" s="154" t="s">
        <v>13091</v>
      </c>
      <c r="E3837" s="154" t="s">
        <v>243</v>
      </c>
      <c r="F3837" s="180"/>
    </row>
    <row r="3838" customHeight="1" spans="1:6">
      <c r="A3838" s="9" t="s">
        <v>13092</v>
      </c>
      <c r="B3838" s="205" t="s">
        <v>13093</v>
      </c>
      <c r="C3838" s="205" t="s">
        <v>13094</v>
      </c>
      <c r="D3838" s="206" t="s">
        <v>13095</v>
      </c>
      <c r="E3838" s="193" t="s">
        <v>120</v>
      </c>
      <c r="F3838" s="207" t="s">
        <v>13096</v>
      </c>
    </row>
    <row r="3839" customHeight="1" spans="1:6">
      <c r="A3839" s="9" t="s">
        <v>13097</v>
      </c>
      <c r="B3839" s="214" t="s">
        <v>13098</v>
      </c>
      <c r="C3839" s="214" t="s">
        <v>13094</v>
      </c>
      <c r="D3839" s="194"/>
      <c r="E3839" s="204" t="s">
        <v>92</v>
      </c>
      <c r="F3839" s="204"/>
    </row>
    <row r="3840" customHeight="1" spans="1:6">
      <c r="A3840" s="9" t="s">
        <v>13099</v>
      </c>
      <c r="B3840" s="166" t="str">
        <f>IFERROR(__xludf.DUMMYFUNCTION("""COMPUTED_VALUE"""),"Bekele Zewdie Belachew /Ato/ and/or Genete Zewdie /W/o/")</f>
        <v>Bekele Zewdie Belachew /Ato/ and/or Genete Zewdie /W/o/</v>
      </c>
      <c r="C3840" s="166" t="str">
        <f>IFERROR(__xludf.DUMMYFUNCTION("""COMPUTED_VALUE"""),"በቀለ ዘውዴ በላቸው /አቶ/ እና/ወይም ገነት ዘውዴ /ወ/ሮ/")</f>
        <v>በቀለ ዘውዴ በላቸው /አቶ/ እና/ወይም ገነት ዘውዴ /ወ/ሮ/</v>
      </c>
      <c r="D3840" s="166" t="str">
        <f>IFERROR(__xludf.DUMMYFUNCTION("""COMPUTED_VALUE"""),"911145686")</f>
        <v>911145686</v>
      </c>
      <c r="E3840" s="166" t="str">
        <f>IFERROR(__xludf.DUMMYFUNCTION("""COMPUTED_VALUE"""),"addis abeba")</f>
        <v>addis abeba</v>
      </c>
      <c r="F3840" s="166" t="str">
        <f>IFERROR(__xludf.DUMMYFUNCTION("""COMPUTED_VALUE"""),"mekoyimer22@gmail.com")</f>
        <v>mekoyimer22@gmail.com</v>
      </c>
    </row>
    <row r="3841" customHeight="1" spans="1:6">
      <c r="A3841" s="9" t="s">
        <v>13100</v>
      </c>
      <c r="B3841" s="214" t="s">
        <v>13101</v>
      </c>
      <c r="C3841" s="214" t="s">
        <v>13102</v>
      </c>
      <c r="D3841" s="194"/>
      <c r="E3841" s="204" t="s">
        <v>92</v>
      </c>
      <c r="F3841" s="204"/>
    </row>
    <row r="3842" customHeight="1" spans="1:6">
      <c r="A3842" s="9" t="s">
        <v>13103</v>
      </c>
      <c r="B3842" s="195" t="s">
        <v>13104</v>
      </c>
      <c r="C3842" s="202" t="s">
        <v>13105</v>
      </c>
      <c r="D3842" s="152"/>
      <c r="E3842" s="154" t="s">
        <v>181</v>
      </c>
      <c r="F3842" s="180"/>
    </row>
    <row r="3843" customHeight="1" spans="1:6">
      <c r="A3843" s="9" t="s">
        <v>13106</v>
      </c>
      <c r="B3843" s="214" t="s">
        <v>13107</v>
      </c>
      <c r="C3843" s="214" t="s">
        <v>13108</v>
      </c>
      <c r="D3843" s="194"/>
      <c r="E3843" s="204" t="s">
        <v>92</v>
      </c>
      <c r="F3843" s="204"/>
    </row>
    <row r="3844" customHeight="1" spans="1:6">
      <c r="A3844" s="9" t="s">
        <v>13109</v>
      </c>
      <c r="B3844" s="223" t="s">
        <v>13110</v>
      </c>
      <c r="C3844" s="223" t="s">
        <v>13111</v>
      </c>
      <c r="D3844" s="204" t="s">
        <v>13112</v>
      </c>
      <c r="E3844" s="204" t="s">
        <v>92</v>
      </c>
      <c r="F3844" s="204"/>
    </row>
    <row r="3845" customHeight="1" spans="1:6">
      <c r="A3845" s="9" t="s">
        <v>13113</v>
      </c>
      <c r="B3845" s="205" t="s">
        <v>13114</v>
      </c>
      <c r="C3845" s="205" t="s">
        <v>13115</v>
      </c>
      <c r="D3845" s="206" t="s">
        <v>13116</v>
      </c>
      <c r="E3845" s="193" t="s">
        <v>120</v>
      </c>
      <c r="F3845" s="237" t="s">
        <v>13117</v>
      </c>
    </row>
    <row r="3846" customHeight="1" spans="1:6">
      <c r="A3846" s="9" t="s">
        <v>13118</v>
      </c>
      <c r="B3846" s="195" t="s">
        <v>13119</v>
      </c>
      <c r="C3846" s="213" t="s">
        <v>13120</v>
      </c>
      <c r="D3846" s="197"/>
      <c r="E3846" s="197" t="s">
        <v>1852</v>
      </c>
      <c r="F3846" s="197"/>
    </row>
    <row r="3847" customHeight="1" spans="1:6">
      <c r="A3847" s="9" t="s">
        <v>13121</v>
      </c>
      <c r="B3847" s="222" t="str">
        <f>IFERROR(__xludf.DUMMYFUNCTION("""COMPUTED_VALUE"""),"Bekelech Mekdela Abedecho")</f>
        <v>Bekelech Mekdela Abedecho</v>
      </c>
      <c r="C3847" s="222" t="str">
        <f>IFERROR(__xludf.DUMMYFUNCTION("""COMPUTED_VALUE"""),"በቀለች መቅደላ አብደቾ")</f>
        <v>በቀለች መቅደላ አብደቾ</v>
      </c>
      <c r="D3847" s="222" t="str">
        <f>IFERROR(__xludf.DUMMYFUNCTION("""COMPUTED_VALUE"""),"0471110606
0938854803")</f>
        <v>0471110606
0938854803</v>
      </c>
      <c r="E3847" s="222" t="str">
        <f>IFERROR(__xludf.DUMMYFUNCTION("""COMPUTED_VALUE"""),"jima (oromia)")</f>
        <v>jima (oromia)</v>
      </c>
      <c r="F3847" s="222" t="str">
        <f>IFERROR(__xludf.DUMMYFUNCTION("""COMPUTED_VALUE"""),"tigitsemanda@gmail.com")</f>
        <v>tigitsemanda@gmail.com</v>
      </c>
    </row>
    <row r="3848" customHeight="1" spans="1:6">
      <c r="A3848" s="9" t="s">
        <v>13122</v>
      </c>
      <c r="B3848" s="214" t="s">
        <v>13123</v>
      </c>
      <c r="C3848" s="214" t="s">
        <v>13124</v>
      </c>
      <c r="D3848" s="194"/>
      <c r="E3848" s="204" t="s">
        <v>92</v>
      </c>
      <c r="F3848" s="204"/>
    </row>
    <row r="3849" customHeight="1" spans="1:6">
      <c r="A3849" s="9" t="s">
        <v>13125</v>
      </c>
      <c r="B3849" s="201" t="s">
        <v>13126</v>
      </c>
      <c r="C3849" s="202" t="s">
        <v>13127</v>
      </c>
      <c r="D3849" s="154"/>
      <c r="E3849" s="154" t="s">
        <v>243</v>
      </c>
      <c r="F3849" s="180"/>
    </row>
    <row r="3850" customHeight="1" spans="1:6">
      <c r="A3850" s="9" t="s">
        <v>13128</v>
      </c>
      <c r="B3850" s="201" t="s">
        <v>13129</v>
      </c>
      <c r="C3850" s="202" t="s">
        <v>13130</v>
      </c>
      <c r="D3850" s="154" t="s">
        <v>13131</v>
      </c>
      <c r="E3850" s="154" t="s">
        <v>58</v>
      </c>
      <c r="F3850" s="180"/>
    </row>
    <row r="3851" customHeight="1" spans="1:6">
      <c r="A3851" s="9" t="s">
        <v>13132</v>
      </c>
      <c r="B3851" s="201" t="s">
        <v>13133</v>
      </c>
      <c r="C3851" s="202" t="s">
        <v>13134</v>
      </c>
      <c r="D3851" s="154" t="s">
        <v>13135</v>
      </c>
      <c r="E3851" s="154" t="s">
        <v>211</v>
      </c>
      <c r="F3851" s="180"/>
    </row>
    <row r="3852" customHeight="1" spans="1:6">
      <c r="A3852" s="9" t="s">
        <v>13136</v>
      </c>
      <c r="B3852" s="200" t="s">
        <v>13137</v>
      </c>
      <c r="C3852" s="202" t="s">
        <v>13138</v>
      </c>
      <c r="D3852" s="152"/>
      <c r="E3852" s="154" t="s">
        <v>232</v>
      </c>
      <c r="F3852" s="180"/>
    </row>
    <row r="3853" customHeight="1" spans="1:6">
      <c r="A3853" s="9" t="s">
        <v>13139</v>
      </c>
      <c r="B3853" s="160" t="s">
        <v>13140</v>
      </c>
      <c r="C3853" s="160" t="s">
        <v>13141</v>
      </c>
      <c r="D3853" s="204" t="s">
        <v>13142</v>
      </c>
      <c r="E3853" s="204" t="s">
        <v>92</v>
      </c>
      <c r="F3853" s="204"/>
    </row>
    <row r="3854" customHeight="1" spans="1:6">
      <c r="A3854" s="9" t="s">
        <v>13143</v>
      </c>
      <c r="B3854" s="200" t="s">
        <v>13144</v>
      </c>
      <c r="C3854" s="192" t="s">
        <v>13145</v>
      </c>
      <c r="D3854" s="194"/>
      <c r="E3854" s="194" t="s">
        <v>988</v>
      </c>
      <c r="F3854" s="194"/>
    </row>
    <row r="3855" customHeight="1" spans="1:6">
      <c r="A3855" s="9" t="s">
        <v>13146</v>
      </c>
      <c r="B3855" s="197" t="s">
        <v>13147</v>
      </c>
      <c r="C3855" s="202" t="s">
        <v>13148</v>
      </c>
      <c r="D3855" s="158"/>
      <c r="E3855" s="154" t="s">
        <v>104</v>
      </c>
      <c r="F3855" s="180"/>
    </row>
    <row r="3856" customHeight="1" spans="1:6">
      <c r="A3856" s="9" t="s">
        <v>13149</v>
      </c>
      <c r="B3856" s="332" t="s">
        <v>13150</v>
      </c>
      <c r="C3856" s="333" t="s">
        <v>13151</v>
      </c>
      <c r="D3856" s="234" t="s">
        <v>13152</v>
      </c>
      <c r="E3856" s="53" t="s">
        <v>2067</v>
      </c>
      <c r="F3856" s="216" t="s">
        <v>13153</v>
      </c>
    </row>
    <row r="3857" customHeight="1" spans="1:6">
      <c r="A3857" s="9" t="s">
        <v>13154</v>
      </c>
      <c r="B3857" s="200" t="s">
        <v>13155</v>
      </c>
      <c r="C3857" s="192" t="s">
        <v>13156</v>
      </c>
      <c r="D3857" s="194"/>
      <c r="E3857" s="193" t="s">
        <v>202</v>
      </c>
      <c r="F3857" s="191"/>
    </row>
    <row r="3858" customHeight="1" spans="1:6">
      <c r="A3858" s="9" t="s">
        <v>13157</v>
      </c>
      <c r="B3858" s="200" t="s">
        <v>13158</v>
      </c>
      <c r="C3858" s="202" t="s">
        <v>13159</v>
      </c>
      <c r="D3858" s="152"/>
      <c r="E3858" s="154" t="s">
        <v>232</v>
      </c>
      <c r="F3858" s="180"/>
    </row>
    <row r="3859" customHeight="1" spans="1:6">
      <c r="A3859" s="9" t="s">
        <v>13160</v>
      </c>
      <c r="B3859" s="200" t="s">
        <v>13161</v>
      </c>
      <c r="C3859" s="246" t="s">
        <v>13162</v>
      </c>
      <c r="D3859" s="194"/>
      <c r="E3859" s="194" t="s">
        <v>202</v>
      </c>
      <c r="F3859" s="194"/>
    </row>
    <row r="3860" customHeight="1" spans="1:6">
      <c r="A3860" s="9" t="s">
        <v>13163</v>
      </c>
      <c r="B3860" s="200" t="s">
        <v>13164</v>
      </c>
      <c r="C3860" s="202" t="s">
        <v>13165</v>
      </c>
      <c r="D3860" s="152" t="s">
        <v>13166</v>
      </c>
      <c r="E3860" s="154"/>
      <c r="F3860" s="180"/>
    </row>
    <row r="3861" customHeight="1" spans="1:6">
      <c r="A3861" s="9" t="s">
        <v>13167</v>
      </c>
      <c r="B3861" s="200" t="s">
        <v>13168</v>
      </c>
      <c r="C3861" s="202" t="s">
        <v>13169</v>
      </c>
      <c r="D3861" s="152" t="s">
        <v>13170</v>
      </c>
      <c r="E3861" s="154"/>
      <c r="F3861" s="180"/>
    </row>
    <row r="3862" customHeight="1" spans="1:6">
      <c r="A3862" s="9" t="s">
        <v>13171</v>
      </c>
      <c r="B3862" s="180" t="s">
        <v>13172</v>
      </c>
      <c r="C3862" s="243" t="s">
        <v>13173</v>
      </c>
      <c r="D3862" s="154">
        <v>918507226</v>
      </c>
      <c r="E3862" s="158" t="s">
        <v>968</v>
      </c>
      <c r="F3862" s="153"/>
    </row>
    <row r="3863" customHeight="1" spans="1:6">
      <c r="A3863" s="9" t="s">
        <v>13174</v>
      </c>
      <c r="B3863" s="233" t="s">
        <v>13175</v>
      </c>
      <c r="C3863" s="233" t="s">
        <v>13176</v>
      </c>
      <c r="D3863" s="204" t="s">
        <v>13177</v>
      </c>
      <c r="E3863" s="204" t="s">
        <v>2067</v>
      </c>
      <c r="F3863" s="204" t="s">
        <v>13178</v>
      </c>
    </row>
    <row r="3864" customHeight="1" spans="1:6">
      <c r="A3864" s="9" t="s">
        <v>13179</v>
      </c>
      <c r="B3864" s="214" t="s">
        <v>13180</v>
      </c>
      <c r="C3864" s="214" t="s">
        <v>13181</v>
      </c>
      <c r="D3864" s="194"/>
      <c r="E3864" s="204" t="s">
        <v>92</v>
      </c>
      <c r="F3864" s="204"/>
    </row>
    <row r="3865" customHeight="1" spans="1:6">
      <c r="A3865" s="9" t="s">
        <v>13182</v>
      </c>
      <c r="B3865" s="225" t="s">
        <v>13183</v>
      </c>
      <c r="C3865" s="225" t="s">
        <v>13184</v>
      </c>
      <c r="D3865" s="228" t="s">
        <v>13185</v>
      </c>
      <c r="E3865" s="229" t="s">
        <v>120</v>
      </c>
      <c r="F3865" s="230" t="s">
        <v>13186</v>
      </c>
    </row>
    <row r="3866" customHeight="1" spans="1:6">
      <c r="A3866" s="9" t="s">
        <v>13187</v>
      </c>
      <c r="B3866" s="195" t="s">
        <v>13188</v>
      </c>
      <c r="C3866" s="212" t="s">
        <v>13189</v>
      </c>
      <c r="D3866" s="197" t="s">
        <v>13190</v>
      </c>
      <c r="E3866" s="154" t="s">
        <v>104</v>
      </c>
      <c r="F3866" s="199"/>
    </row>
    <row r="3867" customHeight="1" spans="1:6">
      <c r="A3867" s="9" t="s">
        <v>13191</v>
      </c>
      <c r="B3867" s="222" t="str">
        <f>IFERROR(__xludf.DUMMYFUNCTION("""COMPUTED_VALUE"""),"Belachew Tolera Yadeta  /D/R/ ")</f>
        <v>Belachew Tolera Yadeta  /D/R/ </v>
      </c>
      <c r="C3867" s="222" t="str">
        <f>IFERROR(__xludf.DUMMYFUNCTION("""COMPUTED_VALUE"""),"በላቸው ቶሌራ ያደታ /ዶ/ር/")</f>
        <v>በላቸው ቶሌራ ያደታ /ዶ/ር/</v>
      </c>
      <c r="D3867" s="222" t="str">
        <f>IFERROR(__xludf.DUMMYFUNCTION("""COMPUTED_VALUE"""),"911227023")</f>
        <v>911227023</v>
      </c>
      <c r="E3867" s="222" t="str">
        <f>IFERROR(__xludf.DUMMYFUNCTION("""COMPUTED_VALUE"""),"Addis Abeba")</f>
        <v>Addis Abeba</v>
      </c>
      <c r="F3867" s="222"/>
    </row>
    <row r="3868" customHeight="1" spans="1:6">
      <c r="A3868" s="9" t="s">
        <v>13192</v>
      </c>
      <c r="B3868" s="215" t="s">
        <v>13193</v>
      </c>
      <c r="C3868" s="205" t="s">
        <v>13194</v>
      </c>
      <c r="D3868" s="342" t="s">
        <v>13195</v>
      </c>
      <c r="E3868" s="193" t="s">
        <v>120</v>
      </c>
      <c r="F3868" s="216"/>
    </row>
    <row r="3869" customHeight="1" spans="1:6">
      <c r="A3869" s="9" t="s">
        <v>13196</v>
      </c>
      <c r="B3869" s="208" t="s">
        <v>13197</v>
      </c>
      <c r="C3869" s="208" t="s">
        <v>13198</v>
      </c>
      <c r="D3869" s="194"/>
      <c r="E3869" s="204" t="s">
        <v>92</v>
      </c>
      <c r="F3869" s="204"/>
    </row>
    <row r="3870" customHeight="1" spans="1:6">
      <c r="A3870" s="9" t="s">
        <v>13199</v>
      </c>
      <c r="B3870" s="201" t="s">
        <v>13200</v>
      </c>
      <c r="C3870" s="202" t="s">
        <v>13201</v>
      </c>
      <c r="D3870" s="154" t="s">
        <v>13202</v>
      </c>
      <c r="E3870" s="154"/>
      <c r="F3870" s="180"/>
    </row>
    <row r="3871" customHeight="1" spans="1:6">
      <c r="A3871" s="9" t="s">
        <v>13203</v>
      </c>
      <c r="B3871" s="195" t="s">
        <v>13204</v>
      </c>
      <c r="C3871" s="212" t="s">
        <v>13205</v>
      </c>
      <c r="D3871" s="197"/>
      <c r="E3871" s="198" t="s">
        <v>216</v>
      </c>
      <c r="F3871" s="199"/>
    </row>
    <row r="3872" customHeight="1" spans="1:6">
      <c r="A3872" s="9" t="s">
        <v>13206</v>
      </c>
      <c r="B3872" s="195" t="s">
        <v>13207</v>
      </c>
      <c r="C3872" s="202" t="s">
        <v>13208</v>
      </c>
      <c r="D3872" s="158" t="s">
        <v>13209</v>
      </c>
      <c r="E3872" s="154" t="s">
        <v>202</v>
      </c>
      <c r="F3872" s="180"/>
    </row>
    <row r="3873" customHeight="1" spans="1:6">
      <c r="A3873" s="9" t="s">
        <v>13210</v>
      </c>
      <c r="B3873" s="153" t="s">
        <v>13211</v>
      </c>
      <c r="C3873" s="202" t="s">
        <v>13212</v>
      </c>
      <c r="D3873" s="153">
        <v>979474711</v>
      </c>
      <c r="E3873" s="180" t="s">
        <v>104</v>
      </c>
      <c r="F3873" s="180"/>
    </row>
    <row r="3874" customHeight="1" spans="1:6">
      <c r="A3874" s="9" t="s">
        <v>13213</v>
      </c>
      <c r="B3874" s="280" t="s">
        <v>13214</v>
      </c>
      <c r="C3874" s="202" t="s">
        <v>13215</v>
      </c>
      <c r="D3874" s="153">
        <v>929467541</v>
      </c>
      <c r="E3874" s="180" t="s">
        <v>104</v>
      </c>
      <c r="F3874" s="180"/>
    </row>
    <row r="3875" customHeight="1" spans="1:6">
      <c r="A3875" s="9" t="s">
        <v>13216</v>
      </c>
      <c r="B3875" s="160" t="s">
        <v>13217</v>
      </c>
      <c r="C3875" s="160" t="s">
        <v>13218</v>
      </c>
      <c r="D3875" s="204" t="s">
        <v>13219</v>
      </c>
      <c r="E3875" s="204" t="s">
        <v>92</v>
      </c>
      <c r="F3875" s="204"/>
    </row>
    <row r="3876" customHeight="1" spans="1:6">
      <c r="A3876" s="9" t="s">
        <v>13220</v>
      </c>
      <c r="B3876" s="162" t="s">
        <v>13221</v>
      </c>
      <c r="C3876" s="205" t="s">
        <v>13222</v>
      </c>
      <c r="D3876" s="342" t="s">
        <v>13223</v>
      </c>
      <c r="E3876" s="193" t="s">
        <v>120</v>
      </c>
      <c r="F3876" s="262" t="s">
        <v>13224</v>
      </c>
    </row>
    <row r="3877" customHeight="1" spans="1:6">
      <c r="A3877" s="9" t="s">
        <v>13225</v>
      </c>
      <c r="B3877" s="195" t="s">
        <v>13226</v>
      </c>
      <c r="C3877" s="202" t="s">
        <v>13227</v>
      </c>
      <c r="D3877" s="152"/>
      <c r="E3877" s="154" t="s">
        <v>232</v>
      </c>
      <c r="F3877" s="180"/>
    </row>
    <row r="3878" customHeight="1" spans="1:6">
      <c r="A3878" s="9" t="s">
        <v>13228</v>
      </c>
      <c r="B3878" s="205" t="s">
        <v>13229</v>
      </c>
      <c r="C3878" s="205" t="s">
        <v>13230</v>
      </c>
      <c r="D3878" s="206" t="s">
        <v>13231</v>
      </c>
      <c r="E3878" s="193" t="s">
        <v>120</v>
      </c>
      <c r="F3878" s="221" t="s">
        <v>13232</v>
      </c>
    </row>
    <row r="3879" customHeight="1" spans="1:6">
      <c r="A3879" s="9" t="s">
        <v>13233</v>
      </c>
      <c r="B3879" s="220" t="str">
        <f>IFERROR(__xludf.DUMMYFUNCTION("""COMPUTED_VALUE"""),"Belay Ayalew Degefu")</f>
        <v>Belay Ayalew Degefu</v>
      </c>
      <c r="C3879" s="220" t="str">
        <f>IFERROR(__xludf.DUMMYFUNCTION("""COMPUTED_VALUE"""),"በላይ አያሌው ደገፉ")</f>
        <v>በላይ አያሌው ደገፉ</v>
      </c>
      <c r="D3879" s="220" t="str">
        <f>IFERROR(__xludf.DUMMYFUNCTION("""COMPUTED_VALUE"""),"0937443094
0930109258")</f>
        <v>0937443094
0930109258</v>
      </c>
      <c r="E3879" s="220" t="str">
        <f>IFERROR(__xludf.DUMMYFUNCTION("""COMPUTED_VALUE"""),"Addis Ababa")</f>
        <v>Addis Ababa</v>
      </c>
      <c r="F3879" s="220" t="str">
        <f>IFERROR(__xludf.DUMMYFUNCTION("""COMPUTED_VALUE"""),"belawbez@gmail.com")</f>
        <v>belawbez@gmail.com</v>
      </c>
    </row>
    <row r="3880" customHeight="1" spans="1:6">
      <c r="A3880" s="9" t="s">
        <v>13234</v>
      </c>
      <c r="B3880" s="158" t="s">
        <v>13235</v>
      </c>
      <c r="C3880" s="202" t="s">
        <v>13236</v>
      </c>
      <c r="D3880" s="158">
        <v>994342548</v>
      </c>
      <c r="E3880" s="154" t="s">
        <v>211</v>
      </c>
      <c r="F3880" s="180"/>
    </row>
    <row r="3881" customHeight="1" spans="1:6">
      <c r="A3881" s="9" t="s">
        <v>13237</v>
      </c>
      <c r="B3881" s="201" t="s">
        <v>13238</v>
      </c>
      <c r="C3881" s="202" t="s">
        <v>13239</v>
      </c>
      <c r="D3881" s="154" t="s">
        <v>13240</v>
      </c>
      <c r="E3881" s="154" t="s">
        <v>243</v>
      </c>
      <c r="F3881" s="180"/>
    </row>
    <row r="3882" customHeight="1" spans="1:6">
      <c r="A3882" s="9" t="s">
        <v>13241</v>
      </c>
      <c r="B3882" s="200" t="s">
        <v>13242</v>
      </c>
      <c r="C3882" s="236" t="s">
        <v>13243</v>
      </c>
      <c r="D3882" s="194"/>
      <c r="E3882" s="194" t="s">
        <v>3811</v>
      </c>
      <c r="F3882" s="194"/>
    </row>
    <row r="3883" customHeight="1" spans="1:6">
      <c r="A3883" s="9" t="s">
        <v>13244</v>
      </c>
      <c r="B3883" s="200" t="s">
        <v>13245</v>
      </c>
      <c r="C3883" s="236" t="s">
        <v>13246</v>
      </c>
      <c r="D3883" s="194" t="s">
        <v>13247</v>
      </c>
      <c r="E3883" s="194" t="s">
        <v>2783</v>
      </c>
      <c r="F3883" s="194"/>
    </row>
    <row r="3884" customHeight="1" spans="1:6">
      <c r="A3884" s="9" t="s">
        <v>13248</v>
      </c>
      <c r="B3884" s="200" t="s">
        <v>13249</v>
      </c>
      <c r="C3884" s="202" t="s">
        <v>13250</v>
      </c>
      <c r="D3884" s="152" t="s">
        <v>13251</v>
      </c>
      <c r="E3884" s="154"/>
      <c r="F3884" s="180"/>
    </row>
    <row r="3885" customHeight="1" spans="1:6">
      <c r="A3885" s="9" t="s">
        <v>13252</v>
      </c>
      <c r="B3885" s="195" t="s">
        <v>13253</v>
      </c>
      <c r="C3885" s="196" t="s">
        <v>13254</v>
      </c>
      <c r="D3885" s="197" t="s">
        <v>13255</v>
      </c>
      <c r="E3885" s="198" t="s">
        <v>216</v>
      </c>
      <c r="F3885" s="199"/>
    </row>
    <row r="3886" customHeight="1" spans="1:6">
      <c r="A3886" s="9" t="s">
        <v>13256</v>
      </c>
      <c r="B3886" s="200" t="s">
        <v>13257</v>
      </c>
      <c r="C3886" s="202" t="s">
        <v>13258</v>
      </c>
      <c r="D3886" s="152"/>
      <c r="E3886" s="154" t="s">
        <v>232</v>
      </c>
      <c r="F3886" s="180"/>
    </row>
    <row r="3887" customHeight="1" spans="1:6">
      <c r="A3887" s="9" t="s">
        <v>13259</v>
      </c>
      <c r="B3887" s="200" t="s">
        <v>13260</v>
      </c>
      <c r="C3887" s="192" t="s">
        <v>13261</v>
      </c>
      <c r="D3887" s="194"/>
      <c r="E3887" s="194" t="s">
        <v>125</v>
      </c>
      <c r="F3887" s="194"/>
    </row>
    <row r="3888" customHeight="1" spans="1:6">
      <c r="A3888" s="9" t="s">
        <v>13262</v>
      </c>
      <c r="B3888" s="160" t="s">
        <v>13263</v>
      </c>
      <c r="C3888" s="160" t="s">
        <v>13264</v>
      </c>
      <c r="D3888" s="204" t="s">
        <v>13265</v>
      </c>
      <c r="E3888" s="204" t="s">
        <v>92</v>
      </c>
      <c r="F3888" s="204"/>
    </row>
    <row r="3889" customHeight="1" spans="1:6">
      <c r="A3889" s="9" t="s">
        <v>13266</v>
      </c>
      <c r="B3889" s="214" t="s">
        <v>13267</v>
      </c>
      <c r="C3889" s="214" t="s">
        <v>13268</v>
      </c>
      <c r="D3889" s="194"/>
      <c r="E3889" s="204" t="s">
        <v>92</v>
      </c>
      <c r="F3889" s="204"/>
    </row>
    <row r="3890" customHeight="1" spans="1:6">
      <c r="A3890" s="9" t="s">
        <v>13269</v>
      </c>
      <c r="B3890" s="195" t="s">
        <v>13270</v>
      </c>
      <c r="C3890" s="212" t="s">
        <v>13271</v>
      </c>
      <c r="D3890" s="197" t="s">
        <v>13272</v>
      </c>
      <c r="E3890" s="198" t="s">
        <v>216</v>
      </c>
      <c r="F3890" s="199"/>
    </row>
    <row r="3891" customHeight="1" spans="1:6">
      <c r="A3891" s="9" t="s">
        <v>13273</v>
      </c>
      <c r="B3891" s="200" t="s">
        <v>13274</v>
      </c>
      <c r="C3891" s="202" t="s">
        <v>13275</v>
      </c>
      <c r="D3891" s="152"/>
      <c r="E3891" s="154"/>
      <c r="F3891" s="180"/>
    </row>
    <row r="3892" customHeight="1" spans="1:6">
      <c r="A3892" s="9" t="s">
        <v>13276</v>
      </c>
      <c r="B3892" s="153" t="s">
        <v>13277</v>
      </c>
      <c r="C3892" s="202" t="s">
        <v>13278</v>
      </c>
      <c r="D3892" s="158"/>
      <c r="E3892" s="154" t="s">
        <v>232</v>
      </c>
      <c r="F3892" s="180"/>
    </row>
    <row r="3893" customHeight="1" spans="1:6">
      <c r="A3893" s="9" t="s">
        <v>13279</v>
      </c>
      <c r="B3893" s="223" t="s">
        <v>13280</v>
      </c>
      <c r="C3893" s="223" t="s">
        <v>13281</v>
      </c>
      <c r="D3893" s="204" t="s">
        <v>13282</v>
      </c>
      <c r="E3893" s="204" t="s">
        <v>92</v>
      </c>
      <c r="F3893" s="204"/>
    </row>
    <row r="3894" customHeight="1" spans="1:6">
      <c r="A3894" s="9" t="s">
        <v>13283</v>
      </c>
      <c r="B3894" s="217" t="s">
        <v>13284</v>
      </c>
      <c r="C3894" s="218" t="s">
        <v>13285</v>
      </c>
      <c r="D3894" s="155"/>
      <c r="E3894" s="154" t="s">
        <v>104</v>
      </c>
      <c r="F3894" s="180"/>
    </row>
    <row r="3895" customHeight="1" spans="1:6">
      <c r="A3895" s="9" t="s">
        <v>13286</v>
      </c>
      <c r="B3895" s="195" t="s">
        <v>13287</v>
      </c>
      <c r="C3895" s="212" t="s">
        <v>13288</v>
      </c>
      <c r="D3895" s="197" t="s">
        <v>13289</v>
      </c>
      <c r="E3895" s="154" t="s">
        <v>104</v>
      </c>
      <c r="F3895" s="180"/>
    </row>
    <row r="3896" customHeight="1" spans="1:6">
      <c r="A3896" s="9" t="s">
        <v>13290</v>
      </c>
      <c r="B3896" s="255" t="s">
        <v>13291</v>
      </c>
      <c r="C3896" s="255" t="s">
        <v>13292</v>
      </c>
      <c r="D3896" s="256" t="s">
        <v>3391</v>
      </c>
      <c r="E3896" s="26" t="s">
        <v>1701</v>
      </c>
      <c r="F3896" s="290" t="s">
        <v>13293</v>
      </c>
    </row>
    <row r="3897" customHeight="1" spans="1:6">
      <c r="A3897" s="9" t="s">
        <v>13294</v>
      </c>
      <c r="B3897" s="200" t="s">
        <v>13295</v>
      </c>
      <c r="C3897" s="192" t="s">
        <v>13296</v>
      </c>
      <c r="D3897" s="194"/>
      <c r="E3897" s="194" t="s">
        <v>202</v>
      </c>
      <c r="F3897" s="197"/>
    </row>
    <row r="3898" customHeight="1" spans="1:6">
      <c r="A3898" s="9" t="s">
        <v>13297</v>
      </c>
      <c r="B3898" s="201" t="s">
        <v>13298</v>
      </c>
      <c r="C3898" s="202" t="s">
        <v>13299</v>
      </c>
      <c r="D3898" s="153"/>
      <c r="E3898" s="180" t="s">
        <v>104</v>
      </c>
      <c r="F3898" s="180"/>
    </row>
    <row r="3899" customHeight="1" spans="1:6">
      <c r="A3899" s="9" t="s">
        <v>13300</v>
      </c>
      <c r="B3899" s="200" t="s">
        <v>13301</v>
      </c>
      <c r="C3899" s="236" t="s">
        <v>13302</v>
      </c>
      <c r="D3899" s="194"/>
      <c r="E3899" s="193" t="s">
        <v>2783</v>
      </c>
      <c r="F3899" s="191"/>
    </row>
    <row r="3900" customHeight="1" spans="1:6">
      <c r="A3900" s="9" t="s">
        <v>13303</v>
      </c>
      <c r="B3900" s="200" t="s">
        <v>13304</v>
      </c>
      <c r="C3900" s="236" t="s">
        <v>13305</v>
      </c>
      <c r="D3900" s="194"/>
      <c r="E3900" s="193" t="s">
        <v>216</v>
      </c>
      <c r="F3900" s="191"/>
    </row>
    <row r="3901" customHeight="1" spans="1:6">
      <c r="A3901" s="9" t="s">
        <v>13306</v>
      </c>
      <c r="B3901" s="223" t="s">
        <v>13307</v>
      </c>
      <c r="C3901" s="223" t="s">
        <v>13308</v>
      </c>
      <c r="D3901" s="204" t="s">
        <v>13309</v>
      </c>
      <c r="E3901" s="204" t="s">
        <v>92</v>
      </c>
      <c r="F3901" s="204"/>
    </row>
    <row r="3902" customHeight="1" spans="1:6">
      <c r="A3902" s="9" t="s">
        <v>13310</v>
      </c>
      <c r="B3902" s="215" t="s">
        <v>13311</v>
      </c>
      <c r="C3902" s="205" t="s">
        <v>13312</v>
      </c>
      <c r="D3902" s="227">
        <v>911218067</v>
      </c>
      <c r="E3902" s="193" t="s">
        <v>120</v>
      </c>
      <c r="F3902" s="216" t="s">
        <v>13313</v>
      </c>
    </row>
    <row r="3903" customHeight="1" spans="1:6">
      <c r="A3903" s="9" t="s">
        <v>13314</v>
      </c>
      <c r="B3903" s="200" t="s">
        <v>13315</v>
      </c>
      <c r="C3903" s="202" t="s">
        <v>13316</v>
      </c>
      <c r="D3903" s="152"/>
      <c r="E3903" s="154" t="s">
        <v>181</v>
      </c>
      <c r="F3903" s="180"/>
    </row>
    <row r="3904" customHeight="1" spans="1:6">
      <c r="A3904" s="9" t="s">
        <v>13317</v>
      </c>
      <c r="B3904" s="197" t="s">
        <v>13318</v>
      </c>
      <c r="C3904" s="254" t="s">
        <v>13319</v>
      </c>
      <c r="D3904" s="197"/>
      <c r="E3904" s="197" t="s">
        <v>202</v>
      </c>
      <c r="F3904" s="197"/>
    </row>
    <row r="3905" customHeight="1" spans="1:6">
      <c r="A3905" s="9" t="s">
        <v>13320</v>
      </c>
      <c r="B3905" s="238" t="s">
        <v>13321</v>
      </c>
      <c r="C3905" s="202" t="s">
        <v>13322</v>
      </c>
      <c r="D3905" s="153"/>
      <c r="E3905" s="180" t="s">
        <v>104</v>
      </c>
      <c r="F3905" s="180"/>
    </row>
    <row r="3906" customHeight="1" spans="1:6">
      <c r="A3906" s="9" t="s">
        <v>13323</v>
      </c>
      <c r="B3906" s="255" t="s">
        <v>13324</v>
      </c>
      <c r="C3906" s="255" t="s">
        <v>13325</v>
      </c>
      <c r="D3906" s="256" t="s">
        <v>13326</v>
      </c>
      <c r="E3906" s="26" t="s">
        <v>1701</v>
      </c>
      <c r="F3906" s="257" t="s">
        <v>13327</v>
      </c>
    </row>
    <row r="3907" customHeight="1" spans="1:6">
      <c r="A3907" s="9" t="s">
        <v>13328</v>
      </c>
      <c r="B3907" s="214" t="s">
        <v>13329</v>
      </c>
      <c r="C3907" s="214" t="s">
        <v>13330</v>
      </c>
      <c r="D3907" s="194"/>
      <c r="E3907" s="204" t="s">
        <v>92</v>
      </c>
      <c r="F3907" s="204"/>
    </row>
    <row r="3908" customHeight="1" spans="1:6">
      <c r="A3908" s="9" t="s">
        <v>13331</v>
      </c>
      <c r="B3908" s="215" t="s">
        <v>13332</v>
      </c>
      <c r="C3908" s="205" t="s">
        <v>13333</v>
      </c>
      <c r="D3908" s="342" t="s">
        <v>13334</v>
      </c>
      <c r="E3908" s="193" t="s">
        <v>120</v>
      </c>
      <c r="F3908" s="216"/>
    </row>
    <row r="3909" customHeight="1" spans="1:6">
      <c r="A3909" s="9" t="s">
        <v>13335</v>
      </c>
      <c r="B3909" s="195" t="s">
        <v>13336</v>
      </c>
      <c r="C3909" s="202" t="s">
        <v>13337</v>
      </c>
      <c r="D3909" s="152"/>
      <c r="E3909" s="154" t="s">
        <v>232</v>
      </c>
      <c r="F3909" s="180"/>
    </row>
    <row r="3910" customHeight="1" spans="1:6">
      <c r="A3910" s="9" t="s">
        <v>13338</v>
      </c>
      <c r="B3910" s="217" t="s">
        <v>13339</v>
      </c>
      <c r="C3910" s="202" t="s">
        <v>13340</v>
      </c>
      <c r="D3910" s="154" t="s">
        <v>13341</v>
      </c>
      <c r="E3910" s="154" t="s">
        <v>253</v>
      </c>
      <c r="F3910" s="180"/>
    </row>
    <row r="3911" customHeight="1" spans="1:6">
      <c r="A3911" s="9" t="s">
        <v>13342</v>
      </c>
      <c r="B3911" s="195" t="s">
        <v>13343</v>
      </c>
      <c r="C3911" s="202" t="s">
        <v>13344</v>
      </c>
      <c r="D3911" s="158" t="s">
        <v>13345</v>
      </c>
      <c r="E3911" s="154"/>
      <c r="F3911" s="180"/>
    </row>
    <row r="3912" customHeight="1" spans="1:6">
      <c r="A3912" s="9" t="s">
        <v>13346</v>
      </c>
      <c r="B3912" s="201" t="s">
        <v>13347</v>
      </c>
      <c r="C3912" s="202" t="s">
        <v>13348</v>
      </c>
      <c r="D3912" s="154" t="s">
        <v>13349</v>
      </c>
      <c r="E3912" s="154"/>
      <c r="F3912" s="180"/>
    </row>
    <row r="3913" customHeight="1" spans="1:6">
      <c r="A3913" s="9" t="s">
        <v>13350</v>
      </c>
      <c r="B3913" s="222" t="str">
        <f>IFERROR(__xludf.DUMMYFUNCTION("""COMPUTED_VALUE"""),"Belay Zeleke Terefe")</f>
        <v>Belay Zeleke Terefe</v>
      </c>
      <c r="C3913" s="222" t="str">
        <f>IFERROR(__xludf.DUMMYFUNCTION("""COMPUTED_VALUE"""),"በላይ ዘለቀ ተረፈ")</f>
        <v>በላይ ዘለቀ ተረፈ</v>
      </c>
      <c r="D3913" s="222" t="str">
        <f>IFERROR(__xludf.DUMMYFUNCTION("""COMPUTED_VALUE"""),"0918-069736")</f>
        <v>0918-069736</v>
      </c>
      <c r="E3913" s="222" t="str">
        <f>IFERROR(__xludf.DUMMYFUNCTION("""COMPUTED_VALUE"""),"Amara")</f>
        <v>Amara</v>
      </c>
      <c r="F3913" s="222"/>
    </row>
    <row r="3914" customHeight="1" spans="1:6">
      <c r="A3914" s="9" t="s">
        <v>13351</v>
      </c>
      <c r="B3914" s="158" t="s">
        <v>13352</v>
      </c>
      <c r="C3914" s="202" t="s">
        <v>13353</v>
      </c>
      <c r="D3914" s="158">
        <v>923405304</v>
      </c>
      <c r="E3914" s="154" t="s">
        <v>211</v>
      </c>
      <c r="F3914" s="180"/>
    </row>
    <row r="3915" customHeight="1" spans="1:6">
      <c r="A3915" s="9" t="s">
        <v>13354</v>
      </c>
      <c r="B3915" s="197" t="s">
        <v>13355</v>
      </c>
      <c r="C3915" s="196" t="s">
        <v>13356</v>
      </c>
      <c r="D3915" s="197" t="s">
        <v>13357</v>
      </c>
      <c r="E3915" s="197" t="s">
        <v>243</v>
      </c>
      <c r="F3915" s="197"/>
    </row>
    <row r="3916" customHeight="1" spans="1:6">
      <c r="A3916" s="9" t="s">
        <v>13358</v>
      </c>
      <c r="B3916" s="200" t="s">
        <v>13359</v>
      </c>
      <c r="C3916" s="203" t="s">
        <v>13360</v>
      </c>
      <c r="D3916" s="194"/>
      <c r="E3916" s="194" t="s">
        <v>253</v>
      </c>
      <c r="F3916" s="194"/>
    </row>
    <row r="3917" customHeight="1" spans="1:6">
      <c r="A3917" s="9" t="s">
        <v>13361</v>
      </c>
      <c r="B3917" s="195" t="s">
        <v>13362</v>
      </c>
      <c r="C3917" s="212" t="s">
        <v>13363</v>
      </c>
      <c r="D3917" s="197"/>
      <c r="E3917" s="198" t="s">
        <v>202</v>
      </c>
      <c r="F3917" s="199"/>
    </row>
    <row r="3918" customHeight="1" spans="1:6">
      <c r="A3918" s="9" t="s">
        <v>13364</v>
      </c>
      <c r="B3918" s="195" t="s">
        <v>13365</v>
      </c>
      <c r="C3918" s="202" t="s">
        <v>13366</v>
      </c>
      <c r="D3918" s="158"/>
      <c r="E3918" s="154" t="s">
        <v>310</v>
      </c>
      <c r="F3918" s="180"/>
    </row>
    <row r="3919" customHeight="1" spans="1:6">
      <c r="A3919" s="9" t="s">
        <v>13367</v>
      </c>
      <c r="B3919" s="200" t="s">
        <v>13368</v>
      </c>
      <c r="C3919" s="236" t="s">
        <v>13369</v>
      </c>
      <c r="D3919" s="194"/>
      <c r="E3919" s="193" t="s">
        <v>202</v>
      </c>
      <c r="F3919" s="191"/>
    </row>
    <row r="3920" customHeight="1" spans="1:6">
      <c r="A3920" s="9" t="s">
        <v>13370</v>
      </c>
      <c r="B3920" s="197" t="s">
        <v>13371</v>
      </c>
      <c r="C3920" s="203" t="s">
        <v>13372</v>
      </c>
      <c r="D3920" s="197"/>
      <c r="E3920" s="197" t="s">
        <v>104</v>
      </c>
      <c r="F3920" s="197"/>
    </row>
    <row r="3921" customHeight="1" spans="1:6">
      <c r="A3921" s="9" t="s">
        <v>13373</v>
      </c>
      <c r="B3921" s="223" t="s">
        <v>13374</v>
      </c>
      <c r="C3921" s="223" t="s">
        <v>13375</v>
      </c>
      <c r="D3921" s="204" t="s">
        <v>13376</v>
      </c>
      <c r="E3921" s="204" t="s">
        <v>92</v>
      </c>
      <c r="F3921" s="204"/>
    </row>
    <row r="3922" customHeight="1" spans="1:6">
      <c r="A3922" s="9" t="s">
        <v>13377</v>
      </c>
      <c r="B3922" s="200" t="s">
        <v>13378</v>
      </c>
      <c r="C3922" s="203" t="s">
        <v>13379</v>
      </c>
      <c r="D3922" s="194" t="s">
        <v>13380</v>
      </c>
      <c r="E3922" s="194" t="s">
        <v>273</v>
      </c>
      <c r="F3922" s="194"/>
    </row>
    <row r="3923" customHeight="1" spans="1:6">
      <c r="A3923" s="9" t="s">
        <v>13381</v>
      </c>
      <c r="B3923" s="200" t="s">
        <v>13382</v>
      </c>
      <c r="C3923" s="202" t="s">
        <v>13383</v>
      </c>
      <c r="D3923" s="152"/>
      <c r="E3923" s="154" t="s">
        <v>232</v>
      </c>
      <c r="F3923" s="180"/>
    </row>
    <row r="3924" customHeight="1" spans="1:6">
      <c r="A3924" s="9" t="s">
        <v>13384</v>
      </c>
      <c r="B3924" s="200" t="s">
        <v>13385</v>
      </c>
      <c r="C3924" s="202" t="s">
        <v>13386</v>
      </c>
      <c r="D3924" s="158" t="s">
        <v>13387</v>
      </c>
      <c r="E3924" s="154" t="s">
        <v>104</v>
      </c>
      <c r="F3924" s="180"/>
    </row>
    <row r="3925" customHeight="1" spans="1:6">
      <c r="A3925" s="9" t="s">
        <v>13388</v>
      </c>
      <c r="B3925" s="201" t="s">
        <v>13389</v>
      </c>
      <c r="C3925" s="202" t="s">
        <v>13390</v>
      </c>
      <c r="D3925" s="154"/>
      <c r="E3925" s="154" t="s">
        <v>211</v>
      </c>
      <c r="F3925" s="180"/>
    </row>
    <row r="3926" customHeight="1" spans="1:6">
      <c r="A3926" s="9" t="s">
        <v>13391</v>
      </c>
      <c r="B3926" s="200" t="s">
        <v>13392</v>
      </c>
      <c r="C3926" s="202" t="s">
        <v>13393</v>
      </c>
      <c r="D3926" s="152"/>
      <c r="E3926" s="154" t="s">
        <v>232</v>
      </c>
      <c r="F3926" s="180"/>
    </row>
    <row r="3927" customHeight="1" spans="1:6">
      <c r="A3927" s="9" t="s">
        <v>13394</v>
      </c>
      <c r="B3927" s="195" t="s">
        <v>13395</v>
      </c>
      <c r="C3927" s="202" t="s">
        <v>13396</v>
      </c>
      <c r="D3927" s="152"/>
      <c r="E3927" s="154" t="s">
        <v>232</v>
      </c>
      <c r="F3927" s="180"/>
    </row>
    <row r="3928" customHeight="1" spans="1:6">
      <c r="A3928" s="9" t="s">
        <v>13397</v>
      </c>
      <c r="B3928" s="200" t="s">
        <v>13398</v>
      </c>
      <c r="C3928" s="202" t="s">
        <v>13399</v>
      </c>
      <c r="D3928" s="152"/>
      <c r="E3928" s="154"/>
      <c r="F3928" s="180"/>
    </row>
    <row r="3929" customHeight="1" spans="1:6">
      <c r="A3929" s="9" t="s">
        <v>13400</v>
      </c>
      <c r="B3929" s="200" t="s">
        <v>13401</v>
      </c>
      <c r="C3929" s="202" t="s">
        <v>13402</v>
      </c>
      <c r="D3929" s="152"/>
      <c r="E3929" s="154" t="s">
        <v>232</v>
      </c>
      <c r="F3929" s="180"/>
    </row>
    <row r="3930" customHeight="1" spans="1:6">
      <c r="A3930" s="9" t="s">
        <v>13403</v>
      </c>
      <c r="B3930" s="153" t="s">
        <v>13404</v>
      </c>
      <c r="C3930" s="202" t="s">
        <v>13405</v>
      </c>
      <c r="D3930" s="154"/>
      <c r="E3930" s="154" t="s">
        <v>211</v>
      </c>
      <c r="F3930" s="180"/>
    </row>
    <row r="3931" customHeight="1" spans="1:6">
      <c r="A3931" s="9" t="s">
        <v>13406</v>
      </c>
      <c r="B3931" s="201" t="s">
        <v>13407</v>
      </c>
      <c r="C3931" s="202" t="s">
        <v>13408</v>
      </c>
      <c r="D3931" s="154"/>
      <c r="E3931" s="154"/>
      <c r="F3931" s="180"/>
    </row>
    <row r="3932" customHeight="1" spans="1:6">
      <c r="A3932" s="9" t="s">
        <v>13409</v>
      </c>
      <c r="B3932" s="201" t="s">
        <v>13410</v>
      </c>
      <c r="C3932" s="202" t="s">
        <v>13411</v>
      </c>
      <c r="D3932" s="154"/>
      <c r="E3932" s="154" t="s">
        <v>243</v>
      </c>
      <c r="F3932" s="180"/>
    </row>
    <row r="3933" customHeight="1" spans="1:6">
      <c r="A3933" s="9" t="s">
        <v>13412</v>
      </c>
      <c r="B3933" s="201" t="s">
        <v>13413</v>
      </c>
      <c r="C3933" s="202" t="s">
        <v>13414</v>
      </c>
      <c r="D3933" s="154"/>
      <c r="E3933" s="154"/>
      <c r="F3933" s="180"/>
    </row>
    <row r="3934" customHeight="1" spans="1:6">
      <c r="A3934" s="9" t="s">
        <v>13415</v>
      </c>
      <c r="B3934" s="215" t="s">
        <v>13416</v>
      </c>
      <c r="C3934" s="205" t="s">
        <v>13417</v>
      </c>
      <c r="D3934" s="255" t="s">
        <v>13418</v>
      </c>
      <c r="E3934" s="26" t="s">
        <v>92</v>
      </c>
      <c r="F3934" s="26" t="s">
        <v>13419</v>
      </c>
    </row>
    <row r="3935" customHeight="1" spans="1:6">
      <c r="A3935" s="9" t="s">
        <v>13420</v>
      </c>
      <c r="B3935" s="195" t="s">
        <v>13421</v>
      </c>
      <c r="C3935" s="202" t="s">
        <v>13422</v>
      </c>
      <c r="D3935" s="152"/>
      <c r="E3935" s="154" t="s">
        <v>232</v>
      </c>
      <c r="F3935" s="180"/>
    </row>
    <row r="3936" customHeight="1" spans="1:6">
      <c r="A3936" s="9" t="s">
        <v>13423</v>
      </c>
      <c r="B3936" s="201" t="s">
        <v>13424</v>
      </c>
      <c r="C3936" s="202" t="s">
        <v>13425</v>
      </c>
      <c r="D3936" s="154" t="s">
        <v>13426</v>
      </c>
      <c r="E3936" s="154" t="s">
        <v>202</v>
      </c>
      <c r="F3936" s="180"/>
    </row>
    <row r="3937" customHeight="1" spans="1:6">
      <c r="A3937" s="9" t="s">
        <v>13427</v>
      </c>
      <c r="B3937" s="214" t="s">
        <v>13428</v>
      </c>
      <c r="C3937" s="214" t="s">
        <v>13429</v>
      </c>
      <c r="D3937" s="204">
        <v>902417344</v>
      </c>
      <c r="E3937" s="204" t="s">
        <v>92</v>
      </c>
      <c r="F3937" s="204"/>
    </row>
    <row r="3938" customHeight="1" spans="1:6">
      <c r="A3938" s="9" t="s">
        <v>13430</v>
      </c>
      <c r="B3938" s="201" t="s">
        <v>13431</v>
      </c>
      <c r="C3938" s="202" t="s">
        <v>13432</v>
      </c>
      <c r="D3938" s="154"/>
      <c r="E3938" s="154" t="s">
        <v>202</v>
      </c>
      <c r="F3938" s="180"/>
    </row>
    <row r="3939" customHeight="1" spans="1:6">
      <c r="A3939" s="9" t="s">
        <v>13433</v>
      </c>
      <c r="B3939" s="200" t="s">
        <v>13434</v>
      </c>
      <c r="C3939" s="202" t="s">
        <v>13435</v>
      </c>
      <c r="D3939" s="152"/>
      <c r="E3939" s="154" t="s">
        <v>232</v>
      </c>
      <c r="F3939" s="180"/>
    </row>
    <row r="3940" customHeight="1" spans="1:6">
      <c r="A3940" s="9" t="s">
        <v>13436</v>
      </c>
      <c r="B3940" s="200" t="s">
        <v>13437</v>
      </c>
      <c r="C3940" s="192" t="s">
        <v>13438</v>
      </c>
      <c r="D3940" s="194" t="s">
        <v>13439</v>
      </c>
      <c r="E3940" s="193" t="s">
        <v>216</v>
      </c>
      <c r="F3940" s="191"/>
    </row>
    <row r="3941" customHeight="1" spans="1:6">
      <c r="A3941" s="9" t="s">
        <v>13440</v>
      </c>
      <c r="B3941" s="201" t="s">
        <v>13441</v>
      </c>
      <c r="C3941" s="202" t="s">
        <v>13442</v>
      </c>
      <c r="D3941" s="154"/>
      <c r="E3941" s="154" t="s">
        <v>202</v>
      </c>
      <c r="F3941" s="180"/>
    </row>
    <row r="3942" customHeight="1" spans="1:6">
      <c r="A3942" s="9" t="s">
        <v>13443</v>
      </c>
      <c r="B3942" s="153" t="s">
        <v>13444</v>
      </c>
      <c r="C3942" s="202" t="s">
        <v>13445</v>
      </c>
      <c r="D3942" s="154">
        <v>926007911</v>
      </c>
      <c r="E3942" s="154" t="s">
        <v>161</v>
      </c>
      <c r="F3942" s="180"/>
    </row>
    <row r="3943" customHeight="1" spans="1:6">
      <c r="A3943" s="9" t="s">
        <v>13446</v>
      </c>
      <c r="B3943" s="195" t="s">
        <v>13447</v>
      </c>
      <c r="C3943" s="202" t="s">
        <v>13448</v>
      </c>
      <c r="D3943" s="154"/>
      <c r="E3943" s="154" t="s">
        <v>104</v>
      </c>
      <c r="F3943" s="180"/>
    </row>
    <row r="3944" customHeight="1" spans="1:6">
      <c r="A3944" s="9" t="s">
        <v>13449</v>
      </c>
      <c r="B3944" s="214" t="s">
        <v>13450</v>
      </c>
      <c r="C3944" s="214" t="s">
        <v>13451</v>
      </c>
      <c r="D3944" s="194"/>
      <c r="E3944" s="204" t="s">
        <v>92</v>
      </c>
      <c r="F3944" s="204"/>
    </row>
    <row r="3945" customHeight="1" spans="1:6">
      <c r="A3945" s="9" t="s">
        <v>13452</v>
      </c>
      <c r="B3945" s="201" t="s">
        <v>13453</v>
      </c>
      <c r="C3945" s="202" t="s">
        <v>13454</v>
      </c>
      <c r="D3945" s="154">
        <v>916038829</v>
      </c>
      <c r="E3945" s="154" t="s">
        <v>211</v>
      </c>
      <c r="F3945" s="180"/>
    </row>
    <row r="3946" customHeight="1" spans="1:6">
      <c r="A3946" s="9" t="s">
        <v>13455</v>
      </c>
      <c r="B3946" s="200" t="s">
        <v>13456</v>
      </c>
      <c r="C3946" s="202" t="s">
        <v>13457</v>
      </c>
      <c r="D3946" s="152"/>
      <c r="E3946" s="154" t="s">
        <v>232</v>
      </c>
      <c r="F3946" s="180"/>
    </row>
    <row r="3947" customHeight="1" spans="1:6">
      <c r="A3947" s="9" t="s">
        <v>13458</v>
      </c>
      <c r="B3947" s="200" t="s">
        <v>13459</v>
      </c>
      <c r="C3947" s="192" t="s">
        <v>13460</v>
      </c>
      <c r="D3947" s="194"/>
      <c r="E3947" s="193" t="s">
        <v>202</v>
      </c>
      <c r="F3947" s="191"/>
    </row>
    <row r="3948" customHeight="1" spans="1:6">
      <c r="A3948" s="9" t="s">
        <v>13461</v>
      </c>
      <c r="B3948" s="195" t="s">
        <v>13462</v>
      </c>
      <c r="C3948" s="202" t="s">
        <v>13463</v>
      </c>
      <c r="D3948" s="152"/>
      <c r="E3948" s="154" t="s">
        <v>232</v>
      </c>
      <c r="F3948" s="180"/>
    </row>
    <row r="3949" customHeight="1" spans="1:6">
      <c r="A3949" s="9" t="s">
        <v>13464</v>
      </c>
      <c r="B3949" s="200" t="s">
        <v>13465</v>
      </c>
      <c r="C3949" s="202" t="s">
        <v>13466</v>
      </c>
      <c r="D3949" s="152"/>
      <c r="E3949" s="154"/>
      <c r="F3949" s="180"/>
    </row>
    <row r="3950" customHeight="1" spans="1:6">
      <c r="A3950" s="9" t="s">
        <v>13467</v>
      </c>
      <c r="B3950" s="201" t="s">
        <v>13468</v>
      </c>
      <c r="C3950" s="202" t="s">
        <v>13469</v>
      </c>
      <c r="D3950" s="154" t="s">
        <v>13470</v>
      </c>
      <c r="E3950" s="154" t="s">
        <v>211</v>
      </c>
      <c r="F3950" s="180"/>
    </row>
    <row r="3951" customHeight="1" spans="1:6">
      <c r="A3951" s="9" t="s">
        <v>13471</v>
      </c>
      <c r="B3951" s="195" t="s">
        <v>13472</v>
      </c>
      <c r="C3951" s="202" t="s">
        <v>13473</v>
      </c>
      <c r="D3951" s="158"/>
      <c r="E3951" s="154"/>
      <c r="F3951" s="180"/>
    </row>
    <row r="3952" customHeight="1" spans="1:6">
      <c r="A3952" s="9" t="s">
        <v>13474</v>
      </c>
      <c r="B3952" s="222" t="str">
        <f>IFERROR(__xludf.DUMMYFUNCTION("""COMPUTED_VALUE"""),"Belayneh Melese Asmamaw")</f>
        <v>Belayneh Melese Asmamaw</v>
      </c>
      <c r="C3952" s="222" t="str">
        <f>IFERROR(__xludf.DUMMYFUNCTION("""COMPUTED_VALUE"""),"በላይነህ መለሰ አስማማዉ")</f>
        <v>በላይነህ መለሰ አስማማዉ</v>
      </c>
      <c r="D3952" s="222" t="str">
        <f>IFERROR(__xludf.DUMMYFUNCTION("""COMPUTED_VALUE"""),"911213883")</f>
        <v>911213883</v>
      </c>
      <c r="E3952" s="222" t="str">
        <f>IFERROR(__xludf.DUMMYFUNCTION("""COMPUTED_VALUE"""),"Addis Ababa")</f>
        <v>Addis Ababa</v>
      </c>
      <c r="F3952" s="222"/>
    </row>
    <row r="3953" customHeight="1" spans="1:6">
      <c r="A3953" s="9" t="s">
        <v>13475</v>
      </c>
      <c r="B3953" s="160" t="s">
        <v>13476</v>
      </c>
      <c r="C3953" s="160" t="s">
        <v>13477</v>
      </c>
      <c r="D3953" s="204" t="s">
        <v>13478</v>
      </c>
      <c r="E3953" s="204" t="s">
        <v>92</v>
      </c>
      <c r="F3953" s="204"/>
    </row>
    <row r="3954" customHeight="1" spans="1:6">
      <c r="A3954" s="9" t="s">
        <v>13479</v>
      </c>
      <c r="B3954" s="201" t="s">
        <v>13480</v>
      </c>
      <c r="C3954" s="202" t="s">
        <v>13481</v>
      </c>
      <c r="D3954" s="154" t="s">
        <v>13482</v>
      </c>
      <c r="E3954" s="154"/>
      <c r="F3954" s="180"/>
    </row>
    <row r="3955" customHeight="1" spans="1:6">
      <c r="A3955" s="9" t="s">
        <v>13483</v>
      </c>
      <c r="B3955" s="162" t="s">
        <v>13484</v>
      </c>
      <c r="C3955" s="205" t="s">
        <v>13485</v>
      </c>
      <c r="D3955" s="244" t="s">
        <v>13486</v>
      </c>
      <c r="E3955" s="26" t="s">
        <v>92</v>
      </c>
      <c r="F3955" s="26"/>
    </row>
    <row r="3956" customHeight="1" spans="1:6">
      <c r="A3956" s="9" t="s">
        <v>13487</v>
      </c>
      <c r="B3956" s="200" t="s">
        <v>13488</v>
      </c>
      <c r="C3956" s="202" t="s">
        <v>13489</v>
      </c>
      <c r="D3956" s="152"/>
      <c r="E3956" s="154" t="s">
        <v>232</v>
      </c>
      <c r="F3956" s="180"/>
    </row>
    <row r="3957" customHeight="1" spans="1:6">
      <c r="A3957" s="9" t="s">
        <v>13490</v>
      </c>
      <c r="B3957" s="214" t="s">
        <v>13491</v>
      </c>
      <c r="C3957" s="214" t="s">
        <v>13492</v>
      </c>
      <c r="D3957" s="194"/>
      <c r="E3957" s="204" t="s">
        <v>92</v>
      </c>
      <c r="F3957" s="204"/>
    </row>
    <row r="3958" customHeight="1" spans="1:6">
      <c r="A3958" s="9" t="s">
        <v>13493</v>
      </c>
      <c r="B3958" s="201" t="s">
        <v>13494</v>
      </c>
      <c r="C3958" s="202" t="s">
        <v>13495</v>
      </c>
      <c r="D3958" s="154"/>
      <c r="E3958" s="154"/>
      <c r="F3958" s="180"/>
    </row>
    <row r="3959" customHeight="1" spans="1:6">
      <c r="A3959" s="9" t="s">
        <v>13496</v>
      </c>
      <c r="B3959" s="195" t="s">
        <v>13497</v>
      </c>
      <c r="C3959" s="202" t="s">
        <v>13498</v>
      </c>
      <c r="D3959" s="152"/>
      <c r="E3959" s="154" t="s">
        <v>232</v>
      </c>
      <c r="F3959" s="180"/>
    </row>
    <row r="3960" customHeight="1" spans="1:6">
      <c r="A3960" s="9" t="s">
        <v>13499</v>
      </c>
      <c r="B3960" s="194" t="s">
        <v>13500</v>
      </c>
      <c r="C3960" s="202" t="s">
        <v>13501</v>
      </c>
      <c r="D3960" s="153"/>
      <c r="E3960" s="180" t="s">
        <v>216</v>
      </c>
      <c r="F3960" s="180"/>
    </row>
    <row r="3961" customHeight="1" spans="1:6">
      <c r="A3961" s="9" t="s">
        <v>13502</v>
      </c>
      <c r="B3961" s="160" t="s">
        <v>13503</v>
      </c>
      <c r="C3961" s="160" t="s">
        <v>13504</v>
      </c>
      <c r="D3961" s="204" t="s">
        <v>13505</v>
      </c>
      <c r="E3961" s="204" t="s">
        <v>92</v>
      </c>
      <c r="F3961" s="204"/>
    </row>
    <row r="3962" customHeight="1" spans="1:6">
      <c r="A3962" s="9" t="s">
        <v>13506</v>
      </c>
      <c r="B3962" s="200" t="s">
        <v>13507</v>
      </c>
      <c r="C3962" s="202" t="s">
        <v>13508</v>
      </c>
      <c r="D3962" s="152"/>
      <c r="E3962" s="154" t="s">
        <v>232</v>
      </c>
      <c r="F3962" s="180"/>
    </row>
    <row r="3963" customHeight="1" spans="1:6">
      <c r="A3963" s="9" t="s">
        <v>13509</v>
      </c>
      <c r="B3963" s="160" t="s">
        <v>13510</v>
      </c>
      <c r="C3963" s="160" t="s">
        <v>13511</v>
      </c>
      <c r="D3963" s="204" t="s">
        <v>13512</v>
      </c>
      <c r="E3963" s="204" t="s">
        <v>92</v>
      </c>
      <c r="F3963" s="204"/>
    </row>
    <row r="3964" customHeight="1" spans="1:6">
      <c r="A3964" s="9" t="s">
        <v>13513</v>
      </c>
      <c r="B3964" s="158" t="s">
        <v>13514</v>
      </c>
      <c r="C3964" s="202" t="s">
        <v>13515</v>
      </c>
      <c r="D3964" s="158"/>
      <c r="E3964" s="154" t="s">
        <v>104</v>
      </c>
      <c r="F3964" s="180"/>
    </row>
    <row r="3965" customHeight="1" spans="1:6">
      <c r="A3965" s="9" t="s">
        <v>13516</v>
      </c>
      <c r="B3965" s="214" t="s">
        <v>13517</v>
      </c>
      <c r="C3965" s="214" t="s">
        <v>13518</v>
      </c>
      <c r="D3965" s="194"/>
      <c r="E3965" s="204" t="s">
        <v>92</v>
      </c>
      <c r="F3965" s="204"/>
    </row>
    <row r="3966" customHeight="1" spans="1:6">
      <c r="A3966" s="9" t="s">
        <v>13519</v>
      </c>
      <c r="B3966" s="160" t="s">
        <v>13520</v>
      </c>
      <c r="C3966" s="160" t="s">
        <v>13521</v>
      </c>
      <c r="D3966" s="204" t="s">
        <v>13522</v>
      </c>
      <c r="E3966" s="204" t="s">
        <v>92</v>
      </c>
      <c r="F3966" s="204"/>
    </row>
    <row r="3967" customHeight="1" spans="1:6">
      <c r="A3967" s="9" t="s">
        <v>13523</v>
      </c>
      <c r="B3967" s="302" t="s">
        <v>13524</v>
      </c>
      <c r="C3967" s="302" t="s">
        <v>13525</v>
      </c>
      <c r="D3967" s="204" t="s">
        <v>13526</v>
      </c>
      <c r="E3967" s="204" t="s">
        <v>92</v>
      </c>
      <c r="F3967" s="204"/>
    </row>
    <row r="3968" customHeight="1" spans="1:6">
      <c r="A3968" s="9" t="s">
        <v>13527</v>
      </c>
      <c r="B3968" s="160" t="s">
        <v>13528</v>
      </c>
      <c r="C3968" s="160" t="s">
        <v>13529</v>
      </c>
      <c r="D3968" s="204" t="s">
        <v>13530</v>
      </c>
      <c r="E3968" s="204" t="s">
        <v>92</v>
      </c>
      <c r="F3968" s="204"/>
    </row>
    <row r="3969" customHeight="1" spans="1:6">
      <c r="A3969" s="9" t="s">
        <v>13531</v>
      </c>
      <c r="B3969" s="160" t="s">
        <v>13532</v>
      </c>
      <c r="C3969" s="160" t="s">
        <v>13533</v>
      </c>
      <c r="D3969" s="204" t="s">
        <v>13534</v>
      </c>
      <c r="E3969" s="204" t="s">
        <v>92</v>
      </c>
      <c r="F3969" s="204"/>
    </row>
    <row r="3970" customHeight="1" spans="1:6">
      <c r="A3970" s="9" t="s">
        <v>13535</v>
      </c>
      <c r="B3970" s="200" t="s">
        <v>13536</v>
      </c>
      <c r="C3970" s="246" t="s">
        <v>13537</v>
      </c>
      <c r="D3970" s="194"/>
      <c r="E3970" s="194" t="s">
        <v>186</v>
      </c>
      <c r="F3970" s="194"/>
    </row>
    <row r="3971" customHeight="1" spans="1:6">
      <c r="A3971" s="9" t="s">
        <v>13538</v>
      </c>
      <c r="B3971" s="223" t="s">
        <v>13539</v>
      </c>
      <c r="C3971" s="223" t="s">
        <v>13540</v>
      </c>
      <c r="D3971" s="204" t="s">
        <v>13541</v>
      </c>
      <c r="E3971" s="204" t="s">
        <v>92</v>
      </c>
      <c r="F3971" s="204"/>
    </row>
    <row r="3972" customHeight="1" spans="1:6">
      <c r="A3972" s="9" t="s">
        <v>13542</v>
      </c>
      <c r="B3972" s="205" t="s">
        <v>13543</v>
      </c>
      <c r="C3972" s="205" t="s">
        <v>13544</v>
      </c>
      <c r="D3972" s="206" t="s">
        <v>13545</v>
      </c>
      <c r="E3972" s="193" t="s">
        <v>120</v>
      </c>
      <c r="F3972" s="221" t="s">
        <v>13546</v>
      </c>
    </row>
    <row r="3973" customHeight="1" spans="1:6">
      <c r="A3973" s="9" t="s">
        <v>13547</v>
      </c>
      <c r="B3973" s="160" t="s">
        <v>13548</v>
      </c>
      <c r="C3973" s="160" t="s">
        <v>13549</v>
      </c>
      <c r="D3973" s="204" t="s">
        <v>13550</v>
      </c>
      <c r="E3973" s="204" t="s">
        <v>92</v>
      </c>
      <c r="F3973" s="204"/>
    </row>
    <row r="3974" customHeight="1" spans="1:6">
      <c r="A3974" s="9" t="s">
        <v>13551</v>
      </c>
      <c r="B3974" s="223" t="s">
        <v>13552</v>
      </c>
      <c r="C3974" s="223" t="s">
        <v>13553</v>
      </c>
      <c r="D3974" s="194"/>
      <c r="E3974" s="204" t="s">
        <v>92</v>
      </c>
      <c r="F3974" s="204"/>
    </row>
    <row r="3975" customHeight="1" spans="1:6">
      <c r="A3975" s="9" t="s">
        <v>13554</v>
      </c>
      <c r="B3975" s="215" t="s">
        <v>13555</v>
      </c>
      <c r="C3975" s="205" t="s">
        <v>13556</v>
      </c>
      <c r="D3975" s="227" t="s">
        <v>13557</v>
      </c>
      <c r="E3975" s="193" t="s">
        <v>120</v>
      </c>
      <c r="F3975" s="216" t="s">
        <v>13558</v>
      </c>
    </row>
    <row r="3976" customHeight="1" spans="1:6">
      <c r="A3976" s="9" t="s">
        <v>13559</v>
      </c>
      <c r="B3976" s="214" t="s">
        <v>13560</v>
      </c>
      <c r="C3976" s="214" t="s">
        <v>13561</v>
      </c>
      <c r="D3976" s="194"/>
      <c r="E3976" s="204" t="s">
        <v>92</v>
      </c>
      <c r="F3976" s="204"/>
    </row>
    <row r="3977" customHeight="1" spans="1:6">
      <c r="A3977" s="9" t="s">
        <v>13562</v>
      </c>
      <c r="B3977" s="214" t="s">
        <v>13563</v>
      </c>
      <c r="C3977" s="214" t="s">
        <v>13564</v>
      </c>
      <c r="D3977" s="194"/>
      <c r="E3977" s="204" t="s">
        <v>92</v>
      </c>
      <c r="F3977" s="204"/>
    </row>
    <row r="3978" customHeight="1" spans="1:6">
      <c r="A3978" s="9" t="s">
        <v>13565</v>
      </c>
      <c r="B3978" s="214" t="s">
        <v>13566</v>
      </c>
      <c r="C3978" s="214" t="s">
        <v>13567</v>
      </c>
      <c r="D3978" s="194"/>
      <c r="E3978" s="204" t="s">
        <v>92</v>
      </c>
      <c r="F3978" s="204"/>
    </row>
    <row r="3979" customHeight="1" spans="1:6">
      <c r="A3979" s="9" t="s">
        <v>13568</v>
      </c>
      <c r="B3979" s="200" t="s">
        <v>13569</v>
      </c>
      <c r="C3979" s="202" t="s">
        <v>13570</v>
      </c>
      <c r="D3979" s="158"/>
      <c r="E3979" s="154" t="s">
        <v>243</v>
      </c>
      <c r="F3979" s="180"/>
    </row>
    <row r="3980" customHeight="1" spans="1:6">
      <c r="A3980" s="9" t="s">
        <v>13571</v>
      </c>
      <c r="B3980" s="201" t="s">
        <v>13572</v>
      </c>
      <c r="C3980" s="202" t="s">
        <v>13573</v>
      </c>
      <c r="D3980" s="154" t="s">
        <v>13574</v>
      </c>
      <c r="E3980" s="154" t="s">
        <v>243</v>
      </c>
      <c r="F3980" s="180"/>
    </row>
    <row r="3981" customHeight="1" spans="1:6">
      <c r="A3981" s="9" t="s">
        <v>13575</v>
      </c>
      <c r="B3981" s="195" t="s">
        <v>13576</v>
      </c>
      <c r="C3981" s="202" t="s">
        <v>13577</v>
      </c>
      <c r="D3981" s="158"/>
      <c r="E3981" s="154" t="s">
        <v>310</v>
      </c>
      <c r="F3981" s="180"/>
    </row>
    <row r="3982" customHeight="1" spans="1:6">
      <c r="A3982" s="9" t="s">
        <v>13578</v>
      </c>
      <c r="B3982" s="195" t="s">
        <v>13579</v>
      </c>
      <c r="C3982" s="202" t="s">
        <v>13580</v>
      </c>
      <c r="D3982" s="152"/>
      <c r="E3982" s="154" t="s">
        <v>104</v>
      </c>
      <c r="F3982" s="180"/>
    </row>
    <row r="3983" customHeight="1" spans="1:6">
      <c r="A3983" s="9" t="s">
        <v>13581</v>
      </c>
      <c r="B3983" s="195" t="s">
        <v>13582</v>
      </c>
      <c r="C3983" s="196" t="s">
        <v>13583</v>
      </c>
      <c r="D3983" s="197" t="s">
        <v>13584</v>
      </c>
      <c r="E3983" s="198" t="s">
        <v>1958</v>
      </c>
      <c r="F3983" s="199"/>
    </row>
    <row r="3984" customHeight="1" spans="1:6">
      <c r="A3984" s="9" t="s">
        <v>13585</v>
      </c>
      <c r="B3984" s="201" t="s">
        <v>13586</v>
      </c>
      <c r="C3984" s="202" t="s">
        <v>13587</v>
      </c>
      <c r="D3984" s="154" t="s">
        <v>13588</v>
      </c>
      <c r="E3984" s="154" t="s">
        <v>211</v>
      </c>
      <c r="F3984" s="180"/>
    </row>
    <row r="3985" customHeight="1" spans="1:6">
      <c r="A3985" s="9" t="s">
        <v>13589</v>
      </c>
      <c r="B3985" s="195" t="s">
        <v>13590</v>
      </c>
      <c r="C3985" s="196" t="s">
        <v>13591</v>
      </c>
      <c r="D3985" s="197" t="s">
        <v>13584</v>
      </c>
      <c r="E3985" s="198" t="s">
        <v>216</v>
      </c>
      <c r="F3985" s="199"/>
    </row>
    <row r="3986" customHeight="1" spans="1:6">
      <c r="A3986" s="9" t="s">
        <v>13592</v>
      </c>
      <c r="B3986" s="200" t="s">
        <v>13593</v>
      </c>
      <c r="C3986" s="202" t="s">
        <v>13594</v>
      </c>
      <c r="D3986" s="152" t="s">
        <v>13595</v>
      </c>
      <c r="E3986" s="154" t="s">
        <v>232</v>
      </c>
      <c r="F3986" s="180"/>
    </row>
    <row r="3987" customHeight="1" spans="1:6">
      <c r="A3987" s="9" t="s">
        <v>13596</v>
      </c>
      <c r="B3987" s="195" t="s">
        <v>13597</v>
      </c>
      <c r="C3987" s="202" t="s">
        <v>13598</v>
      </c>
      <c r="D3987" s="158"/>
      <c r="E3987" s="154" t="s">
        <v>104</v>
      </c>
      <c r="F3987" s="180"/>
    </row>
    <row r="3988" customHeight="1" spans="1:6">
      <c r="A3988" s="9" t="s">
        <v>13599</v>
      </c>
      <c r="B3988" s="201" t="s">
        <v>13600</v>
      </c>
      <c r="C3988" s="202" t="s">
        <v>13601</v>
      </c>
      <c r="D3988" s="154" t="s">
        <v>13602</v>
      </c>
      <c r="E3988" s="154"/>
      <c r="F3988" s="180"/>
    </row>
    <row r="3989" customHeight="1" spans="1:6">
      <c r="A3989" s="9" t="s">
        <v>13603</v>
      </c>
      <c r="B3989" s="195" t="s">
        <v>13604</v>
      </c>
      <c r="C3989" s="196" t="s">
        <v>13605</v>
      </c>
      <c r="D3989" s="197"/>
      <c r="E3989" s="197" t="s">
        <v>253</v>
      </c>
      <c r="F3989" s="197"/>
    </row>
    <row r="3990" customHeight="1" spans="1:6">
      <c r="A3990" s="9" t="s">
        <v>13606</v>
      </c>
      <c r="B3990" s="195" t="s">
        <v>13607</v>
      </c>
      <c r="C3990" s="196" t="s">
        <v>13608</v>
      </c>
      <c r="D3990" s="197" t="s">
        <v>11976</v>
      </c>
      <c r="E3990" s="198" t="s">
        <v>216</v>
      </c>
      <c r="F3990" s="199"/>
    </row>
    <row r="3991" customHeight="1" spans="1:6">
      <c r="A3991" s="9" t="s">
        <v>13609</v>
      </c>
      <c r="B3991" s="197" t="s">
        <v>13610</v>
      </c>
      <c r="C3991" s="254" t="s">
        <v>13611</v>
      </c>
      <c r="D3991" s="197"/>
      <c r="E3991" s="158" t="s">
        <v>216</v>
      </c>
      <c r="F3991" s="158"/>
    </row>
    <row r="3992" customHeight="1" spans="1:6">
      <c r="A3992" s="9" t="s">
        <v>13612</v>
      </c>
      <c r="B3992" s="200" t="s">
        <v>13613</v>
      </c>
      <c r="C3992" s="202" t="s">
        <v>13614</v>
      </c>
      <c r="D3992" s="152" t="s">
        <v>13615</v>
      </c>
      <c r="E3992" s="154" t="s">
        <v>104</v>
      </c>
      <c r="F3992" s="180"/>
    </row>
    <row r="3993" customHeight="1" spans="1:6">
      <c r="A3993" s="9" t="s">
        <v>13616</v>
      </c>
      <c r="B3993" s="200" t="s">
        <v>13617</v>
      </c>
      <c r="C3993" s="202" t="s">
        <v>13618</v>
      </c>
      <c r="D3993" s="152"/>
      <c r="E3993" s="154" t="s">
        <v>232</v>
      </c>
      <c r="F3993" s="180"/>
    </row>
    <row r="3994" customHeight="1" spans="1:6">
      <c r="A3994" s="9" t="s">
        <v>13619</v>
      </c>
      <c r="B3994" s="200" t="s">
        <v>13620</v>
      </c>
      <c r="C3994" s="192" t="s">
        <v>13621</v>
      </c>
      <c r="D3994" s="194"/>
      <c r="E3994" s="194" t="s">
        <v>104</v>
      </c>
      <c r="F3994" s="194"/>
    </row>
    <row r="3995" customHeight="1" spans="1:6">
      <c r="A3995" s="9" t="s">
        <v>13622</v>
      </c>
      <c r="B3995" s="201" t="s">
        <v>13623</v>
      </c>
      <c r="C3995" s="202" t="s">
        <v>13624</v>
      </c>
      <c r="D3995" s="154" t="s">
        <v>13625</v>
      </c>
      <c r="E3995" s="154" t="s">
        <v>1395</v>
      </c>
      <c r="F3995" s="180"/>
    </row>
    <row r="3996" customHeight="1" spans="1:6">
      <c r="A3996" s="9" t="s">
        <v>13626</v>
      </c>
      <c r="B3996" s="200" t="s">
        <v>13627</v>
      </c>
      <c r="C3996" s="236" t="s">
        <v>13628</v>
      </c>
      <c r="D3996" s="194"/>
      <c r="E3996" s="193" t="s">
        <v>216</v>
      </c>
      <c r="F3996" s="191"/>
    </row>
    <row r="3997" customHeight="1" spans="1:6">
      <c r="A3997" s="9" t="s">
        <v>13629</v>
      </c>
      <c r="B3997" s="158" t="s">
        <v>13630</v>
      </c>
      <c r="C3997" s="202" t="s">
        <v>13631</v>
      </c>
      <c r="D3997" s="158" t="s">
        <v>13632</v>
      </c>
      <c r="E3997" s="154" t="s">
        <v>211</v>
      </c>
      <c r="F3997" s="180"/>
    </row>
    <row r="3998" customHeight="1" spans="1:6">
      <c r="A3998" s="9" t="s">
        <v>13633</v>
      </c>
      <c r="B3998" s="200" t="s">
        <v>13634</v>
      </c>
      <c r="C3998" s="192" t="s">
        <v>13635</v>
      </c>
      <c r="D3998" s="194" t="s">
        <v>13636</v>
      </c>
      <c r="E3998" s="194" t="s">
        <v>104</v>
      </c>
      <c r="F3998" s="194"/>
    </row>
    <row r="3999" customHeight="1" spans="1:6">
      <c r="A3999" s="9" t="s">
        <v>13637</v>
      </c>
      <c r="B3999" s="195" t="s">
        <v>13638</v>
      </c>
      <c r="C3999" s="202" t="s">
        <v>13639</v>
      </c>
      <c r="D3999" s="152" t="s">
        <v>13640</v>
      </c>
      <c r="E3999" s="154" t="s">
        <v>479</v>
      </c>
      <c r="F3999" s="180"/>
    </row>
    <row r="4000" customHeight="1" spans="1:6">
      <c r="A4000" s="9" t="s">
        <v>13641</v>
      </c>
      <c r="B4000" s="201" t="s">
        <v>13642</v>
      </c>
      <c r="C4000" s="202" t="s">
        <v>13643</v>
      </c>
      <c r="D4000" s="154"/>
      <c r="E4000" s="154" t="s">
        <v>243</v>
      </c>
      <c r="F4000" s="180"/>
    </row>
    <row r="4001" customHeight="1" spans="1:6">
      <c r="A4001" s="9" t="s">
        <v>13644</v>
      </c>
      <c r="B4001" s="195" t="s">
        <v>13645</v>
      </c>
      <c r="C4001" s="213" t="s">
        <v>13646</v>
      </c>
      <c r="D4001" s="197">
        <v>960463050</v>
      </c>
      <c r="E4001" s="197" t="s">
        <v>1852</v>
      </c>
      <c r="F4001" s="197"/>
    </row>
    <row r="4002" customHeight="1" spans="1:6">
      <c r="A4002" s="9" t="s">
        <v>13647</v>
      </c>
      <c r="B4002" s="201" t="s">
        <v>13648</v>
      </c>
      <c r="C4002" s="202" t="s">
        <v>13649</v>
      </c>
      <c r="D4002" s="154" t="s">
        <v>13650</v>
      </c>
      <c r="E4002" s="154" t="s">
        <v>243</v>
      </c>
      <c r="F4002" s="180"/>
    </row>
    <row r="4003" customHeight="1" spans="1:6">
      <c r="A4003" s="9" t="s">
        <v>13651</v>
      </c>
      <c r="B4003" s="201" t="s">
        <v>13652</v>
      </c>
      <c r="C4003" s="202" t="s">
        <v>13653</v>
      </c>
      <c r="D4003" s="153"/>
      <c r="E4003" s="180" t="s">
        <v>216</v>
      </c>
      <c r="F4003" s="180"/>
    </row>
    <row r="4004" customHeight="1" spans="1:6">
      <c r="A4004" s="9" t="s">
        <v>13654</v>
      </c>
      <c r="B4004" s="200" t="s">
        <v>13655</v>
      </c>
      <c r="C4004" s="192" t="s">
        <v>13656</v>
      </c>
      <c r="D4004" s="274"/>
      <c r="E4004" s="193" t="s">
        <v>1395</v>
      </c>
      <c r="F4004" s="191"/>
    </row>
    <row r="4005" customHeight="1" spans="1:6">
      <c r="A4005" s="9" t="s">
        <v>13657</v>
      </c>
      <c r="B4005" s="160" t="s">
        <v>13658</v>
      </c>
      <c r="C4005" s="160" t="s">
        <v>13659</v>
      </c>
      <c r="D4005" s="164" t="s">
        <v>13660</v>
      </c>
      <c r="E4005" s="164" t="s">
        <v>5944</v>
      </c>
      <c r="F4005" s="164" t="s">
        <v>13661</v>
      </c>
    </row>
    <row r="4006" customHeight="1" spans="1:6">
      <c r="A4006" s="9" t="s">
        <v>13662</v>
      </c>
      <c r="B4006" s="200" t="s">
        <v>13663</v>
      </c>
      <c r="C4006" s="202" t="s">
        <v>13664</v>
      </c>
      <c r="D4006" s="152"/>
      <c r="E4006" s="154"/>
      <c r="F4006" s="180"/>
    </row>
    <row r="4007" customHeight="1" spans="1:6">
      <c r="A4007" s="9" t="s">
        <v>13665</v>
      </c>
      <c r="B4007" s="200" t="s">
        <v>13666</v>
      </c>
      <c r="C4007" s="203" t="s">
        <v>13667</v>
      </c>
      <c r="D4007" s="194"/>
      <c r="E4007" s="194" t="s">
        <v>273</v>
      </c>
      <c r="F4007" s="194"/>
    </row>
    <row r="4008" customHeight="1" spans="1:6">
      <c r="A4008" s="9" t="s">
        <v>13668</v>
      </c>
      <c r="B4008" s="214" t="s">
        <v>13669</v>
      </c>
      <c r="C4008" s="214" t="s">
        <v>13670</v>
      </c>
      <c r="D4008" s="194"/>
      <c r="E4008" s="204" t="s">
        <v>92</v>
      </c>
      <c r="F4008" s="204"/>
    </row>
    <row r="4009" customHeight="1" spans="1:6">
      <c r="A4009" s="9" t="s">
        <v>13671</v>
      </c>
      <c r="B4009" s="214" t="s">
        <v>13672</v>
      </c>
      <c r="C4009" s="214" t="s">
        <v>13673</v>
      </c>
      <c r="D4009" s="194"/>
      <c r="E4009" s="204" t="s">
        <v>92</v>
      </c>
      <c r="F4009" s="204"/>
    </row>
    <row r="4010" customHeight="1" spans="1:6">
      <c r="A4010" s="9" t="s">
        <v>13674</v>
      </c>
      <c r="B4010" s="200" t="s">
        <v>13675</v>
      </c>
      <c r="C4010" s="202" t="s">
        <v>13676</v>
      </c>
      <c r="D4010" s="152"/>
      <c r="E4010" s="154" t="s">
        <v>104</v>
      </c>
      <c r="F4010" s="180"/>
    </row>
    <row r="4011" customHeight="1" spans="1:6">
      <c r="A4011" s="9" t="s">
        <v>13677</v>
      </c>
      <c r="B4011" s="153" t="s">
        <v>13678</v>
      </c>
      <c r="C4011" s="202" t="s">
        <v>13679</v>
      </c>
      <c r="D4011" s="152"/>
      <c r="E4011" s="154" t="s">
        <v>104</v>
      </c>
      <c r="F4011" s="180"/>
    </row>
    <row r="4012" customHeight="1" spans="1:6">
      <c r="A4012" s="9" t="s">
        <v>13680</v>
      </c>
      <c r="B4012" s="195" t="s">
        <v>13681</v>
      </c>
      <c r="C4012" s="202" t="s">
        <v>13682</v>
      </c>
      <c r="D4012" s="152"/>
      <c r="E4012" s="154"/>
      <c r="F4012" s="180"/>
    </row>
    <row r="4013" customHeight="1" spans="1:6">
      <c r="A4013" s="9" t="s">
        <v>13683</v>
      </c>
      <c r="B4013" s="233" t="s">
        <v>13684</v>
      </c>
      <c r="C4013" s="233" t="s">
        <v>13685</v>
      </c>
      <c r="D4013" s="204" t="s">
        <v>13686</v>
      </c>
      <c r="E4013" s="204" t="s">
        <v>605</v>
      </c>
      <c r="F4013" s="204" t="s">
        <v>13687</v>
      </c>
    </row>
    <row r="4014" customHeight="1" spans="1:6">
      <c r="A4014" s="9" t="s">
        <v>13688</v>
      </c>
      <c r="B4014" s="222" t="str">
        <f>IFERROR(__xludf.DUMMYFUNCTION("""COMPUTED_VALUE"""),"Belete K/tsehay Addis")</f>
        <v>Belete K/tsehay Addis</v>
      </c>
      <c r="C4014" s="222" t="str">
        <f>IFERROR(__xludf.DUMMYFUNCTION("""COMPUTED_VALUE"""),"በለጠ ክበበፀሃይ አዲስ")</f>
        <v>በለጠ ክበበፀሃይ አዲስ</v>
      </c>
      <c r="D4014" s="222" t="str">
        <f>IFERROR(__xludf.DUMMYFUNCTION("""COMPUTED_VALUE"""),"911456579")</f>
        <v>911456579</v>
      </c>
      <c r="E4014" s="222" t="str">
        <f>IFERROR(__xludf.DUMMYFUNCTION("""COMPUTED_VALUE"""),"Addis Ababa")</f>
        <v>Addis Ababa</v>
      </c>
      <c r="F4014" s="222"/>
    </row>
    <row r="4015" customHeight="1" spans="1:6">
      <c r="A4015" s="9" t="s">
        <v>13689</v>
      </c>
      <c r="B4015" s="223" t="s">
        <v>13690</v>
      </c>
      <c r="C4015" s="223" t="s">
        <v>13691</v>
      </c>
      <c r="D4015" s="204" t="s">
        <v>13692</v>
      </c>
      <c r="E4015" s="173" t="s">
        <v>92</v>
      </c>
      <c r="F4015" s="234"/>
    </row>
    <row r="4016" customHeight="1" spans="1:6">
      <c r="A4016" s="9" t="s">
        <v>13693</v>
      </c>
      <c r="B4016" s="214" t="s">
        <v>13694</v>
      </c>
      <c r="C4016" s="214" t="s">
        <v>13695</v>
      </c>
      <c r="D4016" s="194"/>
      <c r="E4016" s="204" t="s">
        <v>92</v>
      </c>
      <c r="F4016" s="204"/>
    </row>
    <row r="4017" customHeight="1" spans="1:6">
      <c r="A4017" s="9" t="s">
        <v>13696</v>
      </c>
      <c r="B4017" s="214" t="s">
        <v>13697</v>
      </c>
      <c r="C4017" s="214" t="s">
        <v>13698</v>
      </c>
      <c r="D4017" s="194"/>
      <c r="E4017" s="204" t="s">
        <v>92</v>
      </c>
      <c r="F4017" s="204"/>
    </row>
    <row r="4018" customHeight="1" spans="1:6">
      <c r="A4018" s="9" t="s">
        <v>13699</v>
      </c>
      <c r="B4018" s="195" t="s">
        <v>13700</v>
      </c>
      <c r="C4018" s="202" t="s">
        <v>13701</v>
      </c>
      <c r="D4018" s="154">
        <v>913911015</v>
      </c>
      <c r="E4018" s="154" t="s">
        <v>479</v>
      </c>
      <c r="F4018" s="180"/>
    </row>
    <row r="4019" customHeight="1" spans="1:6">
      <c r="A4019" s="9" t="s">
        <v>13702</v>
      </c>
      <c r="B4019" s="201" t="s">
        <v>13703</v>
      </c>
      <c r="C4019" s="202" t="s">
        <v>13704</v>
      </c>
      <c r="D4019" s="154" t="s">
        <v>13705</v>
      </c>
      <c r="E4019" s="154" t="s">
        <v>9</v>
      </c>
      <c r="F4019" s="180"/>
    </row>
    <row r="4020" customHeight="1" spans="1:6">
      <c r="A4020" s="9" t="s">
        <v>13706</v>
      </c>
      <c r="B4020" s="200" t="s">
        <v>13707</v>
      </c>
      <c r="C4020" s="192" t="s">
        <v>13708</v>
      </c>
      <c r="D4020" s="194"/>
      <c r="E4020" s="193" t="s">
        <v>202</v>
      </c>
      <c r="F4020" s="191"/>
    </row>
    <row r="4021" customHeight="1" spans="1:6">
      <c r="A4021" s="9" t="s">
        <v>13709</v>
      </c>
      <c r="B4021" s="160" t="s">
        <v>13710</v>
      </c>
      <c r="C4021" s="160" t="s">
        <v>13711</v>
      </c>
      <c r="D4021" s="204" t="s">
        <v>13712</v>
      </c>
      <c r="E4021" s="204" t="s">
        <v>92</v>
      </c>
      <c r="F4021" s="204"/>
    </row>
    <row r="4022" customHeight="1" spans="1:6">
      <c r="A4022" s="9" t="s">
        <v>13713</v>
      </c>
      <c r="B4022" s="201" t="s">
        <v>13714</v>
      </c>
      <c r="C4022" s="202" t="s">
        <v>13715</v>
      </c>
      <c r="D4022" s="154"/>
      <c r="E4022" s="154" t="s">
        <v>243</v>
      </c>
      <c r="F4022" s="180"/>
    </row>
    <row r="4023" customHeight="1" spans="1:6">
      <c r="A4023" s="9" t="s">
        <v>13716</v>
      </c>
      <c r="B4023" s="160" t="s">
        <v>13717</v>
      </c>
      <c r="C4023" s="160" t="s">
        <v>13718</v>
      </c>
      <c r="D4023" s="204" t="s">
        <v>13719</v>
      </c>
      <c r="E4023" s="204" t="s">
        <v>92</v>
      </c>
      <c r="F4023" s="204"/>
    </row>
    <row r="4024" customHeight="1" spans="1:6">
      <c r="A4024" s="9" t="s">
        <v>13720</v>
      </c>
      <c r="B4024" s="205" t="s">
        <v>13717</v>
      </c>
      <c r="C4024" s="205" t="s">
        <v>13718</v>
      </c>
      <c r="D4024" s="206" t="s">
        <v>13721</v>
      </c>
      <c r="E4024" s="193" t="s">
        <v>120</v>
      </c>
      <c r="F4024" s="207" t="s">
        <v>13722</v>
      </c>
    </row>
    <row r="4025" customHeight="1" spans="1:6">
      <c r="A4025" s="9" t="s">
        <v>13723</v>
      </c>
      <c r="B4025" s="195" t="s">
        <v>13724</v>
      </c>
      <c r="C4025" s="213" t="s">
        <v>13725</v>
      </c>
      <c r="D4025" s="197"/>
      <c r="E4025" s="197" t="s">
        <v>1852</v>
      </c>
      <c r="F4025" s="197"/>
    </row>
    <row r="4026" customHeight="1" spans="1:6">
      <c r="A4026" s="9" t="s">
        <v>13726</v>
      </c>
      <c r="B4026" s="200" t="s">
        <v>13727</v>
      </c>
      <c r="C4026" s="202" t="s">
        <v>13728</v>
      </c>
      <c r="D4026" s="158"/>
      <c r="E4026" s="154" t="s">
        <v>310</v>
      </c>
      <c r="F4026" s="180"/>
    </row>
    <row r="4027" customHeight="1" spans="1:6">
      <c r="A4027" s="9" t="s">
        <v>13729</v>
      </c>
      <c r="B4027" s="214" t="s">
        <v>13730</v>
      </c>
      <c r="C4027" s="214" t="s">
        <v>13731</v>
      </c>
      <c r="D4027" s="194"/>
      <c r="E4027" s="204" t="s">
        <v>92</v>
      </c>
      <c r="F4027" s="204"/>
    </row>
    <row r="4028" customHeight="1" spans="1:6">
      <c r="A4028" s="9" t="s">
        <v>13732</v>
      </c>
      <c r="B4028" s="200" t="s">
        <v>13733</v>
      </c>
      <c r="C4028" s="202" t="s">
        <v>13734</v>
      </c>
      <c r="D4028" s="152" t="s">
        <v>13735</v>
      </c>
      <c r="E4028" s="154" t="s">
        <v>232</v>
      </c>
      <c r="F4028" s="180"/>
    </row>
    <row r="4029" customHeight="1" spans="1:6">
      <c r="A4029" s="9" t="s">
        <v>13736</v>
      </c>
      <c r="B4029" s="200" t="s">
        <v>13737</v>
      </c>
      <c r="C4029" s="202" t="s">
        <v>13738</v>
      </c>
      <c r="D4029" s="154"/>
      <c r="E4029" s="154" t="s">
        <v>211</v>
      </c>
      <c r="F4029" s="180"/>
    </row>
    <row r="4030" customHeight="1" spans="1:6">
      <c r="A4030" s="9" t="s">
        <v>13739</v>
      </c>
      <c r="B4030" s="195" t="s">
        <v>13740</v>
      </c>
      <c r="C4030" s="202" t="s">
        <v>13741</v>
      </c>
      <c r="D4030" s="152"/>
      <c r="E4030" s="154" t="s">
        <v>104</v>
      </c>
      <c r="F4030" s="180"/>
    </row>
    <row r="4031" customHeight="1" spans="1:6">
      <c r="A4031" s="9" t="s">
        <v>13742</v>
      </c>
      <c r="B4031" s="195" t="s">
        <v>13743</v>
      </c>
      <c r="C4031" s="203" t="s">
        <v>13744</v>
      </c>
      <c r="D4031" s="197"/>
      <c r="E4031" s="197" t="s">
        <v>253</v>
      </c>
      <c r="F4031" s="197"/>
    </row>
    <row r="4032" customHeight="1" spans="1:6">
      <c r="A4032" s="9" t="s">
        <v>13745</v>
      </c>
      <c r="B4032" s="195" t="s">
        <v>13746</v>
      </c>
      <c r="C4032" s="202" t="s">
        <v>13747</v>
      </c>
      <c r="D4032" s="152"/>
      <c r="E4032" s="154"/>
      <c r="F4032" s="180"/>
    </row>
    <row r="4033" customHeight="1" spans="1:6">
      <c r="A4033" s="9" t="s">
        <v>13748</v>
      </c>
      <c r="B4033" s="195" t="s">
        <v>13749</v>
      </c>
      <c r="C4033" s="202" t="s">
        <v>13750</v>
      </c>
      <c r="D4033" s="158" t="s">
        <v>13751</v>
      </c>
      <c r="E4033" s="154" t="s">
        <v>310</v>
      </c>
      <c r="F4033" s="180"/>
    </row>
    <row r="4034" customHeight="1" spans="1:6">
      <c r="A4034" s="9" t="s">
        <v>13752</v>
      </c>
      <c r="B4034" s="158" t="s">
        <v>13753</v>
      </c>
      <c r="C4034" s="202" t="s">
        <v>13754</v>
      </c>
      <c r="D4034" s="153">
        <v>967076230</v>
      </c>
      <c r="E4034" s="180" t="s">
        <v>202</v>
      </c>
      <c r="F4034" s="180"/>
    </row>
    <row r="4035" customHeight="1" spans="1:6">
      <c r="A4035" s="9" t="s">
        <v>13755</v>
      </c>
      <c r="B4035" s="223" t="s">
        <v>13756</v>
      </c>
      <c r="C4035" s="223" t="s">
        <v>13757</v>
      </c>
      <c r="D4035" s="204">
        <v>911696855</v>
      </c>
      <c r="E4035" s="204" t="s">
        <v>701</v>
      </c>
      <c r="F4035" s="26"/>
    </row>
    <row r="4036" customHeight="1" spans="1:6">
      <c r="A4036" s="9" t="s">
        <v>13758</v>
      </c>
      <c r="B4036" s="160" t="s">
        <v>13759</v>
      </c>
      <c r="C4036" s="160" t="s">
        <v>13760</v>
      </c>
      <c r="D4036" s="204" t="s">
        <v>13761</v>
      </c>
      <c r="E4036" s="204" t="s">
        <v>92</v>
      </c>
      <c r="F4036" s="204"/>
    </row>
    <row r="4037" customHeight="1" spans="1:6">
      <c r="A4037" s="9" t="s">
        <v>13762</v>
      </c>
      <c r="B4037" s="208" t="s">
        <v>13763</v>
      </c>
      <c r="C4037" s="208" t="s">
        <v>13764</v>
      </c>
      <c r="D4037" s="194"/>
      <c r="E4037" s="204" t="s">
        <v>92</v>
      </c>
      <c r="F4037" s="204"/>
    </row>
    <row r="4038" customHeight="1" spans="1:6">
      <c r="A4038" s="9" t="s">
        <v>13765</v>
      </c>
      <c r="B4038" s="224" t="s">
        <v>13766</v>
      </c>
      <c r="C4038" s="225" t="s">
        <v>13767</v>
      </c>
      <c r="D4038" s="228" t="s">
        <v>13768</v>
      </c>
      <c r="E4038" s="229" t="s">
        <v>120</v>
      </c>
      <c r="F4038" s="252" t="s">
        <v>13769</v>
      </c>
    </row>
    <row r="4039" customHeight="1" spans="1:6">
      <c r="A4039" s="9" t="s">
        <v>13770</v>
      </c>
      <c r="B4039" s="258" t="s">
        <v>13771</v>
      </c>
      <c r="C4039" s="258" t="s">
        <v>13772</v>
      </c>
      <c r="D4039" s="240" t="s">
        <v>12762</v>
      </c>
      <c r="E4039" s="240" t="s">
        <v>92</v>
      </c>
      <c r="F4039" s="240"/>
    </row>
    <row r="4040" customHeight="1" spans="1:6">
      <c r="A4040" s="9" t="s">
        <v>13773</v>
      </c>
      <c r="B4040" s="180" t="s">
        <v>13774</v>
      </c>
      <c r="C4040" s="196" t="s">
        <v>13775</v>
      </c>
      <c r="D4040" s="198"/>
      <c r="E4040" s="197" t="s">
        <v>202</v>
      </c>
      <c r="F4040" s="197"/>
    </row>
    <row r="4041" customHeight="1" spans="1:6">
      <c r="A4041" s="9" t="s">
        <v>13776</v>
      </c>
      <c r="B4041" s="233" t="s">
        <v>13777</v>
      </c>
      <c r="C4041" s="233" t="s">
        <v>13778</v>
      </c>
      <c r="D4041" s="204" t="s">
        <v>13779</v>
      </c>
      <c r="E4041" s="204" t="s">
        <v>605</v>
      </c>
      <c r="F4041" s="204" t="s">
        <v>13780</v>
      </c>
    </row>
    <row r="4042" customHeight="1" spans="1:6">
      <c r="A4042" s="9" t="s">
        <v>13781</v>
      </c>
      <c r="B4042" s="222" t="str">
        <f>IFERROR(__xludf.DUMMYFUNCTION("""COMPUTED_VALUE"""),"Beletu Mamo Birbo /W/o/")</f>
        <v>Beletu Mamo Birbo /W/o/</v>
      </c>
      <c r="C4042" s="222" t="str">
        <f>IFERROR(__xludf.DUMMYFUNCTION("""COMPUTED_VALUE"""),"በለጡ ማሞ ቢርቦ /ወ/ሮ/")</f>
        <v>በለጡ ማሞ ቢርቦ /ወ/ሮ/</v>
      </c>
      <c r="D4042" s="222" t="str">
        <f>IFERROR(__xludf.DUMMYFUNCTION("""COMPUTED_VALUE"""),"911732405")</f>
        <v>911732405</v>
      </c>
      <c r="E4042" s="222" t="str">
        <f>IFERROR(__xludf.DUMMYFUNCTION("""COMPUTED_VALUE"""),"A/A")</f>
        <v>A/A</v>
      </c>
      <c r="F4042" s="222" t="str">
        <f>IFERROR(__xludf.DUMMYFUNCTION("""COMPUTED_VALUE"""),"szjaseph94@gmail.Com")</f>
        <v>szjaseph94@gmail.Com</v>
      </c>
    </row>
    <row r="4043" customHeight="1" spans="1:6">
      <c r="A4043" s="9" t="s">
        <v>13782</v>
      </c>
      <c r="B4043" s="222" t="str">
        <f>IFERROR(__xludf.DUMMYFUNCTION("""COMPUTED_VALUE"""),"Beletu Mamo Birbo /W/o/ For Eldana Yosef Gebru /Minor/")</f>
        <v>Beletu Mamo Birbo /W/o/ For Eldana Yosef Gebru /Minor/</v>
      </c>
      <c r="C4043" s="222" t="str">
        <f>IFERROR(__xludf.DUMMYFUNCTION("""COMPUTED_VALUE"""),"በለጡ ማሞ ቢርቦ /ወ/ሮ/ለኤልዳና ዮሴፍ ገብሩ")</f>
        <v>በለጡ ማሞ ቢርቦ /ወ/ሮ/ለኤልዳና ዮሴፍ ገብሩ</v>
      </c>
      <c r="D4043" s="222" t="str">
        <f>IFERROR(__xludf.DUMMYFUNCTION("""COMPUTED_VALUE"""),"911732405")</f>
        <v>911732405</v>
      </c>
      <c r="E4043" s="222" t="str">
        <f>IFERROR(__xludf.DUMMYFUNCTION("""COMPUTED_VALUE"""),"A/A")</f>
        <v>A/A</v>
      </c>
      <c r="F4043" s="222" t="str">
        <f>IFERROR(__xludf.DUMMYFUNCTION("""COMPUTED_VALUE"""),"szjaseph94@gmail.Com")</f>
        <v>szjaseph94@gmail.Com</v>
      </c>
    </row>
    <row r="4044" customHeight="1" spans="1:6">
      <c r="A4044" s="9" t="s">
        <v>13783</v>
      </c>
      <c r="B4044" s="201" t="s">
        <v>13784</v>
      </c>
      <c r="C4044" s="202" t="s">
        <v>13785</v>
      </c>
      <c r="D4044" s="154" t="s">
        <v>13786</v>
      </c>
      <c r="E4044" s="154" t="s">
        <v>243</v>
      </c>
      <c r="F4044" s="180"/>
    </row>
    <row r="4045" customHeight="1" spans="1:6">
      <c r="A4045" s="9" t="s">
        <v>13787</v>
      </c>
      <c r="B4045" s="201" t="s">
        <v>13788</v>
      </c>
      <c r="C4045" s="202" t="s">
        <v>13789</v>
      </c>
      <c r="D4045" s="154" t="s">
        <v>13790</v>
      </c>
      <c r="E4045" s="154" t="s">
        <v>211</v>
      </c>
      <c r="F4045" s="180"/>
    </row>
    <row r="4046" customHeight="1" spans="1:6">
      <c r="A4046" s="9" t="s">
        <v>13791</v>
      </c>
      <c r="B4046" s="160" t="s">
        <v>13792</v>
      </c>
      <c r="C4046" s="160" t="s">
        <v>13793</v>
      </c>
      <c r="D4046" s="204" t="s">
        <v>13794</v>
      </c>
      <c r="E4046" s="204" t="s">
        <v>92</v>
      </c>
      <c r="F4046" s="204"/>
    </row>
    <row r="4047" customHeight="1" spans="1:6">
      <c r="A4047" s="9" t="s">
        <v>13795</v>
      </c>
      <c r="B4047" s="158" t="s">
        <v>13796</v>
      </c>
      <c r="C4047" s="202" t="s">
        <v>13797</v>
      </c>
      <c r="D4047" s="158">
        <v>916128113</v>
      </c>
      <c r="E4047" s="154" t="s">
        <v>211</v>
      </c>
      <c r="F4047" s="261"/>
    </row>
    <row r="4048" customHeight="1" spans="1:6">
      <c r="A4048" s="9" t="s">
        <v>13798</v>
      </c>
      <c r="B4048" s="200" t="s">
        <v>13799</v>
      </c>
      <c r="C4048" s="202" t="s">
        <v>13800</v>
      </c>
      <c r="D4048" s="152" t="s">
        <v>13801</v>
      </c>
      <c r="E4048" s="154" t="s">
        <v>232</v>
      </c>
      <c r="F4048" s="180"/>
    </row>
    <row r="4049" customHeight="1" spans="1:6">
      <c r="A4049" s="9" t="s">
        <v>13802</v>
      </c>
      <c r="B4049" s="195" t="s">
        <v>13803</v>
      </c>
      <c r="C4049" s="202" t="s">
        <v>13804</v>
      </c>
      <c r="D4049" s="152" t="s">
        <v>13805</v>
      </c>
      <c r="E4049" s="154" t="s">
        <v>232</v>
      </c>
      <c r="F4049" s="180"/>
    </row>
    <row r="4050" customHeight="1" spans="1:6">
      <c r="A4050" s="9" t="s">
        <v>13806</v>
      </c>
      <c r="B4050" s="195" t="s">
        <v>13807</v>
      </c>
      <c r="C4050" s="196" t="s">
        <v>13808</v>
      </c>
      <c r="D4050" s="197"/>
      <c r="E4050" s="197" t="s">
        <v>988</v>
      </c>
      <c r="F4050" s="197"/>
    </row>
    <row r="4051" customHeight="1" spans="1:6">
      <c r="A4051" s="9" t="s">
        <v>13809</v>
      </c>
      <c r="B4051" s="200" t="s">
        <v>13810</v>
      </c>
      <c r="C4051" s="236" t="s">
        <v>13811</v>
      </c>
      <c r="D4051" s="194"/>
      <c r="E4051" s="193" t="s">
        <v>202</v>
      </c>
      <c r="F4051" s="191"/>
    </row>
    <row r="4052" customHeight="1" spans="1:6">
      <c r="A4052" s="9" t="s">
        <v>13812</v>
      </c>
      <c r="B4052" s="201" t="s">
        <v>13813</v>
      </c>
      <c r="C4052" s="202" t="s">
        <v>13814</v>
      </c>
      <c r="D4052" s="154" t="s">
        <v>13815</v>
      </c>
      <c r="E4052" s="154" t="s">
        <v>479</v>
      </c>
      <c r="F4052" s="180"/>
    </row>
    <row r="4053" customHeight="1" spans="1:6">
      <c r="A4053" s="9" t="s">
        <v>13816</v>
      </c>
      <c r="B4053" s="201" t="s">
        <v>13817</v>
      </c>
      <c r="C4053" s="202" t="s">
        <v>13818</v>
      </c>
      <c r="D4053" s="153">
        <v>928432171</v>
      </c>
      <c r="E4053" s="180" t="s">
        <v>104</v>
      </c>
      <c r="F4053" s="180"/>
    </row>
    <row r="4054" customHeight="1" spans="1:6">
      <c r="A4054" s="9" t="s">
        <v>13819</v>
      </c>
      <c r="B4054" s="201" t="s">
        <v>13820</v>
      </c>
      <c r="C4054" s="202" t="s">
        <v>13821</v>
      </c>
      <c r="D4054" s="154"/>
      <c r="E4054" s="154" t="s">
        <v>58</v>
      </c>
      <c r="F4054" s="180"/>
    </row>
    <row r="4055" customHeight="1" spans="1:6">
      <c r="A4055" s="9" t="s">
        <v>13822</v>
      </c>
      <c r="B4055" s="201" t="s">
        <v>13823</v>
      </c>
      <c r="C4055" s="202" t="s">
        <v>13824</v>
      </c>
      <c r="D4055" s="154"/>
      <c r="E4055" s="154" t="s">
        <v>58</v>
      </c>
      <c r="F4055" s="180"/>
    </row>
    <row r="4056" customHeight="1" spans="1:6">
      <c r="A4056" s="9" t="s">
        <v>13825</v>
      </c>
      <c r="B4056" s="280" t="s">
        <v>13826</v>
      </c>
      <c r="C4056" s="202" t="s">
        <v>13827</v>
      </c>
      <c r="D4056" s="153">
        <v>931638674</v>
      </c>
      <c r="E4056" s="180" t="s">
        <v>104</v>
      </c>
      <c r="F4056" s="180"/>
    </row>
    <row r="4057" customHeight="1" spans="1:6">
      <c r="A4057" s="9" t="s">
        <v>13828</v>
      </c>
      <c r="B4057" s="201" t="s">
        <v>13829</v>
      </c>
      <c r="C4057" s="202" t="s">
        <v>13830</v>
      </c>
      <c r="D4057" s="158">
        <v>920511346</v>
      </c>
      <c r="E4057" s="158" t="s">
        <v>104</v>
      </c>
      <c r="F4057" s="153"/>
    </row>
    <row r="4058" customHeight="1" spans="1:6">
      <c r="A4058" s="9" t="s">
        <v>13831</v>
      </c>
      <c r="B4058" s="200" t="s">
        <v>13832</v>
      </c>
      <c r="C4058" s="202" t="s">
        <v>13833</v>
      </c>
      <c r="D4058" s="154">
        <v>919028879</v>
      </c>
      <c r="E4058" s="154" t="s">
        <v>104</v>
      </c>
      <c r="F4058" s="180"/>
    </row>
    <row r="4059" customHeight="1" spans="1:6">
      <c r="A4059" s="9" t="s">
        <v>13834</v>
      </c>
      <c r="B4059" s="233" t="s">
        <v>13835</v>
      </c>
      <c r="C4059" s="233" t="s">
        <v>13836</v>
      </c>
      <c r="D4059" s="204" t="s">
        <v>13837</v>
      </c>
      <c r="E4059" s="204" t="s">
        <v>605</v>
      </c>
      <c r="F4059" s="204" t="s">
        <v>13838</v>
      </c>
    </row>
    <row r="4060" customHeight="1" spans="1:6">
      <c r="A4060" s="9" t="s">
        <v>13839</v>
      </c>
      <c r="B4060" s="195" t="s">
        <v>13840</v>
      </c>
      <c r="C4060" s="212" t="s">
        <v>13841</v>
      </c>
      <c r="D4060" s="197"/>
      <c r="E4060" s="198" t="s">
        <v>216</v>
      </c>
      <c r="F4060" s="199"/>
    </row>
    <row r="4061" customHeight="1" spans="1:6">
      <c r="A4061" s="9" t="s">
        <v>13842</v>
      </c>
      <c r="B4061" s="194" t="s">
        <v>13843</v>
      </c>
      <c r="C4061" s="202" t="s">
        <v>13844</v>
      </c>
      <c r="D4061" s="158">
        <v>980390807</v>
      </c>
      <c r="E4061" s="154" t="s">
        <v>3268</v>
      </c>
      <c r="F4061" s="180"/>
    </row>
    <row r="4062" customHeight="1" spans="1:6">
      <c r="A4062" s="9" t="s">
        <v>13845</v>
      </c>
      <c r="B4062" s="295" t="s">
        <v>13846</v>
      </c>
      <c r="C4062" s="295" t="s">
        <v>13847</v>
      </c>
      <c r="D4062" s="194"/>
      <c r="E4062" s="204" t="s">
        <v>92</v>
      </c>
      <c r="F4062" s="204"/>
    </row>
    <row r="4063" customHeight="1" spans="1:6">
      <c r="A4063" s="9" t="s">
        <v>13848</v>
      </c>
      <c r="B4063" s="255" t="s">
        <v>13849</v>
      </c>
      <c r="C4063" s="255" t="s">
        <v>13850</v>
      </c>
      <c r="D4063" s="256" t="s">
        <v>13851</v>
      </c>
      <c r="E4063" s="26" t="s">
        <v>1701</v>
      </c>
      <c r="F4063" s="257" t="s">
        <v>13852</v>
      </c>
    </row>
    <row r="4064" customHeight="1" spans="1:6">
      <c r="A4064" s="9" t="s">
        <v>13853</v>
      </c>
      <c r="B4064" s="258" t="s">
        <v>13854</v>
      </c>
      <c r="C4064" s="258" t="s">
        <v>13855</v>
      </c>
      <c r="D4064" s="240" t="s">
        <v>13856</v>
      </c>
      <c r="E4064" s="240" t="s">
        <v>92</v>
      </c>
      <c r="F4064" s="240"/>
    </row>
    <row r="4065" customHeight="1" spans="1:6">
      <c r="A4065" s="9" t="s">
        <v>13857</v>
      </c>
      <c r="B4065" s="195" t="s">
        <v>13858</v>
      </c>
      <c r="C4065" s="202" t="s">
        <v>13859</v>
      </c>
      <c r="D4065" s="152"/>
      <c r="E4065" s="154" t="s">
        <v>232</v>
      </c>
      <c r="F4065" s="180"/>
    </row>
    <row r="4066" customHeight="1" spans="1:6">
      <c r="A4066" s="9" t="s">
        <v>13860</v>
      </c>
      <c r="B4066" s="200" t="s">
        <v>13861</v>
      </c>
      <c r="C4066" s="202" t="s">
        <v>13862</v>
      </c>
      <c r="D4066" s="152"/>
      <c r="E4066" s="154" t="s">
        <v>232</v>
      </c>
      <c r="F4066" s="180"/>
    </row>
    <row r="4067" customHeight="1" spans="1:6">
      <c r="A4067" s="9" t="s">
        <v>13863</v>
      </c>
      <c r="B4067" s="195" t="s">
        <v>13864</v>
      </c>
      <c r="C4067" s="202" t="s">
        <v>13865</v>
      </c>
      <c r="D4067" s="158"/>
      <c r="E4067" s="154" t="s">
        <v>310</v>
      </c>
      <c r="F4067" s="180"/>
    </row>
    <row r="4068" customHeight="1" spans="1:6">
      <c r="A4068" s="9" t="s">
        <v>13866</v>
      </c>
      <c r="B4068" s="222" t="str">
        <f>IFERROR(__xludf.DUMMYFUNCTION("""COMPUTED_VALUE"""),"Bemnet Abebe Gultmit /Wo")</f>
        <v>Bemnet Abebe Gultmit /Wo</v>
      </c>
      <c r="C4068" s="222" t="str">
        <f>IFERROR(__xludf.DUMMYFUNCTION("""COMPUTED_VALUE"""),"በእምነት አበበ ጉልጥምት /ወሮ")</f>
        <v>በእምነት አበበ ጉልጥምት /ወሮ</v>
      </c>
      <c r="D4068" s="222" t="str">
        <f>IFERROR(__xludf.DUMMYFUNCTION("""COMPUTED_VALUE"""),"911318020")</f>
        <v>911318020</v>
      </c>
      <c r="E4068" s="222" t="str">
        <f>IFERROR(__xludf.DUMMYFUNCTION("""COMPUTED_VALUE"""),"addis abeba")</f>
        <v>addis abeba</v>
      </c>
      <c r="F4068" s="222"/>
    </row>
    <row r="4069" customHeight="1" spans="1:6">
      <c r="A4069" s="9" t="s">
        <v>13867</v>
      </c>
      <c r="B4069" s="276" t="str">
        <f>IFERROR(__xludf.DUMMYFUNCTION("""COMPUTED_VALUE"""),"Bemnet Berhanu Tadessie /W/O")</f>
        <v>Bemnet Berhanu Tadessie /W/O</v>
      </c>
      <c r="C4069" s="276" t="str">
        <f>IFERROR(__xludf.DUMMYFUNCTION("""COMPUTED_VALUE"""),"በእምነት ብርሃኑ ታደሰ /ወ/ሮ")</f>
        <v>በእምነት ብርሃኑ ታደሰ /ወ/ሮ</v>
      </c>
      <c r="D4069" s="276" t="str">
        <f>IFERROR(__xludf.DUMMYFUNCTION("""COMPUTED_VALUE"""),"913619400")</f>
        <v>913619400</v>
      </c>
      <c r="E4069" s="276" t="str">
        <f>IFERROR(__xludf.DUMMYFUNCTION("""COMPUTED_VALUE"""),"addis abeba")</f>
        <v>addis abeba</v>
      </c>
      <c r="F4069" s="276" t="str">
        <f>IFERROR(__xludf.DUMMYFUNCTION("""COMPUTED_VALUE"""),"beimnetberhanu@yahoo.com")</f>
        <v>beimnetberhanu@yahoo.com</v>
      </c>
    </row>
    <row r="4070" customHeight="1" spans="1:6">
      <c r="A4070" s="9" t="s">
        <v>13868</v>
      </c>
      <c r="B4070" s="219" t="s">
        <v>13869</v>
      </c>
      <c r="C4070" s="219" t="s">
        <v>13870</v>
      </c>
      <c r="D4070" s="194"/>
      <c r="E4070" s="204" t="s">
        <v>92</v>
      </c>
      <c r="F4070" s="204"/>
    </row>
    <row r="4071" customHeight="1" spans="1:6">
      <c r="A4071" s="9" t="s">
        <v>13871</v>
      </c>
      <c r="B4071" s="222" t="str">
        <f>IFERROR(__xludf.DUMMYFUNCTION("""COMPUTED_VALUE"""),"Bemnet Bisrat Ashagre /Ato/")</f>
        <v>Bemnet Bisrat Ashagre /Ato/</v>
      </c>
      <c r="C4071" s="222" t="str">
        <f>IFERROR(__xludf.DUMMYFUNCTION("""COMPUTED_VALUE"""),"በእምነት ብስራት አሻግሬ /አቶ/")</f>
        <v>በእምነት ብስራት አሻግሬ /አቶ/</v>
      </c>
      <c r="D4071" s="222" t="str">
        <f>IFERROR(__xludf.DUMMYFUNCTION("""COMPUTED_VALUE"""),"0912-189558
 0929-146148")</f>
        <v>0912-189558
 0929-146148</v>
      </c>
      <c r="E4071" s="222" t="str">
        <f>IFERROR(__xludf.DUMMYFUNCTION("""COMPUTED_VALUE"""),"A/A")</f>
        <v>A/A</v>
      </c>
      <c r="F4071" s="222"/>
    </row>
    <row r="4072" customHeight="1" spans="1:6">
      <c r="A4072" s="9" t="s">
        <v>13872</v>
      </c>
      <c r="B4072" s="219" t="s">
        <v>13873</v>
      </c>
      <c r="C4072" s="219" t="s">
        <v>13874</v>
      </c>
      <c r="D4072" s="194"/>
      <c r="E4072" s="204" t="s">
        <v>92</v>
      </c>
      <c r="F4072" s="204"/>
    </row>
    <row r="4073" customHeight="1" spans="1:6">
      <c r="A4073" s="9" t="s">
        <v>13875</v>
      </c>
      <c r="B4073" s="195" t="s">
        <v>13876</v>
      </c>
      <c r="C4073" s="212" t="s">
        <v>13877</v>
      </c>
      <c r="D4073" s="197"/>
      <c r="E4073" s="198" t="s">
        <v>202</v>
      </c>
      <c r="F4073" s="199"/>
    </row>
    <row r="4074" customHeight="1" spans="1:6">
      <c r="A4074" s="9" t="s">
        <v>13878</v>
      </c>
      <c r="B4074" s="214" t="s">
        <v>13879</v>
      </c>
      <c r="C4074" s="214" t="s">
        <v>13880</v>
      </c>
      <c r="D4074" s="194"/>
      <c r="E4074" s="204" t="s">
        <v>92</v>
      </c>
      <c r="F4074" s="204"/>
    </row>
    <row r="4075" customHeight="1" spans="1:6">
      <c r="A4075" s="9" t="s">
        <v>13881</v>
      </c>
      <c r="B4075" s="200" t="s">
        <v>13882</v>
      </c>
      <c r="C4075" s="202" t="s">
        <v>13883</v>
      </c>
      <c r="D4075" s="152"/>
      <c r="E4075" s="154"/>
      <c r="F4075" s="180"/>
    </row>
    <row r="4076" customHeight="1" spans="1:6">
      <c r="A4076" s="9" t="s">
        <v>13884</v>
      </c>
      <c r="B4076" s="215" t="s">
        <v>13885</v>
      </c>
      <c r="C4076" s="205" t="s">
        <v>13886</v>
      </c>
      <c r="D4076" s="227" t="s">
        <v>13887</v>
      </c>
      <c r="E4076" s="193" t="s">
        <v>120</v>
      </c>
      <c r="F4076" s="216"/>
    </row>
    <row r="4077" customHeight="1" spans="1:6">
      <c r="A4077" s="9" t="s">
        <v>13888</v>
      </c>
      <c r="B4077" s="258" t="s">
        <v>13889</v>
      </c>
      <c r="C4077" s="258" t="s">
        <v>13890</v>
      </c>
      <c r="D4077" s="240" t="s">
        <v>13891</v>
      </c>
      <c r="E4077" s="240" t="s">
        <v>92</v>
      </c>
      <c r="F4077" s="240"/>
    </row>
    <row r="4078" customHeight="1" spans="1:6">
      <c r="A4078" s="9" t="s">
        <v>13892</v>
      </c>
      <c r="B4078" s="225" t="s">
        <v>13893</v>
      </c>
      <c r="C4078" s="225" t="s">
        <v>13894</v>
      </c>
      <c r="D4078" s="228" t="s">
        <v>13895</v>
      </c>
      <c r="E4078" s="229" t="s">
        <v>120</v>
      </c>
      <c r="F4078" s="230" t="s">
        <v>13896</v>
      </c>
    </row>
    <row r="4079" customHeight="1" spans="1:6">
      <c r="A4079" s="9" t="s">
        <v>13897</v>
      </c>
      <c r="B4079" s="222" t="str">
        <f>IFERROR(__xludf.DUMMYFUNCTION("""COMPUTED_VALUE"""),"Benyam Legesse Negash /Ato")</f>
        <v>Benyam Legesse Negash /Ato</v>
      </c>
      <c r="C4079" s="222" t="str">
        <f>C4080</f>
        <v>ቢኒያም ዮሀንስ /አቶ/</v>
      </c>
      <c r="D4079" s="222" t="str">
        <f>IFERROR(__xludf.DUMMYFUNCTION("""COMPUTED_VALUE"""),"0911573664
0911450874")</f>
        <v>0911573664
0911450874</v>
      </c>
      <c r="E4079" s="222"/>
      <c r="F4079" s="222" t="str">
        <f>IFERROR(__xludf.DUMMYFUNCTION("""COMPUTED_VALUE"""),"legessebenyam127@gmail.com")</f>
        <v>legessebenyam127@gmail.com</v>
      </c>
    </row>
    <row r="4080" customHeight="1" spans="1:6">
      <c r="A4080" s="9" t="s">
        <v>13898</v>
      </c>
      <c r="B4080" s="259" t="s">
        <v>13899</v>
      </c>
      <c r="C4080" s="259" t="s">
        <v>13900</v>
      </c>
      <c r="D4080" s="204" t="s">
        <v>13901</v>
      </c>
      <c r="E4080" s="204" t="s">
        <v>92</v>
      </c>
      <c r="F4080" s="204"/>
    </row>
    <row r="4081" customHeight="1" spans="1:6">
      <c r="A4081" s="9" t="s">
        <v>13902</v>
      </c>
      <c r="B4081" s="160" t="s">
        <v>13903</v>
      </c>
      <c r="C4081" s="160" t="s">
        <v>13904</v>
      </c>
      <c r="D4081" s="204" t="s">
        <v>13905</v>
      </c>
      <c r="E4081" s="204" t="s">
        <v>92</v>
      </c>
      <c r="F4081" s="204"/>
    </row>
    <row r="4082" customHeight="1" spans="1:6">
      <c r="A4082" s="9" t="s">
        <v>13906</v>
      </c>
      <c r="B4082" s="214" t="s">
        <v>13907</v>
      </c>
      <c r="C4082" s="214" t="s">
        <v>13908</v>
      </c>
      <c r="D4082" s="194"/>
      <c r="E4082" s="204" t="s">
        <v>92</v>
      </c>
      <c r="F4082" s="204"/>
    </row>
    <row r="4083" customHeight="1" spans="1:6">
      <c r="A4083" s="9" t="s">
        <v>13909</v>
      </c>
      <c r="B4083" s="205" t="s">
        <v>13910</v>
      </c>
      <c r="C4083" s="205" t="s">
        <v>13911</v>
      </c>
      <c r="D4083" s="206" t="s">
        <v>13912</v>
      </c>
      <c r="E4083" s="193" t="s">
        <v>120</v>
      </c>
      <c r="F4083" s="221" t="s">
        <v>13913</v>
      </c>
    </row>
    <row r="4084" customHeight="1" spans="1:6">
      <c r="A4084" s="9" t="s">
        <v>13914</v>
      </c>
      <c r="B4084" s="201" t="s">
        <v>13915</v>
      </c>
      <c r="C4084" s="202" t="s">
        <v>13916</v>
      </c>
      <c r="D4084" s="153"/>
      <c r="E4084" s="180" t="s">
        <v>216</v>
      </c>
      <c r="F4084" s="180"/>
    </row>
    <row r="4085" customHeight="1" spans="1:6">
      <c r="A4085" s="9" t="s">
        <v>13917</v>
      </c>
      <c r="B4085" s="201" t="s">
        <v>13918</v>
      </c>
      <c r="C4085" s="202" t="s">
        <v>13919</v>
      </c>
      <c r="D4085" s="154"/>
      <c r="E4085" s="154" t="s">
        <v>1395</v>
      </c>
      <c r="F4085" s="180"/>
    </row>
    <row r="4086" customHeight="1" spans="1:6">
      <c r="A4086" s="9" t="s">
        <v>13920</v>
      </c>
      <c r="B4086" s="200" t="s">
        <v>13921</v>
      </c>
      <c r="C4086" s="203" t="s">
        <v>13922</v>
      </c>
      <c r="D4086" s="194"/>
      <c r="E4086" s="194" t="s">
        <v>273</v>
      </c>
      <c r="F4086" s="194"/>
    </row>
    <row r="4087" customHeight="1" spans="1:6">
      <c r="A4087" s="9" t="s">
        <v>13923</v>
      </c>
      <c r="B4087" s="201" t="s">
        <v>13924</v>
      </c>
      <c r="C4087" s="202" t="s">
        <v>13925</v>
      </c>
      <c r="D4087" s="154" t="s">
        <v>13926</v>
      </c>
      <c r="E4087" s="154" t="s">
        <v>243</v>
      </c>
      <c r="F4087" s="180"/>
    </row>
    <row r="4088" customHeight="1" spans="1:6">
      <c r="A4088" s="9" t="s">
        <v>13927</v>
      </c>
      <c r="B4088" s="201" t="s">
        <v>13928</v>
      </c>
      <c r="C4088" s="202" t="s">
        <v>13929</v>
      </c>
      <c r="D4088" s="154"/>
      <c r="E4088" s="154" t="s">
        <v>202</v>
      </c>
      <c r="F4088" s="180"/>
    </row>
    <row r="4089" customHeight="1" spans="1:6">
      <c r="A4089" s="9" t="s">
        <v>13930</v>
      </c>
      <c r="B4089" s="195" t="s">
        <v>13931</v>
      </c>
      <c r="C4089" s="196" t="s">
        <v>13932</v>
      </c>
      <c r="D4089" s="197"/>
      <c r="E4089" s="198" t="s">
        <v>351</v>
      </c>
      <c r="F4089" s="199"/>
    </row>
    <row r="4090" customHeight="1" spans="1:6">
      <c r="A4090" s="9" t="s">
        <v>13933</v>
      </c>
      <c r="B4090" s="201" t="s">
        <v>13934</v>
      </c>
      <c r="C4090" s="202" t="s">
        <v>13935</v>
      </c>
      <c r="D4090" s="154"/>
      <c r="E4090" s="154" t="s">
        <v>202</v>
      </c>
      <c r="F4090" s="180"/>
    </row>
    <row r="4091" customHeight="1" spans="1:6">
      <c r="A4091" s="9" t="s">
        <v>13936</v>
      </c>
      <c r="B4091" s="200" t="s">
        <v>13937</v>
      </c>
      <c r="C4091" s="246" t="s">
        <v>13938</v>
      </c>
      <c r="D4091" s="194"/>
      <c r="E4091" s="194" t="s">
        <v>202</v>
      </c>
      <c r="F4091" s="194"/>
    </row>
    <row r="4092" customHeight="1" spans="1:6">
      <c r="A4092" s="9" t="s">
        <v>13939</v>
      </c>
      <c r="B4092" s="200" t="s">
        <v>13940</v>
      </c>
      <c r="C4092" s="236" t="s">
        <v>13941</v>
      </c>
      <c r="D4092" s="194"/>
      <c r="E4092" s="154" t="s">
        <v>104</v>
      </c>
      <c r="F4092" s="191"/>
    </row>
    <row r="4093" customHeight="1" spans="1:6">
      <c r="A4093" s="9" t="s">
        <v>13942</v>
      </c>
      <c r="B4093" s="201" t="s">
        <v>13943</v>
      </c>
      <c r="C4093" s="202" t="s">
        <v>13944</v>
      </c>
      <c r="D4093" s="154"/>
      <c r="E4093" s="154" t="s">
        <v>243</v>
      </c>
      <c r="F4093" s="180"/>
    </row>
    <row r="4094" customHeight="1" spans="1:6">
      <c r="A4094" s="9" t="s">
        <v>13945</v>
      </c>
      <c r="B4094" s="200" t="s">
        <v>13946</v>
      </c>
      <c r="C4094" s="246" t="s">
        <v>13947</v>
      </c>
      <c r="D4094" s="194"/>
      <c r="E4094" s="194" t="s">
        <v>1852</v>
      </c>
      <c r="F4094" s="194"/>
    </row>
    <row r="4095" customHeight="1" spans="1:6">
      <c r="A4095" s="9" t="s">
        <v>13948</v>
      </c>
      <c r="B4095" s="223" t="s">
        <v>13949</v>
      </c>
      <c r="C4095" s="223" t="s">
        <v>13950</v>
      </c>
      <c r="D4095" s="204" t="s">
        <v>6669</v>
      </c>
      <c r="E4095" s="204" t="s">
        <v>92</v>
      </c>
      <c r="F4095" s="204"/>
    </row>
    <row r="4096" customHeight="1" spans="1:6">
      <c r="A4096" s="9" t="s">
        <v>13951</v>
      </c>
      <c r="B4096" s="201" t="s">
        <v>13952</v>
      </c>
      <c r="C4096" s="202" t="s">
        <v>13953</v>
      </c>
      <c r="D4096" s="154"/>
      <c r="E4096" s="154"/>
      <c r="F4096" s="180"/>
    </row>
    <row r="4097" customHeight="1" spans="1:6">
      <c r="A4097" s="9" t="s">
        <v>13954</v>
      </c>
      <c r="B4097" s="241" t="s">
        <v>13955</v>
      </c>
      <c r="C4097" s="242" t="s">
        <v>13956</v>
      </c>
      <c r="D4097" s="38" t="s">
        <v>13957</v>
      </c>
      <c r="E4097" s="37" t="s">
        <v>691</v>
      </c>
      <c r="F4097" s="308" t="s">
        <v>13958</v>
      </c>
    </row>
    <row r="4098" customHeight="1" spans="1:6">
      <c r="A4098" s="9" t="s">
        <v>13959</v>
      </c>
      <c r="B4098" s="195" t="s">
        <v>13960</v>
      </c>
      <c r="C4098" s="202" t="s">
        <v>13961</v>
      </c>
      <c r="D4098" s="152"/>
      <c r="E4098" s="154" t="s">
        <v>232</v>
      </c>
      <c r="F4098" s="180"/>
    </row>
    <row r="4099" customHeight="1" spans="1:6">
      <c r="A4099" s="9" t="s">
        <v>13962</v>
      </c>
      <c r="B4099" s="224" t="s">
        <v>13963</v>
      </c>
      <c r="C4099" s="225" t="s">
        <v>13964</v>
      </c>
      <c r="D4099" s="226" t="s">
        <v>13965</v>
      </c>
      <c r="E4099" s="29" t="s">
        <v>92</v>
      </c>
      <c r="F4099" s="29" t="s">
        <v>13966</v>
      </c>
    </row>
    <row r="4100" customHeight="1" spans="1:6">
      <c r="A4100" s="9" t="s">
        <v>13967</v>
      </c>
      <c r="B4100" s="214" t="s">
        <v>13968</v>
      </c>
      <c r="C4100" s="214" t="s">
        <v>13969</v>
      </c>
      <c r="D4100" s="194"/>
      <c r="E4100" s="204" t="s">
        <v>92</v>
      </c>
      <c r="F4100" s="204"/>
    </row>
    <row r="4101" customHeight="1" spans="1:6">
      <c r="A4101" s="9" t="s">
        <v>13970</v>
      </c>
      <c r="B4101" s="195" t="s">
        <v>13971</v>
      </c>
      <c r="C4101" s="213" t="s">
        <v>13972</v>
      </c>
      <c r="D4101" s="197"/>
      <c r="E4101" s="197" t="s">
        <v>1852</v>
      </c>
      <c r="F4101" s="197"/>
    </row>
    <row r="4102" customHeight="1" spans="1:6">
      <c r="A4102" s="9" t="s">
        <v>13973</v>
      </c>
      <c r="B4102" s="201" t="s">
        <v>13974</v>
      </c>
      <c r="C4102" s="202" t="s">
        <v>13975</v>
      </c>
      <c r="D4102" s="154">
        <v>969627271</v>
      </c>
      <c r="E4102" s="154" t="s">
        <v>211</v>
      </c>
      <c r="F4102" s="180"/>
    </row>
    <row r="4103" customHeight="1" spans="1:6">
      <c r="A4103" s="9" t="s">
        <v>13976</v>
      </c>
      <c r="B4103" s="160" t="s">
        <v>13977</v>
      </c>
      <c r="C4103" s="160" t="s">
        <v>13978</v>
      </c>
      <c r="D4103" s="204" t="s">
        <v>13979</v>
      </c>
      <c r="E4103" s="204" t="s">
        <v>92</v>
      </c>
      <c r="F4103" s="204"/>
    </row>
    <row r="4104" customHeight="1" spans="1:6">
      <c r="A4104" s="9" t="s">
        <v>13980</v>
      </c>
      <c r="B4104" s="205" t="s">
        <v>13981</v>
      </c>
      <c r="C4104" s="205" t="s">
        <v>13982</v>
      </c>
      <c r="D4104" s="206" t="s">
        <v>13983</v>
      </c>
      <c r="E4104" s="193" t="s">
        <v>120</v>
      </c>
      <c r="F4104" s="221" t="s">
        <v>13984</v>
      </c>
    </row>
    <row r="4105" customHeight="1" spans="1:6">
      <c r="A4105" s="9" t="s">
        <v>13985</v>
      </c>
      <c r="B4105" s="160" t="s">
        <v>13986</v>
      </c>
      <c r="C4105" s="160" t="s">
        <v>13987</v>
      </c>
      <c r="D4105" s="204" t="s">
        <v>13988</v>
      </c>
      <c r="E4105" s="204" t="s">
        <v>92</v>
      </c>
      <c r="F4105" s="204"/>
    </row>
    <row r="4106" customHeight="1" spans="1:6">
      <c r="A4106" s="9" t="s">
        <v>13989</v>
      </c>
      <c r="B4106" s="160" t="s">
        <v>13990</v>
      </c>
      <c r="C4106" s="160" t="s">
        <v>13991</v>
      </c>
      <c r="D4106" s="204" t="s">
        <v>13992</v>
      </c>
      <c r="E4106" s="204" t="s">
        <v>92</v>
      </c>
      <c r="F4106" s="204"/>
    </row>
    <row r="4107" customHeight="1" spans="1:6">
      <c r="A4107" s="9" t="s">
        <v>13993</v>
      </c>
      <c r="B4107" s="334" t="s">
        <v>13994</v>
      </c>
      <c r="C4107" s="335" t="s">
        <v>13995</v>
      </c>
      <c r="D4107" s="36" t="s">
        <v>13996</v>
      </c>
      <c r="E4107" s="45" t="s">
        <v>691</v>
      </c>
      <c r="F4107" s="45"/>
    </row>
    <row r="4108" customHeight="1" spans="1:6">
      <c r="A4108" s="9" t="s">
        <v>13997</v>
      </c>
      <c r="B4108" s="214" t="s">
        <v>13998</v>
      </c>
      <c r="C4108" s="214" t="s">
        <v>13999</v>
      </c>
      <c r="D4108" s="194"/>
      <c r="E4108" s="204" t="s">
        <v>92</v>
      </c>
      <c r="F4108" s="204"/>
    </row>
    <row r="4109" customHeight="1" spans="1:6">
      <c r="A4109" s="9" t="s">
        <v>14000</v>
      </c>
      <c r="B4109" s="223" t="s">
        <v>14001</v>
      </c>
      <c r="C4109" s="223" t="s">
        <v>14002</v>
      </c>
      <c r="D4109" s="204" t="s">
        <v>14003</v>
      </c>
      <c r="E4109" s="204" t="s">
        <v>92</v>
      </c>
      <c r="F4109" s="204"/>
    </row>
    <row r="4110" customHeight="1" spans="1:6">
      <c r="A4110" s="9" t="s">
        <v>14004</v>
      </c>
      <c r="B4110" s="160" t="s">
        <v>14005</v>
      </c>
      <c r="C4110" s="160" t="s">
        <v>14006</v>
      </c>
      <c r="D4110" s="204" t="s">
        <v>14007</v>
      </c>
      <c r="E4110" s="204" t="s">
        <v>92</v>
      </c>
      <c r="F4110" s="204"/>
    </row>
    <row r="4111" customHeight="1" spans="1:6">
      <c r="A4111" s="9" t="s">
        <v>14008</v>
      </c>
      <c r="B4111" s="160" t="s">
        <v>14009</v>
      </c>
      <c r="C4111" s="160" t="s">
        <v>14010</v>
      </c>
      <c r="D4111" s="204" t="s">
        <v>14011</v>
      </c>
      <c r="E4111" s="204" t="s">
        <v>605</v>
      </c>
      <c r="F4111" s="204" t="s">
        <v>14012</v>
      </c>
    </row>
    <row r="4112" customHeight="1" spans="1:6">
      <c r="A4112" s="9" t="s">
        <v>14013</v>
      </c>
      <c r="B4112" s="160" t="s">
        <v>14014</v>
      </c>
      <c r="C4112" s="160" t="s">
        <v>14015</v>
      </c>
      <c r="D4112" s="204" t="s">
        <v>14016</v>
      </c>
      <c r="E4112" s="204" t="s">
        <v>92</v>
      </c>
      <c r="F4112" s="204"/>
    </row>
    <row r="4113" customHeight="1" spans="1:6">
      <c r="A4113" s="9" t="s">
        <v>14017</v>
      </c>
      <c r="B4113" s="214" t="s">
        <v>14018</v>
      </c>
      <c r="C4113" s="214" t="s">
        <v>14019</v>
      </c>
      <c r="D4113" s="194"/>
      <c r="E4113" s="204" t="s">
        <v>92</v>
      </c>
      <c r="F4113" s="204"/>
    </row>
    <row r="4114" customHeight="1" spans="1:6">
      <c r="A4114" s="9" t="s">
        <v>14020</v>
      </c>
      <c r="B4114" s="201" t="s">
        <v>14021</v>
      </c>
      <c r="C4114" s="202" t="s">
        <v>14022</v>
      </c>
      <c r="D4114" s="154" t="s">
        <v>14023</v>
      </c>
      <c r="E4114" s="154" t="s">
        <v>243</v>
      </c>
      <c r="F4114" s="180"/>
    </row>
    <row r="4115" customHeight="1" spans="1:6">
      <c r="A4115" s="9" t="s">
        <v>14024</v>
      </c>
      <c r="B4115" s="214" t="s">
        <v>14025</v>
      </c>
      <c r="C4115" s="214" t="s">
        <v>14026</v>
      </c>
      <c r="D4115" s="194"/>
      <c r="E4115" s="204" t="s">
        <v>92</v>
      </c>
      <c r="F4115" s="204"/>
    </row>
    <row r="4116" customHeight="1" spans="1:6">
      <c r="A4116" s="9" t="s">
        <v>14027</v>
      </c>
      <c r="B4116" s="219" t="s">
        <v>14028</v>
      </c>
      <c r="C4116" s="219" t="s">
        <v>14029</v>
      </c>
      <c r="D4116" s="194"/>
      <c r="E4116" s="204" t="s">
        <v>92</v>
      </c>
      <c r="F4116" s="204"/>
    </row>
    <row r="4117" customHeight="1" spans="1:6">
      <c r="A4117" s="9" t="s">
        <v>14030</v>
      </c>
      <c r="B4117" s="160" t="s">
        <v>14031</v>
      </c>
      <c r="C4117" s="160" t="s">
        <v>14032</v>
      </c>
      <c r="D4117" s="204" t="s">
        <v>14033</v>
      </c>
      <c r="E4117" s="204" t="s">
        <v>92</v>
      </c>
      <c r="F4117" s="204"/>
    </row>
    <row r="4118" customHeight="1" spans="1:6">
      <c r="A4118" s="9" t="s">
        <v>14034</v>
      </c>
      <c r="B4118" s="219" t="s">
        <v>14035</v>
      </c>
      <c r="C4118" s="219" t="s">
        <v>14036</v>
      </c>
      <c r="D4118" s="194"/>
      <c r="E4118" s="204" t="s">
        <v>92</v>
      </c>
      <c r="F4118" s="204"/>
    </row>
    <row r="4119" customHeight="1" spans="1:6">
      <c r="A4119" s="9" t="s">
        <v>14037</v>
      </c>
      <c r="B4119" s="160" t="s">
        <v>14038</v>
      </c>
      <c r="C4119" s="160" t="s">
        <v>14039</v>
      </c>
      <c r="D4119" s="204" t="s">
        <v>14040</v>
      </c>
      <c r="E4119" s="204" t="s">
        <v>92</v>
      </c>
      <c r="F4119" s="204"/>
    </row>
    <row r="4120" customHeight="1" spans="1:6">
      <c r="A4120" s="9" t="s">
        <v>14041</v>
      </c>
      <c r="B4120" s="223" t="s">
        <v>14042</v>
      </c>
      <c r="C4120" s="223" t="s">
        <v>14043</v>
      </c>
      <c r="D4120" s="204" t="s">
        <v>4838</v>
      </c>
      <c r="E4120" s="204" t="s">
        <v>92</v>
      </c>
      <c r="F4120" s="204"/>
    </row>
    <row r="4121" customHeight="1" spans="1:6">
      <c r="A4121" s="9" t="s">
        <v>14044</v>
      </c>
      <c r="B4121" s="214" t="s">
        <v>14045</v>
      </c>
      <c r="C4121" s="214" t="s">
        <v>14046</v>
      </c>
      <c r="D4121" s="194"/>
      <c r="E4121" s="204" t="s">
        <v>92</v>
      </c>
      <c r="F4121" s="204"/>
    </row>
    <row r="4122" customHeight="1" spans="1:6">
      <c r="A4122" s="9" t="s">
        <v>14047</v>
      </c>
      <c r="B4122" s="225" t="s">
        <v>14048</v>
      </c>
      <c r="C4122" s="225" t="s">
        <v>14049</v>
      </c>
      <c r="D4122" s="228" t="s">
        <v>14050</v>
      </c>
      <c r="E4122" s="229" t="s">
        <v>120</v>
      </c>
      <c r="F4122" s="230"/>
    </row>
    <row r="4123" customHeight="1" spans="1:6">
      <c r="A4123" s="9" t="s">
        <v>14051</v>
      </c>
      <c r="B4123" s="160" t="s">
        <v>14052</v>
      </c>
      <c r="C4123" s="160" t="s">
        <v>14053</v>
      </c>
      <c r="D4123" s="204" t="s">
        <v>14054</v>
      </c>
      <c r="E4123" s="204" t="s">
        <v>92</v>
      </c>
      <c r="F4123" s="204"/>
    </row>
    <row r="4124" customHeight="1" spans="1:6">
      <c r="A4124" s="9" t="s">
        <v>14055</v>
      </c>
      <c r="B4124" s="162" t="s">
        <v>14056</v>
      </c>
      <c r="C4124" s="205" t="s">
        <v>14057</v>
      </c>
      <c r="D4124" s="342" t="s">
        <v>14058</v>
      </c>
      <c r="E4124" s="193" t="s">
        <v>120</v>
      </c>
      <c r="F4124" s="262" t="s">
        <v>14059</v>
      </c>
    </row>
    <row r="4125" customHeight="1" spans="1:6">
      <c r="A4125" s="9" t="s">
        <v>14060</v>
      </c>
      <c r="B4125" s="214" t="s">
        <v>14061</v>
      </c>
      <c r="C4125" s="214" t="s">
        <v>14062</v>
      </c>
      <c r="D4125" s="194"/>
      <c r="E4125" s="204" t="s">
        <v>92</v>
      </c>
      <c r="F4125" s="204"/>
    </row>
    <row r="4126" customHeight="1" spans="1:6">
      <c r="A4126" s="9" t="s">
        <v>14063</v>
      </c>
      <c r="B4126" s="258" t="s">
        <v>14064</v>
      </c>
      <c r="C4126" s="258" t="s">
        <v>14065</v>
      </c>
      <c r="D4126" s="240" t="s">
        <v>14066</v>
      </c>
      <c r="E4126" s="240" t="s">
        <v>92</v>
      </c>
      <c r="F4126" s="240"/>
    </row>
    <row r="4127" customHeight="1" spans="1:6">
      <c r="A4127" s="9" t="s">
        <v>14067</v>
      </c>
      <c r="B4127" s="214" t="s">
        <v>14068</v>
      </c>
      <c r="C4127" s="214" t="s">
        <v>14069</v>
      </c>
      <c r="D4127" s="194"/>
      <c r="E4127" s="204" t="s">
        <v>92</v>
      </c>
      <c r="F4127" s="204"/>
    </row>
    <row r="4128" customHeight="1" spans="1:6">
      <c r="A4128" s="9" t="s">
        <v>14070</v>
      </c>
      <c r="B4128" s="219" t="s">
        <v>14071</v>
      </c>
      <c r="C4128" s="219" t="s">
        <v>14072</v>
      </c>
      <c r="D4128" s="194"/>
      <c r="E4128" s="204" t="s">
        <v>92</v>
      </c>
      <c r="F4128" s="204"/>
    </row>
    <row r="4129" customHeight="1" spans="1:6">
      <c r="A4129" s="9" t="s">
        <v>14073</v>
      </c>
      <c r="B4129" s="223" t="s">
        <v>14074</v>
      </c>
      <c r="C4129" s="223" t="s">
        <v>14075</v>
      </c>
      <c r="D4129" s="204" t="s">
        <v>14076</v>
      </c>
      <c r="E4129" s="204" t="s">
        <v>92</v>
      </c>
      <c r="F4129" s="204"/>
    </row>
    <row r="4130" customHeight="1" spans="1:6">
      <c r="A4130" s="9" t="s">
        <v>14077</v>
      </c>
      <c r="B4130" s="201" t="s">
        <v>14078</v>
      </c>
      <c r="C4130" s="202" t="s">
        <v>14079</v>
      </c>
      <c r="D4130" s="154" t="s">
        <v>14080</v>
      </c>
      <c r="E4130" s="154"/>
      <c r="F4130" s="180"/>
    </row>
    <row r="4131" customHeight="1" spans="1:6">
      <c r="A4131" s="9" t="s">
        <v>14081</v>
      </c>
      <c r="B4131" s="214" t="s">
        <v>14082</v>
      </c>
      <c r="C4131" s="214" t="s">
        <v>14083</v>
      </c>
      <c r="D4131" s="194"/>
      <c r="E4131" s="204" t="s">
        <v>92</v>
      </c>
      <c r="F4131" s="204"/>
    </row>
    <row r="4132" customHeight="1" spans="1:6">
      <c r="A4132" s="9" t="s">
        <v>14084</v>
      </c>
      <c r="B4132" s="223" t="s">
        <v>14085</v>
      </c>
      <c r="C4132" s="223" t="s">
        <v>14086</v>
      </c>
      <c r="D4132" s="204" t="s">
        <v>14087</v>
      </c>
      <c r="E4132" s="204" t="s">
        <v>92</v>
      </c>
      <c r="F4132" s="204"/>
    </row>
    <row r="4133" customHeight="1" spans="1:6">
      <c r="A4133" s="9" t="s">
        <v>14088</v>
      </c>
      <c r="B4133" s="194" t="s">
        <v>14089</v>
      </c>
      <c r="C4133" s="202" t="s">
        <v>14090</v>
      </c>
      <c r="D4133" s="158">
        <v>916470291</v>
      </c>
      <c r="E4133" s="158" t="s">
        <v>1218</v>
      </c>
      <c r="F4133" s="153"/>
    </row>
    <row r="4134" customHeight="1" spans="1:6">
      <c r="A4134" s="9" t="s">
        <v>14091</v>
      </c>
      <c r="B4134" s="223" t="s">
        <v>14092</v>
      </c>
      <c r="C4134" s="223" t="s">
        <v>14093</v>
      </c>
      <c r="D4134" s="204" t="s">
        <v>14094</v>
      </c>
      <c r="E4134" s="204" t="s">
        <v>92</v>
      </c>
      <c r="F4134" s="204"/>
    </row>
    <row r="4135" customHeight="1" spans="1:6">
      <c r="A4135" s="9" t="s">
        <v>14095</v>
      </c>
      <c r="B4135" s="208" t="s">
        <v>14096</v>
      </c>
      <c r="C4135" s="208" t="s">
        <v>14097</v>
      </c>
      <c r="D4135" s="194"/>
      <c r="E4135" s="204" t="s">
        <v>92</v>
      </c>
      <c r="F4135" s="204"/>
    </row>
    <row r="4136" customHeight="1" spans="1:6">
      <c r="A4136" s="9" t="s">
        <v>14098</v>
      </c>
      <c r="B4136" s="220" t="s">
        <v>14099</v>
      </c>
      <c r="C4136" s="220" t="s">
        <v>14100</v>
      </c>
      <c r="D4136" s="220">
        <v>960613266</v>
      </c>
      <c r="E4136" s="312" t="s">
        <v>691</v>
      </c>
      <c r="F4136" s="220"/>
    </row>
    <row r="4137" customHeight="1" spans="1:6">
      <c r="A4137" s="9" t="s">
        <v>14101</v>
      </c>
      <c r="B4137" s="225" t="s">
        <v>14102</v>
      </c>
      <c r="C4137" s="225" t="s">
        <v>14103</v>
      </c>
      <c r="D4137" s="228" t="s">
        <v>14104</v>
      </c>
      <c r="E4137" s="229" t="s">
        <v>120</v>
      </c>
      <c r="F4137" s="230" t="s">
        <v>14105</v>
      </c>
    </row>
    <row r="4138" customHeight="1" spans="1:6">
      <c r="A4138" s="9" t="s">
        <v>14106</v>
      </c>
      <c r="B4138" s="197" t="s">
        <v>14107</v>
      </c>
      <c r="C4138" s="202" t="s">
        <v>14108</v>
      </c>
      <c r="D4138" s="158">
        <v>955293901</v>
      </c>
      <c r="E4138" s="158" t="s">
        <v>1218</v>
      </c>
      <c r="F4138" s="153"/>
    </row>
    <row r="4139" customHeight="1" spans="1:6">
      <c r="A4139" s="9" t="s">
        <v>14109</v>
      </c>
      <c r="B4139" s="197" t="s">
        <v>14110</v>
      </c>
      <c r="C4139" s="196" t="s">
        <v>14111</v>
      </c>
      <c r="D4139" s="197" t="s">
        <v>14112</v>
      </c>
      <c r="E4139" s="197" t="s">
        <v>243</v>
      </c>
      <c r="F4139" s="197"/>
    </row>
    <row r="4140" customHeight="1" spans="1:6">
      <c r="A4140" s="9" t="s">
        <v>14113</v>
      </c>
      <c r="B4140" s="195" t="s">
        <v>14114</v>
      </c>
      <c r="C4140" s="202" t="s">
        <v>14115</v>
      </c>
      <c r="D4140" s="341" t="s">
        <v>14116</v>
      </c>
      <c r="E4140" s="154" t="s">
        <v>181</v>
      </c>
      <c r="F4140" s="180"/>
    </row>
    <row r="4141" customHeight="1" spans="1:6">
      <c r="A4141" s="9" t="s">
        <v>14117</v>
      </c>
      <c r="B4141" s="194" t="s">
        <v>14118</v>
      </c>
      <c r="C4141" s="192" t="s">
        <v>14119</v>
      </c>
      <c r="D4141" s="194"/>
      <c r="E4141" s="194" t="s">
        <v>243</v>
      </c>
      <c r="F4141" s="194"/>
    </row>
    <row r="4142" customHeight="1" spans="1:6">
      <c r="A4142" s="9" t="s">
        <v>14120</v>
      </c>
      <c r="B4142" s="201" t="s">
        <v>14121</v>
      </c>
      <c r="C4142" s="202" t="s">
        <v>14122</v>
      </c>
      <c r="D4142" s="154" t="s">
        <v>14123</v>
      </c>
      <c r="E4142" s="154" t="s">
        <v>243</v>
      </c>
      <c r="F4142" s="180"/>
    </row>
    <row r="4143" customHeight="1" spans="1:6">
      <c r="A4143" s="9" t="s">
        <v>14124</v>
      </c>
      <c r="B4143" s="201" t="s">
        <v>14125</v>
      </c>
      <c r="C4143" s="202" t="s">
        <v>14126</v>
      </c>
      <c r="D4143" s="154" t="s">
        <v>14127</v>
      </c>
      <c r="E4143" s="154"/>
      <c r="F4143" s="180"/>
    </row>
    <row r="4144" customHeight="1" spans="1:6">
      <c r="A4144" s="9" t="s">
        <v>14128</v>
      </c>
      <c r="B4144" s="194" t="s">
        <v>14129</v>
      </c>
      <c r="C4144" s="192" t="s">
        <v>14130</v>
      </c>
      <c r="D4144" s="194"/>
      <c r="E4144" s="194" t="s">
        <v>243</v>
      </c>
      <c r="F4144" s="194"/>
    </row>
    <row r="4145" customHeight="1" spans="1:6">
      <c r="A4145" s="9" t="s">
        <v>14131</v>
      </c>
      <c r="B4145" s="201" t="s">
        <v>14132</v>
      </c>
      <c r="C4145" s="202" t="s">
        <v>14133</v>
      </c>
      <c r="D4145" s="154" t="s">
        <v>14134</v>
      </c>
      <c r="E4145" s="154" t="s">
        <v>1395</v>
      </c>
      <c r="F4145" s="180"/>
    </row>
    <row r="4146" customHeight="1" spans="1:6">
      <c r="A4146" s="9" t="s">
        <v>14135</v>
      </c>
      <c r="B4146" s="222" t="str">
        <f>IFERROR(__xludf.DUMMYFUNCTION("""COMPUTED_VALUE"""),"Berhan Ayehu Mera/Ato/")</f>
        <v>Berhan Ayehu Mera/Ato/</v>
      </c>
      <c r="C4146" s="222" t="str">
        <f>IFERROR(__xludf.DUMMYFUNCTION("""COMPUTED_VALUE"""),"ብርሃን አየሁ መራ /አቶ/")</f>
        <v>ብርሃን አየሁ መራ /አቶ/</v>
      </c>
      <c r="D4146" s="222" t="str">
        <f>IFERROR(__xludf.DUMMYFUNCTION("""COMPUTED_VALUE"""),"0911-205121
0911-132340")</f>
        <v>0911-205121
0911-132340</v>
      </c>
      <c r="E4146" s="222" t="str">
        <f>IFERROR(__xludf.DUMMYFUNCTION("""COMPUTED_VALUE"""),"A/A")</f>
        <v>A/A</v>
      </c>
      <c r="F4146" s="222"/>
    </row>
    <row r="4147" customHeight="1" spans="1:6">
      <c r="A4147" s="9" t="s">
        <v>14136</v>
      </c>
      <c r="B4147" s="238" t="s">
        <v>14137</v>
      </c>
      <c r="C4147" s="192" t="s">
        <v>14138</v>
      </c>
      <c r="D4147" s="194"/>
      <c r="E4147" s="193" t="s">
        <v>216</v>
      </c>
      <c r="F4147" s="191"/>
    </row>
    <row r="4148" customHeight="1" spans="1:6">
      <c r="A4148" s="9" t="s">
        <v>14139</v>
      </c>
      <c r="B4148" s="223" t="s">
        <v>14140</v>
      </c>
      <c r="C4148" s="223" t="s">
        <v>14141</v>
      </c>
      <c r="D4148" s="204" t="s">
        <v>14142</v>
      </c>
      <c r="E4148" s="204" t="s">
        <v>92</v>
      </c>
      <c r="F4148" s="204"/>
    </row>
    <row r="4149" customHeight="1" spans="1:6">
      <c r="A4149" s="9" t="s">
        <v>14143</v>
      </c>
      <c r="B4149" s="258" t="s">
        <v>14144</v>
      </c>
      <c r="C4149" s="258" t="s">
        <v>14145</v>
      </c>
      <c r="D4149" s="240" t="s">
        <v>14146</v>
      </c>
      <c r="E4149" s="240" t="s">
        <v>92</v>
      </c>
      <c r="F4149" s="240"/>
    </row>
    <row r="4150" customHeight="1" spans="1:6">
      <c r="A4150" s="9" t="s">
        <v>14147</v>
      </c>
      <c r="B4150" s="200" t="s">
        <v>14148</v>
      </c>
      <c r="C4150" s="192" t="s">
        <v>14149</v>
      </c>
      <c r="D4150" s="194" t="s">
        <v>14150</v>
      </c>
      <c r="E4150" s="194" t="s">
        <v>273</v>
      </c>
      <c r="F4150" s="194"/>
    </row>
    <row r="4151" customHeight="1" spans="1:6">
      <c r="A4151" s="9" t="s">
        <v>14151</v>
      </c>
      <c r="B4151" s="223" t="s">
        <v>14152</v>
      </c>
      <c r="C4151" s="223" t="s">
        <v>14153</v>
      </c>
      <c r="D4151" s="204" t="s">
        <v>14154</v>
      </c>
      <c r="E4151" s="173"/>
      <c r="F4151" s="234"/>
    </row>
    <row r="4152" customHeight="1" spans="1:6">
      <c r="A4152" s="9" t="s">
        <v>14155</v>
      </c>
      <c r="B4152" s="214" t="s">
        <v>14156</v>
      </c>
      <c r="C4152" s="214" t="s">
        <v>14157</v>
      </c>
      <c r="D4152" s="194"/>
      <c r="E4152" s="204" t="s">
        <v>92</v>
      </c>
      <c r="F4152" s="204"/>
    </row>
    <row r="4153" customHeight="1" spans="1:6">
      <c r="A4153" s="9" t="s">
        <v>14158</v>
      </c>
      <c r="B4153" s="200" t="s">
        <v>14159</v>
      </c>
      <c r="C4153" s="192" t="s">
        <v>14160</v>
      </c>
      <c r="D4153" s="194"/>
      <c r="E4153" s="194" t="s">
        <v>273</v>
      </c>
      <c r="F4153" s="194"/>
    </row>
    <row r="4154" customHeight="1" spans="1:6">
      <c r="A4154" s="9" t="s">
        <v>14161</v>
      </c>
      <c r="B4154" s="223" t="s">
        <v>14162</v>
      </c>
      <c r="C4154" s="223" t="s">
        <v>14163</v>
      </c>
      <c r="D4154" s="204" t="s">
        <v>14164</v>
      </c>
      <c r="E4154" s="204" t="s">
        <v>92</v>
      </c>
      <c r="F4154" s="204"/>
    </row>
    <row r="4155" customHeight="1" spans="1:6">
      <c r="A4155" s="9" t="s">
        <v>14165</v>
      </c>
      <c r="B4155" s="205" t="s">
        <v>14166</v>
      </c>
      <c r="C4155" s="205" t="s">
        <v>14167</v>
      </c>
      <c r="D4155" s="206" t="s">
        <v>14168</v>
      </c>
      <c r="E4155" s="193" t="s">
        <v>120</v>
      </c>
      <c r="F4155" s="237"/>
    </row>
    <row r="4156" customHeight="1" spans="1:6">
      <c r="A4156" s="9" t="s">
        <v>14169</v>
      </c>
      <c r="B4156" s="160" t="s">
        <v>14170</v>
      </c>
      <c r="C4156" s="160" t="s">
        <v>14171</v>
      </c>
      <c r="D4156" s="204" t="s">
        <v>14172</v>
      </c>
      <c r="E4156" s="204" t="s">
        <v>92</v>
      </c>
      <c r="F4156" s="204"/>
    </row>
    <row r="4157" customHeight="1" spans="1:6">
      <c r="A4157" s="9" t="s">
        <v>14173</v>
      </c>
      <c r="B4157" s="233" t="s">
        <v>14174</v>
      </c>
      <c r="C4157" s="233" t="s">
        <v>14175</v>
      </c>
      <c r="D4157" s="204" t="s">
        <v>14176</v>
      </c>
      <c r="E4157" s="204" t="s">
        <v>92</v>
      </c>
      <c r="F4157" s="204" t="s">
        <v>14177</v>
      </c>
    </row>
    <row r="4158" customHeight="1" spans="1:6">
      <c r="A4158" s="9" t="s">
        <v>14178</v>
      </c>
      <c r="B4158" s="223" t="s">
        <v>14179</v>
      </c>
      <c r="C4158" s="223" t="s">
        <v>14180</v>
      </c>
      <c r="D4158" s="223" t="s">
        <v>14181</v>
      </c>
      <c r="E4158" s="204" t="s">
        <v>92</v>
      </c>
      <c r="F4158" s="204"/>
    </row>
    <row r="4159" customHeight="1" spans="1:6">
      <c r="A4159" s="9" t="s">
        <v>14182</v>
      </c>
      <c r="B4159" s="214" t="s">
        <v>14183</v>
      </c>
      <c r="C4159" s="249" t="s">
        <v>14184</v>
      </c>
      <c r="D4159" s="194"/>
      <c r="E4159" s="204" t="s">
        <v>605</v>
      </c>
      <c r="F4159" s="204"/>
    </row>
    <row r="4160" customHeight="1" spans="1:6">
      <c r="A4160" s="9" t="s">
        <v>14185</v>
      </c>
      <c r="B4160" s="201" t="s">
        <v>14186</v>
      </c>
      <c r="C4160" s="202" t="s">
        <v>14187</v>
      </c>
      <c r="D4160" s="154" t="s">
        <v>14188</v>
      </c>
      <c r="E4160" s="154" t="s">
        <v>243</v>
      </c>
      <c r="F4160" s="180"/>
    </row>
    <row r="4161" customHeight="1" spans="1:6">
      <c r="A4161" s="9" t="s">
        <v>14189</v>
      </c>
      <c r="B4161" s="180" t="s">
        <v>14190</v>
      </c>
      <c r="C4161" s="243" t="s">
        <v>14191</v>
      </c>
      <c r="D4161" s="154">
        <v>915715165</v>
      </c>
      <c r="E4161" s="158" t="s">
        <v>968</v>
      </c>
      <c r="F4161" s="153"/>
    </row>
    <row r="4162" customHeight="1" spans="1:6">
      <c r="A4162" s="9" t="s">
        <v>14192</v>
      </c>
      <c r="B4162" s="217" t="s">
        <v>14193</v>
      </c>
      <c r="C4162" s="196" t="s">
        <v>14194</v>
      </c>
      <c r="D4162" s="197"/>
      <c r="E4162" s="198" t="s">
        <v>216</v>
      </c>
      <c r="F4162" s="199"/>
    </row>
    <row r="4163" customHeight="1" spans="1:6">
      <c r="A4163" s="9" t="s">
        <v>14195</v>
      </c>
      <c r="B4163" s="200" t="s">
        <v>14196</v>
      </c>
      <c r="C4163" s="246" t="s">
        <v>14197</v>
      </c>
      <c r="D4163" s="194">
        <v>928691122</v>
      </c>
      <c r="E4163" s="194" t="s">
        <v>1852</v>
      </c>
      <c r="F4163" s="194"/>
    </row>
    <row r="4164" customHeight="1" spans="1:6">
      <c r="A4164" s="9" t="s">
        <v>14198</v>
      </c>
      <c r="B4164" s="215" t="s">
        <v>14199</v>
      </c>
      <c r="C4164" s="205" t="s">
        <v>14200</v>
      </c>
      <c r="D4164" s="244" t="s">
        <v>14201</v>
      </c>
      <c r="E4164" s="26" t="s">
        <v>92</v>
      </c>
      <c r="F4164" s="26"/>
    </row>
    <row r="4165" customHeight="1" spans="1:6">
      <c r="A4165" s="9" t="s">
        <v>14202</v>
      </c>
      <c r="B4165" s="200" t="s">
        <v>14203</v>
      </c>
      <c r="C4165" s="192" t="s">
        <v>14204</v>
      </c>
      <c r="D4165" s="194"/>
      <c r="E4165" s="194" t="s">
        <v>273</v>
      </c>
      <c r="F4165" s="194"/>
    </row>
    <row r="4166" customHeight="1" spans="1:6">
      <c r="A4166" s="9" t="s">
        <v>14205</v>
      </c>
      <c r="B4166" s="153" t="s">
        <v>14206</v>
      </c>
      <c r="C4166" s="202" t="s">
        <v>14207</v>
      </c>
      <c r="D4166" s="154"/>
      <c r="E4166" s="154" t="s">
        <v>181</v>
      </c>
      <c r="F4166" s="180"/>
    </row>
    <row r="4167" customHeight="1" spans="1:6">
      <c r="A4167" s="9" t="s">
        <v>14208</v>
      </c>
      <c r="B4167" s="153" t="s">
        <v>14209</v>
      </c>
      <c r="C4167" s="202" t="s">
        <v>14210</v>
      </c>
      <c r="D4167" s="154"/>
      <c r="E4167" s="154" t="s">
        <v>243</v>
      </c>
      <c r="F4167" s="180"/>
    </row>
    <row r="4168" customHeight="1" spans="1:6">
      <c r="A4168" s="9" t="s">
        <v>14211</v>
      </c>
      <c r="B4168" s="195" t="s">
        <v>14212</v>
      </c>
      <c r="C4168" s="196" t="s">
        <v>14213</v>
      </c>
      <c r="D4168" s="197" t="s">
        <v>885</v>
      </c>
      <c r="E4168" s="197" t="s">
        <v>310</v>
      </c>
      <c r="F4168" s="197"/>
    </row>
    <row r="4169" customHeight="1" spans="1:6">
      <c r="A4169" s="9" t="s">
        <v>14214</v>
      </c>
      <c r="B4169" s="201" t="s">
        <v>14215</v>
      </c>
      <c r="C4169" s="202" t="s">
        <v>14216</v>
      </c>
      <c r="D4169" s="154" t="s">
        <v>14217</v>
      </c>
      <c r="E4169" s="154"/>
      <c r="F4169" s="180"/>
    </row>
    <row r="4170" customHeight="1" spans="1:6">
      <c r="A4170" s="9" t="s">
        <v>14218</v>
      </c>
      <c r="B4170" s="195" t="s">
        <v>14219</v>
      </c>
      <c r="C4170" s="203" t="s">
        <v>14220</v>
      </c>
      <c r="D4170" s="197"/>
      <c r="E4170" s="197" t="s">
        <v>273</v>
      </c>
      <c r="F4170" s="197"/>
    </row>
    <row r="4171" customHeight="1" spans="1:6">
      <c r="A4171" s="9" t="s">
        <v>14221</v>
      </c>
      <c r="B4171" s="223" t="s">
        <v>14222</v>
      </c>
      <c r="C4171" s="223" t="s">
        <v>14223</v>
      </c>
      <c r="D4171" s="204" t="s">
        <v>14224</v>
      </c>
      <c r="E4171" s="204" t="s">
        <v>92</v>
      </c>
      <c r="F4171" s="204"/>
    </row>
    <row r="4172" customHeight="1" spans="1:6">
      <c r="A4172" s="9" t="s">
        <v>14225</v>
      </c>
      <c r="B4172" s="258" t="s">
        <v>14226</v>
      </c>
      <c r="C4172" s="258" t="s">
        <v>14227</v>
      </c>
      <c r="D4172" s="240" t="s">
        <v>14228</v>
      </c>
      <c r="E4172" s="240" t="s">
        <v>92</v>
      </c>
      <c r="F4172" s="240"/>
    </row>
    <row r="4173" customHeight="1" spans="1:6">
      <c r="A4173" s="9" t="s">
        <v>14229</v>
      </c>
      <c r="B4173" s="223" t="s">
        <v>14230</v>
      </c>
      <c r="C4173" s="223" t="s">
        <v>14231</v>
      </c>
      <c r="D4173" s="204" t="s">
        <v>14232</v>
      </c>
      <c r="E4173" s="204" t="s">
        <v>92</v>
      </c>
      <c r="F4173" s="204"/>
    </row>
    <row r="4174" customHeight="1" spans="1:6">
      <c r="A4174" s="9" t="s">
        <v>14233</v>
      </c>
      <c r="B4174" s="194" t="s">
        <v>14234</v>
      </c>
      <c r="C4174" s="192" t="s">
        <v>14235</v>
      </c>
      <c r="D4174" s="194"/>
      <c r="E4174" s="194" t="s">
        <v>202</v>
      </c>
      <c r="F4174" s="194"/>
    </row>
    <row r="4175" customHeight="1" spans="1:6">
      <c r="A4175" s="9" t="s">
        <v>14236</v>
      </c>
      <c r="B4175" s="241" t="s">
        <v>14237</v>
      </c>
      <c r="C4175" s="241" t="s">
        <v>14238</v>
      </c>
      <c r="D4175" s="38">
        <v>911628871</v>
      </c>
      <c r="E4175" s="37" t="s">
        <v>691</v>
      </c>
      <c r="F4175" s="308" t="s">
        <v>14239</v>
      </c>
    </row>
    <row r="4176" customHeight="1" spans="1:6">
      <c r="A4176" s="9" t="s">
        <v>14240</v>
      </c>
      <c r="B4176" s="223" t="s">
        <v>14241</v>
      </c>
      <c r="C4176" s="223" t="s">
        <v>14242</v>
      </c>
      <c r="D4176" s="204" t="s">
        <v>14243</v>
      </c>
      <c r="E4176" s="204" t="s">
        <v>92</v>
      </c>
      <c r="F4176" s="204"/>
    </row>
    <row r="4177" customHeight="1" spans="1:6">
      <c r="A4177" s="9" t="s">
        <v>14244</v>
      </c>
      <c r="B4177" s="201" t="s">
        <v>14245</v>
      </c>
      <c r="C4177" s="202" t="s">
        <v>14246</v>
      </c>
      <c r="D4177" s="154" t="s">
        <v>14247</v>
      </c>
      <c r="E4177" s="154" t="s">
        <v>202</v>
      </c>
      <c r="F4177" s="180"/>
    </row>
    <row r="4178" customHeight="1" spans="1:6">
      <c r="A4178" s="9" t="s">
        <v>14248</v>
      </c>
      <c r="B4178" s="214" t="s">
        <v>14249</v>
      </c>
      <c r="C4178" s="214" t="s">
        <v>14250</v>
      </c>
      <c r="D4178" s="204" t="s">
        <v>14251</v>
      </c>
      <c r="E4178" s="204" t="s">
        <v>92</v>
      </c>
      <c r="F4178" s="204"/>
    </row>
    <row r="4179" customHeight="1" spans="1:6">
      <c r="A4179" s="9" t="s">
        <v>14252</v>
      </c>
      <c r="B4179" s="215" t="s">
        <v>14253</v>
      </c>
      <c r="C4179" s="205" t="s">
        <v>14254</v>
      </c>
      <c r="D4179" s="227" t="s">
        <v>14255</v>
      </c>
      <c r="E4179" s="193" t="s">
        <v>120</v>
      </c>
      <c r="F4179" s="216" t="s">
        <v>14256</v>
      </c>
    </row>
    <row r="4180" customHeight="1" spans="1:6">
      <c r="A4180" s="9" t="s">
        <v>14257</v>
      </c>
      <c r="B4180" s="201" t="s">
        <v>14258</v>
      </c>
      <c r="C4180" s="202" t="s">
        <v>14259</v>
      </c>
      <c r="D4180" s="154"/>
      <c r="E4180" s="154"/>
      <c r="F4180" s="180"/>
    </row>
    <row r="4181" customHeight="1" spans="1:6">
      <c r="A4181" s="9" t="s">
        <v>14260</v>
      </c>
      <c r="B4181" s="222" t="str">
        <f>IFERROR(__xludf.DUMMYFUNCTION("""COMPUTED_VALUE"""),"Berhanu Negash /Ato/")</f>
        <v>Berhanu Negash /Ato/</v>
      </c>
      <c r="C4181" s="222" t="str">
        <f>IFERROR(__xludf.DUMMYFUNCTION("""COMPUTED_VALUE"""),"ብርሃኑ ነጋሽ /አቶ/")</f>
        <v>ብርሃኑ ነጋሽ /አቶ/</v>
      </c>
      <c r="D4181" s="222" t="str">
        <f>IFERROR(__xludf.DUMMYFUNCTION("""COMPUTED_VALUE"""),"911990319")</f>
        <v>911990319</v>
      </c>
      <c r="E4181" s="222" t="str">
        <f>IFERROR(__xludf.DUMMYFUNCTION("""COMPUTED_VALUE"""),"USA")</f>
        <v>USA</v>
      </c>
      <c r="F4181" s="222"/>
    </row>
    <row r="4182" customHeight="1" spans="1:6">
      <c r="A4182" s="9" t="s">
        <v>14261</v>
      </c>
      <c r="B4182" s="224" t="s">
        <v>14262</v>
      </c>
      <c r="C4182" s="225" t="s">
        <v>14263</v>
      </c>
      <c r="D4182" s="228" t="s">
        <v>14264</v>
      </c>
      <c r="E4182" s="229" t="s">
        <v>120</v>
      </c>
      <c r="F4182" s="230"/>
    </row>
    <row r="4183" customHeight="1" spans="1:6">
      <c r="A4183" s="9" t="s">
        <v>14265</v>
      </c>
      <c r="B4183" s="214" t="s">
        <v>14266</v>
      </c>
      <c r="C4183" s="214" t="s">
        <v>14267</v>
      </c>
      <c r="D4183" s="194"/>
      <c r="E4183" s="204" t="s">
        <v>92</v>
      </c>
      <c r="F4183" s="204"/>
    </row>
    <row r="4184" customHeight="1" spans="1:6">
      <c r="A4184" s="9" t="s">
        <v>14268</v>
      </c>
      <c r="B4184" s="238" t="s">
        <v>14269</v>
      </c>
      <c r="C4184" s="196" t="s">
        <v>14270</v>
      </c>
      <c r="D4184" s="197"/>
      <c r="E4184" s="198" t="s">
        <v>216</v>
      </c>
      <c r="F4184" s="199"/>
    </row>
    <row r="4185" customHeight="1" spans="1:6">
      <c r="A4185" s="9" t="s">
        <v>14271</v>
      </c>
      <c r="B4185" s="233" t="s">
        <v>14272</v>
      </c>
      <c r="C4185" s="233" t="s">
        <v>14273</v>
      </c>
      <c r="D4185" s="204" t="s">
        <v>14274</v>
      </c>
      <c r="E4185" s="204" t="s">
        <v>2067</v>
      </c>
      <c r="F4185" s="204" t="s">
        <v>14275</v>
      </c>
    </row>
    <row r="4186" customHeight="1" spans="1:6">
      <c r="A4186" s="9" t="s">
        <v>14276</v>
      </c>
      <c r="B4186" s="255" t="s">
        <v>14277</v>
      </c>
      <c r="C4186" s="255" t="s">
        <v>14278</v>
      </c>
      <c r="D4186" s="256" t="s">
        <v>14279</v>
      </c>
      <c r="E4186" s="26" t="s">
        <v>1701</v>
      </c>
      <c r="F4186" s="290" t="s">
        <v>14280</v>
      </c>
    </row>
    <row r="4187" customHeight="1" spans="1:6">
      <c r="A4187" s="9" t="s">
        <v>14281</v>
      </c>
      <c r="B4187" s="258" t="s">
        <v>14282</v>
      </c>
      <c r="C4187" s="258" t="s">
        <v>14278</v>
      </c>
      <c r="D4187" s="240" t="s">
        <v>14283</v>
      </c>
      <c r="E4187" s="240" t="s">
        <v>92</v>
      </c>
      <c r="F4187" s="240"/>
    </row>
    <row r="4188" customHeight="1" spans="1:6">
      <c r="A4188" s="9" t="s">
        <v>14284</v>
      </c>
      <c r="B4188" s="215" t="s">
        <v>14285</v>
      </c>
      <c r="C4188" s="205" t="s">
        <v>14286</v>
      </c>
      <c r="D4188" s="244" t="s">
        <v>2134</v>
      </c>
      <c r="E4188" s="26" t="s">
        <v>92</v>
      </c>
      <c r="F4188" s="26"/>
    </row>
    <row r="4189" customHeight="1" spans="1:6">
      <c r="A4189" s="9" t="s">
        <v>14287</v>
      </c>
      <c r="B4189" s="215" t="s">
        <v>14288</v>
      </c>
      <c r="C4189" s="205" t="s">
        <v>14289</v>
      </c>
      <c r="D4189" s="206" t="s">
        <v>14290</v>
      </c>
      <c r="E4189" s="193" t="s">
        <v>120</v>
      </c>
      <c r="F4189" s="221" t="s">
        <v>14291</v>
      </c>
    </row>
    <row r="4190" customHeight="1" spans="1:6">
      <c r="A4190" s="9" t="s">
        <v>14292</v>
      </c>
      <c r="B4190" s="214" t="s">
        <v>14293</v>
      </c>
      <c r="C4190" s="214" t="s">
        <v>14294</v>
      </c>
      <c r="D4190" s="194"/>
      <c r="E4190" s="204" t="s">
        <v>92</v>
      </c>
      <c r="F4190" s="204"/>
    </row>
    <row r="4191" customHeight="1" spans="1:6">
      <c r="A4191" s="9" t="s">
        <v>14295</v>
      </c>
      <c r="B4191" s="223" t="s">
        <v>14296</v>
      </c>
      <c r="C4191" s="223" t="s">
        <v>14297</v>
      </c>
      <c r="D4191" s="204" t="s">
        <v>14298</v>
      </c>
      <c r="E4191" s="204" t="s">
        <v>92</v>
      </c>
      <c r="F4191" s="204"/>
    </row>
    <row r="4192" customHeight="1" spans="1:6">
      <c r="A4192" s="9" t="s">
        <v>14299</v>
      </c>
      <c r="B4192" s="205" t="s">
        <v>14300</v>
      </c>
      <c r="C4192" s="205" t="s">
        <v>14301</v>
      </c>
      <c r="D4192" s="206" t="s">
        <v>14302</v>
      </c>
      <c r="E4192" s="193" t="s">
        <v>120</v>
      </c>
      <c r="F4192" s="300"/>
    </row>
    <row r="4193" customHeight="1" spans="1:6">
      <c r="A4193" s="9" t="s">
        <v>14303</v>
      </c>
      <c r="B4193" s="223" t="s">
        <v>14304</v>
      </c>
      <c r="C4193" s="223" t="s">
        <v>14305</v>
      </c>
      <c r="D4193" s="204" t="s">
        <v>14306</v>
      </c>
      <c r="E4193" s="173" t="s">
        <v>92</v>
      </c>
      <c r="F4193" s="234" t="s">
        <v>14307</v>
      </c>
    </row>
    <row r="4194" customHeight="1" spans="1:6">
      <c r="A4194" s="9" t="s">
        <v>14308</v>
      </c>
      <c r="B4194" s="214" t="s">
        <v>14309</v>
      </c>
      <c r="C4194" s="214" t="s">
        <v>14310</v>
      </c>
      <c r="D4194" s="194"/>
      <c r="E4194" s="204" t="s">
        <v>92</v>
      </c>
      <c r="F4194" s="204"/>
    </row>
    <row r="4195" customHeight="1" spans="1:6">
      <c r="A4195" s="9" t="s">
        <v>14311</v>
      </c>
      <c r="B4195" s="214" t="s">
        <v>14312</v>
      </c>
      <c r="C4195" s="214" t="s">
        <v>14313</v>
      </c>
      <c r="D4195" s="194"/>
      <c r="E4195" s="204" t="s">
        <v>92</v>
      </c>
      <c r="F4195" s="204"/>
    </row>
    <row r="4196" customHeight="1" spans="1:6">
      <c r="A4196" s="9" t="s">
        <v>14314</v>
      </c>
      <c r="B4196" s="201" t="s">
        <v>14315</v>
      </c>
      <c r="C4196" s="202" t="s">
        <v>14316</v>
      </c>
      <c r="D4196" s="154"/>
      <c r="E4196" s="154" t="s">
        <v>58</v>
      </c>
      <c r="F4196" s="180"/>
    </row>
    <row r="4197" customHeight="1" spans="1:6">
      <c r="A4197" s="9" t="s">
        <v>14317</v>
      </c>
      <c r="B4197" s="201" t="s">
        <v>14318</v>
      </c>
      <c r="C4197" s="202" t="s">
        <v>14319</v>
      </c>
      <c r="D4197" s="154"/>
      <c r="E4197" s="154" t="s">
        <v>3349</v>
      </c>
      <c r="F4197" s="180"/>
    </row>
    <row r="4198" customHeight="1" spans="1:6">
      <c r="A4198" s="9" t="s">
        <v>14320</v>
      </c>
      <c r="B4198" s="195" t="s">
        <v>14321</v>
      </c>
      <c r="C4198" s="202" t="s">
        <v>14322</v>
      </c>
      <c r="D4198" s="152"/>
      <c r="E4198" s="154" t="s">
        <v>232</v>
      </c>
      <c r="F4198" s="180"/>
    </row>
    <row r="4199" customHeight="1" spans="1:6">
      <c r="A4199" s="9" t="s">
        <v>14323</v>
      </c>
      <c r="B4199" s="200" t="s">
        <v>14324</v>
      </c>
      <c r="C4199" s="202" t="s">
        <v>14325</v>
      </c>
      <c r="D4199" s="158" t="s">
        <v>14326</v>
      </c>
      <c r="E4199" s="154"/>
      <c r="F4199" s="180"/>
    </row>
    <row r="4200" customHeight="1" spans="1:6">
      <c r="A4200" s="9" t="s">
        <v>14327</v>
      </c>
      <c r="B4200" s="201" t="s">
        <v>14328</v>
      </c>
      <c r="C4200" s="202" t="s">
        <v>14329</v>
      </c>
      <c r="D4200" s="154" t="s">
        <v>14330</v>
      </c>
      <c r="E4200" s="154" t="s">
        <v>243</v>
      </c>
      <c r="F4200" s="180"/>
    </row>
    <row r="4201" customHeight="1" spans="1:6">
      <c r="A4201" s="9" t="s">
        <v>14331</v>
      </c>
      <c r="B4201" s="222" t="str">
        <f>IFERROR(__xludf.DUMMYFUNCTION("""COMPUTED_VALUE"""),"Berihu Asres G/mariyam")</f>
        <v>Berihu Asres G/mariyam</v>
      </c>
      <c r="C4201" s="222" t="str">
        <f>IFERROR(__xludf.DUMMYFUNCTION("""COMPUTED_VALUE"""),"በሪሁን አስረስ ገ/ማርያም")</f>
        <v>በሪሁን አስረስ ገ/ማርያም</v>
      </c>
      <c r="D4201" s="222" t="str">
        <f>IFERROR(__xludf.DUMMYFUNCTION("""COMPUTED_VALUE"""),"918705399")</f>
        <v>918705399</v>
      </c>
      <c r="E4201" s="222" t="str">
        <f>IFERROR(__xludf.DUMMYFUNCTION("""COMPUTED_VALUE"""),"Amara")</f>
        <v>Amara</v>
      </c>
      <c r="F4201" s="222" t="str">
        <f>IFERROR(__xludf.DUMMYFUNCTION("""COMPUTED_VALUE"""),"berihunasres32@gmail.com")</f>
        <v>berihunasres32@gmail.com</v>
      </c>
    </row>
    <row r="4202" customHeight="1" spans="1:6">
      <c r="A4202" s="9" t="s">
        <v>14332</v>
      </c>
      <c r="B4202" s="201" t="s">
        <v>14333</v>
      </c>
      <c r="C4202" s="202" t="s">
        <v>14334</v>
      </c>
      <c r="D4202" s="154"/>
      <c r="E4202" s="154" t="s">
        <v>58</v>
      </c>
      <c r="F4202" s="180"/>
    </row>
    <row r="4203" customHeight="1" spans="1:6">
      <c r="A4203" s="9" t="s">
        <v>14335</v>
      </c>
      <c r="B4203" s="201" t="s">
        <v>14336</v>
      </c>
      <c r="C4203" s="202" t="s">
        <v>14337</v>
      </c>
      <c r="D4203" s="158">
        <v>910519592</v>
      </c>
      <c r="E4203" s="158" t="s">
        <v>104</v>
      </c>
      <c r="F4203" s="153"/>
    </row>
    <row r="4204" customHeight="1" spans="1:6">
      <c r="A4204" s="9" t="s">
        <v>14338</v>
      </c>
      <c r="B4204" s="222" t="str">
        <f>IFERROR(__xludf.DUMMYFUNCTION("""COMPUTED_VALUE"""),"Berihun Asres G/Mariam /Ato/")</f>
        <v>Berihun Asres G/Mariam /Ato/</v>
      </c>
      <c r="C4204" s="222" t="str">
        <f>IFERROR(__xludf.DUMMYFUNCTION("""COMPUTED_VALUE"""),"በሪሁን አስረስ ገ/ማርያም /አቶ/")</f>
        <v>በሪሁን አስረስ ገ/ማርያም /አቶ/</v>
      </c>
      <c r="D4204" s="222" t="str">
        <f>IFERROR(__xludf.DUMMYFUNCTION("""COMPUTED_VALUE"""),"0918-705399
0964-624256")</f>
        <v>0918-705399
0964-624256</v>
      </c>
      <c r="E4204" s="222" t="str">
        <f>IFERROR(__xludf.DUMMYFUNCTION("""COMPUTED_VALUE"""),"B/Dar")</f>
        <v>B/Dar</v>
      </c>
      <c r="F4204" s="222" t="str">
        <f>IFERROR(__xludf.DUMMYFUNCTION("""COMPUTED_VALUE"""),"berihunasres32@gmail.com")</f>
        <v>berihunasres32@gmail.com</v>
      </c>
    </row>
    <row r="4205" customHeight="1" spans="1:6">
      <c r="A4205" s="9" t="s">
        <v>14339</v>
      </c>
      <c r="B4205" s="197" t="s">
        <v>14340</v>
      </c>
      <c r="C4205" s="254" t="s">
        <v>14341</v>
      </c>
      <c r="D4205" s="197"/>
      <c r="E4205" s="197" t="s">
        <v>202</v>
      </c>
      <c r="F4205" s="197"/>
    </row>
    <row r="4206" customHeight="1" spans="1:6">
      <c r="A4206" s="9" t="s">
        <v>14342</v>
      </c>
      <c r="B4206" s="194" t="s">
        <v>14343</v>
      </c>
      <c r="C4206" s="192" t="s">
        <v>14344</v>
      </c>
      <c r="D4206" s="194"/>
      <c r="E4206" s="194" t="s">
        <v>202</v>
      </c>
      <c r="F4206" s="194"/>
    </row>
    <row r="4207" customHeight="1" spans="1:6">
      <c r="A4207" s="9" t="s">
        <v>14345</v>
      </c>
      <c r="B4207" s="153" t="s">
        <v>14346</v>
      </c>
      <c r="C4207" s="202" t="s">
        <v>14347</v>
      </c>
      <c r="D4207" s="154"/>
      <c r="E4207" s="210" t="s">
        <v>104</v>
      </c>
      <c r="F4207" s="211"/>
    </row>
    <row r="4208" customHeight="1" spans="1:6">
      <c r="A4208" s="9" t="s">
        <v>14348</v>
      </c>
      <c r="B4208" s="219" t="s">
        <v>14349</v>
      </c>
      <c r="C4208" s="219" t="s">
        <v>14350</v>
      </c>
      <c r="D4208" s="194"/>
      <c r="E4208" s="204" t="s">
        <v>92</v>
      </c>
      <c r="F4208" s="204"/>
    </row>
    <row r="4209" customHeight="1" spans="1:6">
      <c r="A4209" s="9" t="s">
        <v>14351</v>
      </c>
      <c r="B4209" s="201" t="s">
        <v>14352</v>
      </c>
      <c r="C4209" s="202" t="s">
        <v>14353</v>
      </c>
      <c r="D4209" s="154" t="s">
        <v>14354</v>
      </c>
      <c r="E4209" s="154" t="s">
        <v>479</v>
      </c>
      <c r="F4209" s="180"/>
    </row>
    <row r="4210" customHeight="1" spans="1:6">
      <c r="A4210" s="9" t="s">
        <v>14355</v>
      </c>
      <c r="B4210" s="200" t="s">
        <v>14356</v>
      </c>
      <c r="C4210" s="202" t="s">
        <v>14357</v>
      </c>
      <c r="D4210" s="152" t="s">
        <v>14358</v>
      </c>
      <c r="E4210" s="154" t="s">
        <v>211</v>
      </c>
      <c r="F4210" s="180"/>
    </row>
    <row r="4211" customHeight="1" spans="1:6">
      <c r="A4211" s="9" t="s">
        <v>14359</v>
      </c>
      <c r="B4211" s="201" t="s">
        <v>14360</v>
      </c>
      <c r="C4211" s="202" t="s">
        <v>14361</v>
      </c>
      <c r="D4211" s="154" t="s">
        <v>14362</v>
      </c>
      <c r="E4211" s="154" t="s">
        <v>243</v>
      </c>
      <c r="F4211" s="180"/>
    </row>
    <row r="4212" customHeight="1" spans="1:6">
      <c r="A4212" s="9" t="s">
        <v>14363</v>
      </c>
      <c r="B4212" s="201" t="s">
        <v>14364</v>
      </c>
      <c r="C4212" s="202" t="s">
        <v>14365</v>
      </c>
      <c r="D4212" s="154" t="s">
        <v>14123</v>
      </c>
      <c r="E4212" s="154" t="s">
        <v>243</v>
      </c>
      <c r="F4212" s="180"/>
    </row>
    <row r="4213" customHeight="1" spans="1:6">
      <c r="A4213" s="9" t="s">
        <v>14366</v>
      </c>
      <c r="B4213" s="334" t="s">
        <v>14367</v>
      </c>
      <c r="C4213" s="335" t="s">
        <v>13995</v>
      </c>
      <c r="D4213" s="36" t="s">
        <v>14368</v>
      </c>
      <c r="E4213" s="45" t="s">
        <v>691</v>
      </c>
      <c r="F4213" s="45"/>
    </row>
    <row r="4214" customHeight="1" spans="1:6">
      <c r="A4214" s="9" t="s">
        <v>14369</v>
      </c>
      <c r="B4214" s="158" t="s">
        <v>14370</v>
      </c>
      <c r="C4214" s="202" t="s">
        <v>14371</v>
      </c>
      <c r="D4214" s="158">
        <f>+N3546</f>
        <v>0</v>
      </c>
      <c r="E4214" s="154" t="s">
        <v>211</v>
      </c>
      <c r="F4214" s="261"/>
    </row>
    <row r="4215" customHeight="1" spans="1:6">
      <c r="A4215" s="9" t="s">
        <v>14372</v>
      </c>
      <c r="B4215" s="214" t="s">
        <v>14373</v>
      </c>
      <c r="C4215" s="214" t="s">
        <v>14374</v>
      </c>
      <c r="D4215" s="194"/>
      <c r="E4215" s="204" t="s">
        <v>92</v>
      </c>
      <c r="F4215" s="204"/>
    </row>
    <row r="4216" customHeight="1" spans="1:6">
      <c r="A4216" s="9" t="s">
        <v>14375</v>
      </c>
      <c r="B4216" s="223" t="s">
        <v>14376</v>
      </c>
      <c r="C4216" s="223" t="s">
        <v>14377</v>
      </c>
      <c r="D4216" s="204" t="s">
        <v>14378</v>
      </c>
      <c r="E4216" s="204" t="s">
        <v>92</v>
      </c>
      <c r="F4216" s="204"/>
    </row>
    <row r="4217" customHeight="1" spans="1:6">
      <c r="A4217" s="9" t="s">
        <v>14379</v>
      </c>
      <c r="B4217" s="205" t="s">
        <v>14380</v>
      </c>
      <c r="C4217" s="205" t="s">
        <v>14381</v>
      </c>
      <c r="D4217" s="206" t="s">
        <v>14382</v>
      </c>
      <c r="E4217" s="193" t="s">
        <v>120</v>
      </c>
      <c r="F4217" s="221"/>
    </row>
    <row r="4218" customHeight="1" spans="1:6">
      <c r="A4218" s="9" t="s">
        <v>14383</v>
      </c>
      <c r="B4218" s="215" t="s">
        <v>14384</v>
      </c>
      <c r="C4218" s="205" t="s">
        <v>14385</v>
      </c>
      <c r="D4218" s="206" t="s">
        <v>14386</v>
      </c>
      <c r="E4218" s="193" t="s">
        <v>120</v>
      </c>
      <c r="F4218" s="221"/>
    </row>
    <row r="4219" customHeight="1" spans="1:6">
      <c r="A4219" s="9" t="s">
        <v>14387</v>
      </c>
      <c r="B4219" s="160" t="s">
        <v>14388</v>
      </c>
      <c r="C4219" s="160" t="s">
        <v>14389</v>
      </c>
      <c r="D4219" s="204" t="s">
        <v>9680</v>
      </c>
      <c r="E4219" s="204" t="s">
        <v>92</v>
      </c>
      <c r="F4219" s="204"/>
    </row>
    <row r="4220" customHeight="1" spans="1:6">
      <c r="A4220" s="9" t="s">
        <v>14390</v>
      </c>
      <c r="B4220" s="276" t="str">
        <f>IFERROR(__xludf.DUMMYFUNCTION("""COMPUTED_VALUE"""),"Beruk Gemechu Serbessa /Ato")</f>
        <v>Beruk Gemechu Serbessa /Ato</v>
      </c>
      <c r="C4220" s="276" t="str">
        <f>IFERROR(__xludf.DUMMYFUNCTION("""COMPUTED_VALUE"""),"ብሩክ ገመቹ ሰርቤሣ /አቶ/")</f>
        <v>ብሩክ ገመቹ ሰርቤሣ /አቶ/</v>
      </c>
      <c r="D4220" s="276" t="str">
        <f>IFERROR(__xludf.DUMMYFUNCTION("""COMPUTED_VALUE"""),"0913-052286")</f>
        <v>0913-052286</v>
      </c>
      <c r="E4220" s="276" t="str">
        <f>IFERROR(__xludf.DUMMYFUNCTION("""COMPUTED_VALUE"""),"Addis Ababa")</f>
        <v>Addis Ababa</v>
      </c>
      <c r="F4220" s="276" t="str">
        <f>IFERROR(__xludf.DUMMYFUNCTION("""COMPUTED_VALUE"""),"beruk.gem@gmail.com")</f>
        <v>beruk.gem@gmail.com</v>
      </c>
    </row>
    <row r="4221" customHeight="1" spans="1:6">
      <c r="A4221" s="9" t="s">
        <v>14391</v>
      </c>
      <c r="B4221" s="195" t="s">
        <v>14392</v>
      </c>
      <c r="C4221" s="196" t="s">
        <v>14393</v>
      </c>
      <c r="D4221" s="197"/>
      <c r="E4221" s="198" t="s">
        <v>186</v>
      </c>
      <c r="F4221" s="199"/>
    </row>
    <row r="4222" customHeight="1" spans="1:6">
      <c r="A4222" s="9" t="s">
        <v>14394</v>
      </c>
      <c r="B4222" s="253" t="s">
        <v>14395</v>
      </c>
      <c r="C4222" s="253" t="s">
        <v>14396</v>
      </c>
      <c r="D4222" s="240" t="s">
        <v>14397</v>
      </c>
      <c r="E4222" s="240" t="s">
        <v>92</v>
      </c>
      <c r="F4222" s="240"/>
    </row>
    <row r="4223" customHeight="1" spans="1:6">
      <c r="A4223" s="9" t="s">
        <v>14398</v>
      </c>
      <c r="B4223" s="215" t="s">
        <v>14399</v>
      </c>
      <c r="C4223" s="205" t="s">
        <v>14400</v>
      </c>
      <c r="D4223" s="244" t="s">
        <v>14401</v>
      </c>
      <c r="E4223" s="26" t="s">
        <v>92</v>
      </c>
      <c r="F4223" s="26" t="s">
        <v>14402</v>
      </c>
    </row>
    <row r="4224" customHeight="1" spans="1:6">
      <c r="A4224" s="9" t="s">
        <v>14403</v>
      </c>
      <c r="B4224" s="255" t="s">
        <v>14404</v>
      </c>
      <c r="C4224" s="255" t="s">
        <v>14405</v>
      </c>
      <c r="D4224" s="256" t="s">
        <v>14406</v>
      </c>
      <c r="E4224" s="26" t="s">
        <v>1701</v>
      </c>
      <c r="F4224" s="290" t="s">
        <v>14407</v>
      </c>
    </row>
    <row r="4225" customHeight="1" spans="1:6">
      <c r="A4225" s="9" t="s">
        <v>14408</v>
      </c>
      <c r="B4225" s="195" t="s">
        <v>14409</v>
      </c>
      <c r="C4225" s="202" t="s">
        <v>14410</v>
      </c>
      <c r="D4225" s="158" t="s">
        <v>14411</v>
      </c>
      <c r="E4225" s="154" t="s">
        <v>310</v>
      </c>
      <c r="F4225" s="180"/>
    </row>
    <row r="4226" customHeight="1" spans="1:6">
      <c r="A4226" s="9" t="s">
        <v>14412</v>
      </c>
      <c r="B4226" s="214" t="s">
        <v>14413</v>
      </c>
      <c r="C4226" s="214" t="s">
        <v>14414</v>
      </c>
      <c r="D4226" s="194"/>
      <c r="E4226" s="204" t="s">
        <v>92</v>
      </c>
      <c r="F4226" s="204"/>
    </row>
    <row r="4227" customHeight="1" spans="1:6">
      <c r="A4227" s="9" t="s">
        <v>14415</v>
      </c>
      <c r="B4227" s="200" t="s">
        <v>14416</v>
      </c>
      <c r="C4227" s="192" t="s">
        <v>14417</v>
      </c>
      <c r="D4227" s="194" t="s">
        <v>14418</v>
      </c>
      <c r="E4227" s="194" t="s">
        <v>202</v>
      </c>
      <c r="F4227" s="197"/>
    </row>
    <row r="4228" customHeight="1" spans="1:6">
      <c r="A4228" s="9" t="s">
        <v>14419</v>
      </c>
      <c r="B4228" s="215" t="s">
        <v>14420</v>
      </c>
      <c r="C4228" s="205" t="s">
        <v>14421</v>
      </c>
      <c r="D4228" s="206" t="s">
        <v>11650</v>
      </c>
      <c r="E4228" s="193" t="s">
        <v>120</v>
      </c>
      <c r="F4228" s="239" t="s">
        <v>14422</v>
      </c>
    </row>
    <row r="4229" customHeight="1" spans="1:6">
      <c r="A4229" s="9" t="s">
        <v>14423</v>
      </c>
      <c r="B4229" s="195" t="s">
        <v>14424</v>
      </c>
      <c r="C4229" s="212" t="s">
        <v>14425</v>
      </c>
      <c r="D4229" s="197"/>
      <c r="E4229" s="154" t="s">
        <v>104</v>
      </c>
      <c r="F4229" s="199"/>
    </row>
    <row r="4230" customHeight="1" spans="1:6">
      <c r="A4230" s="9" t="s">
        <v>14426</v>
      </c>
      <c r="B4230" s="200" t="s">
        <v>14427</v>
      </c>
      <c r="C4230" s="192" t="s">
        <v>14428</v>
      </c>
      <c r="D4230" s="194" t="s">
        <v>14429</v>
      </c>
      <c r="E4230" s="194" t="s">
        <v>273</v>
      </c>
      <c r="F4230" s="194"/>
    </row>
    <row r="4231" customHeight="1" spans="1:6">
      <c r="A4231" s="9" t="s">
        <v>14430</v>
      </c>
      <c r="B4231" s="201" t="s">
        <v>14431</v>
      </c>
      <c r="C4231" s="202" t="s">
        <v>14432</v>
      </c>
      <c r="D4231" s="154"/>
      <c r="E4231" s="154" t="s">
        <v>211</v>
      </c>
      <c r="F4231" s="180"/>
    </row>
    <row r="4232" customHeight="1" spans="1:6">
      <c r="A4232" s="9" t="s">
        <v>14433</v>
      </c>
      <c r="B4232" s="222" t="str">
        <f>IFERROR(__xludf.DUMMYFUNCTION("""COMPUTED_VALUE"""),"Beshewa Tadesse Gurmu /W/o/ and/or Getu Abebe Gogale /Ato/")</f>
        <v>Beshewa Tadesse Gurmu /W/o/ and/or Getu Abebe Gogale /Ato/</v>
      </c>
      <c r="C4232" s="222" t="s">
        <v>14434</v>
      </c>
      <c r="D4232" s="222" t="str">
        <f>IFERROR(__xludf.DUMMYFUNCTION("""COMPUTED_VALUE"""),"0973-939784")</f>
        <v>0973-939784</v>
      </c>
      <c r="E4232" s="222" t="str">
        <f>IFERROR(__xludf.DUMMYFUNCTION("""COMPUTED_VALUE"""),"Addis Ababa")</f>
        <v>Addis Ababa</v>
      </c>
      <c r="F4232" s="222" t="str">
        <f>IFERROR(__xludf.DUMMYFUNCTION("""COMPUTED_VALUE"""),"fikrtetaddesse31@gmail.com")</f>
        <v>fikrtetaddesse31@gmail.com</v>
      </c>
    </row>
    <row r="4233" customHeight="1" spans="1:6">
      <c r="A4233" s="9" t="s">
        <v>14435</v>
      </c>
      <c r="B4233" s="224" t="s">
        <v>14436</v>
      </c>
      <c r="C4233" s="225" t="s">
        <v>14437</v>
      </c>
      <c r="D4233" s="226" t="s">
        <v>14438</v>
      </c>
      <c r="E4233" s="29" t="s">
        <v>92</v>
      </c>
      <c r="F4233" s="29"/>
    </row>
    <row r="4234" customHeight="1" spans="1:6">
      <c r="A4234" s="9" t="s">
        <v>14439</v>
      </c>
      <c r="B4234" s="201" t="s">
        <v>14440</v>
      </c>
      <c r="C4234" s="202" t="s">
        <v>14441</v>
      </c>
      <c r="D4234" s="154"/>
      <c r="E4234" s="154" t="s">
        <v>310</v>
      </c>
      <c r="F4234" s="180"/>
    </row>
    <row r="4235" customHeight="1" spans="1:6">
      <c r="A4235" s="9" t="s">
        <v>14442</v>
      </c>
      <c r="B4235" s="266" t="s">
        <v>14443</v>
      </c>
      <c r="C4235" s="292" t="s">
        <v>14444</v>
      </c>
      <c r="D4235" s="256" t="s">
        <v>14445</v>
      </c>
      <c r="E4235" s="26" t="s">
        <v>1701</v>
      </c>
      <c r="F4235" s="290" t="s">
        <v>446</v>
      </c>
    </row>
    <row r="4236" customHeight="1" spans="1:6">
      <c r="A4236" s="9" t="s">
        <v>14446</v>
      </c>
      <c r="B4236" s="215" t="s">
        <v>14447</v>
      </c>
      <c r="C4236" s="205" t="s">
        <v>14448</v>
      </c>
      <c r="D4236" s="206" t="s">
        <v>14449</v>
      </c>
      <c r="E4236" s="193" t="s">
        <v>120</v>
      </c>
      <c r="F4236" s="221" t="s">
        <v>14450</v>
      </c>
    </row>
    <row r="4237" customHeight="1" spans="1:6">
      <c r="A4237" s="9" t="s">
        <v>14451</v>
      </c>
      <c r="B4237" s="223" t="s">
        <v>14452</v>
      </c>
      <c r="C4237" s="223" t="s">
        <v>14453</v>
      </c>
      <c r="D4237" s="204" t="s">
        <v>14454</v>
      </c>
      <c r="E4237" s="204" t="s">
        <v>92</v>
      </c>
      <c r="F4237" s="204"/>
    </row>
    <row r="4238" customHeight="1" spans="1:6">
      <c r="A4238" s="9" t="s">
        <v>14455</v>
      </c>
      <c r="B4238" s="160" t="s">
        <v>14456</v>
      </c>
      <c r="C4238" s="160" t="s">
        <v>14457</v>
      </c>
      <c r="D4238" s="204" t="s">
        <v>14458</v>
      </c>
      <c r="E4238" s="204" t="s">
        <v>92</v>
      </c>
      <c r="F4238" s="204"/>
    </row>
    <row r="4239" customHeight="1" spans="1:6">
      <c r="A4239" s="9" t="s">
        <v>14459</v>
      </c>
      <c r="B4239" s="160" t="s">
        <v>14460</v>
      </c>
      <c r="C4239" s="160" t="s">
        <v>14461</v>
      </c>
      <c r="D4239" s="204" t="s">
        <v>14462</v>
      </c>
      <c r="E4239" s="204" t="s">
        <v>92</v>
      </c>
      <c r="F4239" s="204"/>
    </row>
    <row r="4240" customHeight="1" spans="1:6">
      <c r="A4240" s="9" t="s">
        <v>14463</v>
      </c>
      <c r="B4240" s="223" t="s">
        <v>14464</v>
      </c>
      <c r="C4240" s="223" t="s">
        <v>14465</v>
      </c>
      <c r="D4240" s="204" t="s">
        <v>14466</v>
      </c>
      <c r="E4240" s="204" t="s">
        <v>92</v>
      </c>
      <c r="F4240" s="204"/>
    </row>
    <row r="4241" customHeight="1" spans="1:6">
      <c r="A4241" s="9" t="s">
        <v>14467</v>
      </c>
      <c r="B4241" s="200" t="s">
        <v>14468</v>
      </c>
      <c r="C4241" s="203" t="s">
        <v>14469</v>
      </c>
      <c r="D4241" s="194"/>
      <c r="E4241" s="194" t="s">
        <v>273</v>
      </c>
      <c r="F4241" s="194"/>
    </row>
    <row r="4242" customHeight="1" spans="1:6">
      <c r="A4242" s="9" t="s">
        <v>14470</v>
      </c>
      <c r="B4242" s="214" t="s">
        <v>14471</v>
      </c>
      <c r="C4242" s="214" t="s">
        <v>14472</v>
      </c>
      <c r="D4242" s="194"/>
      <c r="E4242" s="204" t="s">
        <v>92</v>
      </c>
      <c r="F4242" s="204"/>
    </row>
    <row r="4243" customHeight="1" spans="1:6">
      <c r="A4243" s="9" t="s">
        <v>14473</v>
      </c>
      <c r="B4243" s="214" t="s">
        <v>14474</v>
      </c>
      <c r="C4243" s="214" t="s">
        <v>14475</v>
      </c>
      <c r="D4243" s="194"/>
      <c r="E4243" s="204" t="s">
        <v>92</v>
      </c>
      <c r="F4243" s="204"/>
    </row>
    <row r="4244" customHeight="1" spans="1:6">
      <c r="A4244" s="9" t="s">
        <v>14476</v>
      </c>
      <c r="B4244" s="214" t="s">
        <v>14477</v>
      </c>
      <c r="C4244" s="214" t="s">
        <v>14478</v>
      </c>
      <c r="D4244" s="204">
        <v>941197423</v>
      </c>
      <c r="E4244" s="204" t="s">
        <v>92</v>
      </c>
      <c r="F4244" s="204"/>
    </row>
    <row r="4245" customHeight="1" spans="1:6">
      <c r="A4245" s="9" t="s">
        <v>14479</v>
      </c>
      <c r="B4245" s="160" t="s">
        <v>14480</v>
      </c>
      <c r="C4245" s="160" t="s">
        <v>14481</v>
      </c>
      <c r="D4245" s="204" t="s">
        <v>14482</v>
      </c>
      <c r="E4245" s="204" t="s">
        <v>92</v>
      </c>
      <c r="F4245" s="204"/>
    </row>
    <row r="4246" customHeight="1" spans="1:6">
      <c r="A4246" s="9" t="s">
        <v>14483</v>
      </c>
      <c r="B4246" s="223" t="s">
        <v>14484</v>
      </c>
      <c r="C4246" s="223" t="s">
        <v>14485</v>
      </c>
      <c r="D4246" s="204" t="s">
        <v>14486</v>
      </c>
      <c r="E4246" s="204" t="s">
        <v>92</v>
      </c>
      <c r="F4246" s="204"/>
    </row>
    <row r="4247" customHeight="1" spans="1:6">
      <c r="A4247" s="9" t="s">
        <v>14487</v>
      </c>
      <c r="B4247" s="223" t="s">
        <v>14488</v>
      </c>
      <c r="C4247" s="223" t="s">
        <v>14489</v>
      </c>
      <c r="D4247" s="204" t="s">
        <v>14490</v>
      </c>
      <c r="E4247" s="204" t="s">
        <v>92</v>
      </c>
      <c r="F4247" s="204"/>
    </row>
    <row r="4248" customHeight="1" spans="1:6">
      <c r="A4248" s="9" t="s">
        <v>14491</v>
      </c>
      <c r="B4248" s="208" t="s">
        <v>14492</v>
      </c>
      <c r="C4248" s="208" t="s">
        <v>14493</v>
      </c>
      <c r="D4248" s="194"/>
      <c r="E4248" s="204" t="s">
        <v>92</v>
      </c>
      <c r="F4248" s="204"/>
    </row>
    <row r="4249" customHeight="1" spans="1:6">
      <c r="A4249" s="9" t="s">
        <v>14494</v>
      </c>
      <c r="B4249" s="214" t="s">
        <v>14495</v>
      </c>
      <c r="C4249" s="214" t="s">
        <v>14496</v>
      </c>
      <c r="D4249" s="194"/>
      <c r="E4249" s="204" t="s">
        <v>92</v>
      </c>
      <c r="F4249" s="204"/>
    </row>
    <row r="4250" customHeight="1" spans="1:6">
      <c r="A4250" s="9" t="s">
        <v>14497</v>
      </c>
      <c r="B4250" s="160" t="s">
        <v>14498</v>
      </c>
      <c r="C4250" s="160" t="s">
        <v>14499</v>
      </c>
      <c r="D4250" s="204" t="s">
        <v>14500</v>
      </c>
      <c r="E4250" s="204" t="s">
        <v>92</v>
      </c>
      <c r="F4250" s="204"/>
    </row>
    <row r="4251" customHeight="1" spans="1:6">
      <c r="A4251" s="9" t="s">
        <v>14501</v>
      </c>
      <c r="B4251" s="223" t="s">
        <v>14502</v>
      </c>
      <c r="C4251" s="223" t="s">
        <v>14503</v>
      </c>
      <c r="D4251" s="204" t="s">
        <v>14504</v>
      </c>
      <c r="E4251" s="204" t="s">
        <v>92</v>
      </c>
      <c r="F4251" s="204"/>
    </row>
    <row r="4252" customHeight="1" spans="1:6">
      <c r="A4252" s="9" t="s">
        <v>14505</v>
      </c>
      <c r="B4252" s="223" t="s">
        <v>14506</v>
      </c>
      <c r="C4252" s="223" t="s">
        <v>14507</v>
      </c>
      <c r="D4252" s="204" t="s">
        <v>14490</v>
      </c>
      <c r="E4252" s="204" t="s">
        <v>92</v>
      </c>
      <c r="F4252" s="204"/>
    </row>
    <row r="4253" customHeight="1" spans="1:6">
      <c r="A4253" s="9" t="s">
        <v>14508</v>
      </c>
      <c r="B4253" s="205" t="s">
        <v>14509</v>
      </c>
      <c r="C4253" s="205" t="s">
        <v>14510</v>
      </c>
      <c r="D4253" s="206" t="s">
        <v>13779</v>
      </c>
      <c r="E4253" s="193" t="s">
        <v>120</v>
      </c>
      <c r="F4253" s="221" t="s">
        <v>14511</v>
      </c>
    </row>
    <row r="4254" customHeight="1" spans="1:6">
      <c r="A4254" s="9" t="s">
        <v>14512</v>
      </c>
      <c r="B4254" s="223" t="s">
        <v>14513</v>
      </c>
      <c r="C4254" s="223" t="s">
        <v>14514</v>
      </c>
      <c r="D4254" s="204" t="s">
        <v>14515</v>
      </c>
      <c r="E4254" s="204" t="s">
        <v>92</v>
      </c>
      <c r="F4254" s="204"/>
    </row>
    <row r="4255" customHeight="1" spans="1:6">
      <c r="A4255" s="9" t="s">
        <v>14516</v>
      </c>
      <c r="B4255" s="214" t="s">
        <v>14517</v>
      </c>
      <c r="C4255" s="214" t="s">
        <v>14518</v>
      </c>
      <c r="D4255" s="194"/>
      <c r="E4255" s="204" t="s">
        <v>92</v>
      </c>
      <c r="F4255" s="204"/>
    </row>
    <row r="4256" customHeight="1" spans="1:6">
      <c r="A4256" s="9" t="s">
        <v>14519</v>
      </c>
      <c r="B4256" s="223" t="s">
        <v>14520</v>
      </c>
      <c r="C4256" s="223" t="s">
        <v>14521</v>
      </c>
      <c r="D4256" s="204" t="s">
        <v>14522</v>
      </c>
      <c r="E4256" s="204" t="s">
        <v>92</v>
      </c>
      <c r="F4256" s="204"/>
    </row>
    <row r="4257" customHeight="1" spans="1:6">
      <c r="A4257" s="9" t="s">
        <v>14523</v>
      </c>
      <c r="B4257" s="255" t="s">
        <v>14524</v>
      </c>
      <c r="C4257" s="255" t="s">
        <v>14525</v>
      </c>
      <c r="D4257" s="256" t="s">
        <v>14526</v>
      </c>
      <c r="E4257" s="26" t="s">
        <v>1701</v>
      </c>
      <c r="F4257" s="257" t="s">
        <v>14527</v>
      </c>
    </row>
    <row r="4258" customHeight="1" spans="1:6">
      <c r="A4258" s="9" t="s">
        <v>14528</v>
      </c>
      <c r="B4258" s="204" t="s">
        <v>14529</v>
      </c>
      <c r="C4258" s="204" t="s">
        <v>14530</v>
      </c>
      <c r="D4258" s="194"/>
      <c r="E4258" s="204" t="s">
        <v>92</v>
      </c>
      <c r="F4258" s="204"/>
    </row>
    <row r="4259" customHeight="1" spans="1:6">
      <c r="A4259" s="9" t="s">
        <v>14531</v>
      </c>
      <c r="B4259" s="215" t="s">
        <v>14532</v>
      </c>
      <c r="C4259" s="205" t="s">
        <v>14533</v>
      </c>
      <c r="D4259" s="206" t="s">
        <v>14534</v>
      </c>
      <c r="E4259" s="193" t="s">
        <v>120</v>
      </c>
      <c r="F4259" s="221"/>
    </row>
    <row r="4260" customHeight="1" spans="1:6">
      <c r="A4260" s="9" t="s">
        <v>14535</v>
      </c>
      <c r="B4260" s="160" t="s">
        <v>14536</v>
      </c>
      <c r="C4260" s="160" t="s">
        <v>14537</v>
      </c>
      <c r="D4260" s="204" t="s">
        <v>14538</v>
      </c>
      <c r="E4260" s="204" t="s">
        <v>92</v>
      </c>
      <c r="F4260" s="204"/>
    </row>
    <row r="4261" customHeight="1" spans="1:6">
      <c r="A4261" s="9" t="s">
        <v>14539</v>
      </c>
      <c r="B4261" s="222" t="str">
        <f>IFERROR(__xludf.DUMMYFUNCTION("""COMPUTED_VALUE"""),"Betelhem Aklilu Tadesse /W/t/")</f>
        <v>Betelhem Aklilu Tadesse /W/t/</v>
      </c>
      <c r="C4261" s="222" t="str">
        <f>IFERROR(__xludf.DUMMYFUNCTION("""COMPUTED_VALUE"""),"ቤተልሄም አክሊሉ ታደሰ /ወ/ት/")</f>
        <v>ቤተልሄም አክሊሉ ታደሰ /ወ/ት/</v>
      </c>
      <c r="D4261" s="222" t="str">
        <f>IFERROR(__xludf.DUMMYFUNCTION("""COMPUTED_VALUE"""),"988870069")</f>
        <v>988870069</v>
      </c>
      <c r="E4261" s="222" t="str">
        <f>IFERROR(__xludf.DUMMYFUNCTION("""COMPUTED_VALUE"""),"addis abeba")</f>
        <v>addis abeba</v>
      </c>
      <c r="F4261" s="222"/>
    </row>
    <row r="4262" customHeight="1" spans="1:6">
      <c r="A4262" s="9" t="s">
        <v>14540</v>
      </c>
      <c r="B4262" s="204" t="s">
        <v>14541</v>
      </c>
      <c r="C4262" s="204" t="s">
        <v>14542</v>
      </c>
      <c r="D4262" s="194"/>
      <c r="E4262" s="204" t="s">
        <v>92</v>
      </c>
      <c r="F4262" s="204"/>
    </row>
    <row r="4263" customHeight="1" spans="1:6">
      <c r="A4263" s="9" t="s">
        <v>14543</v>
      </c>
      <c r="B4263" s="233" t="s">
        <v>14544</v>
      </c>
      <c r="C4263" s="233" t="s">
        <v>14545</v>
      </c>
      <c r="D4263" s="204" t="s">
        <v>14546</v>
      </c>
      <c r="E4263" s="204" t="s">
        <v>605</v>
      </c>
      <c r="F4263" s="204" t="s">
        <v>14547</v>
      </c>
    </row>
    <row r="4264" customHeight="1" spans="1:6">
      <c r="A4264" s="9" t="s">
        <v>14548</v>
      </c>
      <c r="B4264" s="208" t="s">
        <v>14549</v>
      </c>
      <c r="C4264" s="208" t="s">
        <v>14550</v>
      </c>
      <c r="D4264" s="194"/>
      <c r="E4264" s="204" t="s">
        <v>92</v>
      </c>
      <c r="F4264" s="204"/>
    </row>
    <row r="4265" customHeight="1" spans="1:6">
      <c r="A4265" s="9" t="s">
        <v>14551</v>
      </c>
      <c r="B4265" s="205" t="s">
        <v>14552</v>
      </c>
      <c r="C4265" s="205" t="s">
        <v>14553</v>
      </c>
      <c r="D4265" s="206" t="s">
        <v>14554</v>
      </c>
      <c r="E4265" s="193" t="s">
        <v>120</v>
      </c>
      <c r="F4265" s="237" t="s">
        <v>14555</v>
      </c>
    </row>
    <row r="4266" customHeight="1" spans="1:6">
      <c r="A4266" s="9" t="s">
        <v>14556</v>
      </c>
      <c r="B4266" s="214" t="s">
        <v>14557</v>
      </c>
      <c r="C4266" s="214" t="s">
        <v>14558</v>
      </c>
      <c r="D4266" s="194"/>
      <c r="E4266" s="204" t="s">
        <v>92</v>
      </c>
      <c r="F4266" s="204"/>
    </row>
    <row r="4267" customHeight="1" spans="1:6">
      <c r="A4267" s="9" t="s">
        <v>14559</v>
      </c>
      <c r="B4267" s="215" t="s">
        <v>14560</v>
      </c>
      <c r="C4267" s="205" t="s">
        <v>14561</v>
      </c>
      <c r="D4267" s="227" t="s">
        <v>14562</v>
      </c>
      <c r="E4267" s="193" t="s">
        <v>120</v>
      </c>
      <c r="F4267" s="216"/>
    </row>
    <row r="4268" customHeight="1" spans="1:6">
      <c r="A4268" s="9" t="s">
        <v>14563</v>
      </c>
      <c r="B4268" s="233" t="s">
        <v>14564</v>
      </c>
      <c r="C4268" s="233" t="s">
        <v>14565</v>
      </c>
      <c r="D4268" s="204" t="s">
        <v>14566</v>
      </c>
      <c r="E4268" s="204" t="s">
        <v>605</v>
      </c>
      <c r="F4268" s="204" t="s">
        <v>14567</v>
      </c>
    </row>
    <row r="4269" customHeight="1" spans="1:6">
      <c r="A4269" s="9" t="s">
        <v>14568</v>
      </c>
      <c r="B4269" s="205" t="s">
        <v>14569</v>
      </c>
      <c r="C4269" s="205" t="s">
        <v>14570</v>
      </c>
      <c r="D4269" s="206" t="s">
        <v>14571</v>
      </c>
      <c r="E4269" s="193" t="s">
        <v>120</v>
      </c>
      <c r="F4269" s="267"/>
    </row>
    <row r="4270" customHeight="1" spans="1:6">
      <c r="A4270" s="9" t="s">
        <v>14572</v>
      </c>
      <c r="B4270" s="336" t="str">
        <f>IFERROR(__xludf.DUMMYFUNCTION("""COMPUTED_VALUE"""),"Betelhem Getachew Muluneh")</f>
        <v>Betelhem Getachew Muluneh</v>
      </c>
      <c r="C4270" s="336" t="str">
        <f>IFERROR(__xludf.DUMMYFUNCTION("""COMPUTED_VALUE"""),"ቤተልሄም ጌታቸው ሙሉነህ")</f>
        <v>ቤተልሄም ጌታቸው ሙሉነህ</v>
      </c>
      <c r="D4270" s="336" t="str">
        <f>IFERROR(__xludf.DUMMYFUNCTION("""COMPUTED_VALUE"""),"911120979")</f>
        <v>911120979</v>
      </c>
      <c r="E4270" s="336" t="str">
        <f>IFERROR(__xludf.DUMMYFUNCTION("""COMPUTED_VALUE"""),"A/A")</f>
        <v>A/A</v>
      </c>
      <c r="F4270" s="336"/>
    </row>
    <row r="4271" customHeight="1" spans="1:6">
      <c r="A4271" s="9" t="s">
        <v>14573</v>
      </c>
      <c r="B4271" s="205" t="s">
        <v>14574</v>
      </c>
      <c r="C4271" s="205" t="s">
        <v>14575</v>
      </c>
      <c r="D4271" s="206" t="s">
        <v>2731</v>
      </c>
      <c r="E4271" s="193" t="s">
        <v>120</v>
      </c>
      <c r="F4271" s="221" t="s">
        <v>14576</v>
      </c>
    </row>
    <row r="4272" customHeight="1" spans="1:6">
      <c r="A4272" s="9" t="s">
        <v>14577</v>
      </c>
      <c r="B4272" s="160" t="s">
        <v>14578</v>
      </c>
      <c r="C4272" s="160" t="s">
        <v>14579</v>
      </c>
      <c r="D4272" s="204" t="s">
        <v>14580</v>
      </c>
      <c r="E4272" s="204" t="s">
        <v>92</v>
      </c>
      <c r="F4272" s="204"/>
    </row>
    <row r="4273" customHeight="1" spans="1:6">
      <c r="A4273" s="9" t="s">
        <v>14581</v>
      </c>
      <c r="B4273" s="219" t="s">
        <v>14582</v>
      </c>
      <c r="C4273" s="219" t="s">
        <v>14583</v>
      </c>
      <c r="D4273" s="194"/>
      <c r="E4273" s="204" t="s">
        <v>92</v>
      </c>
      <c r="F4273" s="204"/>
    </row>
    <row r="4274" customHeight="1" spans="1:6">
      <c r="A4274" s="9" t="s">
        <v>14584</v>
      </c>
      <c r="B4274" s="219" t="s">
        <v>14585</v>
      </c>
      <c r="C4274" s="219" t="s">
        <v>14586</v>
      </c>
      <c r="D4274" s="194"/>
      <c r="E4274" s="204" t="s">
        <v>92</v>
      </c>
      <c r="F4274" s="204"/>
    </row>
    <row r="4275" customHeight="1" spans="1:6">
      <c r="A4275" s="9" t="s">
        <v>14587</v>
      </c>
      <c r="B4275" s="214" t="s">
        <v>14588</v>
      </c>
      <c r="C4275" s="214" t="s">
        <v>14589</v>
      </c>
      <c r="D4275" s="194"/>
      <c r="E4275" s="204" t="s">
        <v>92</v>
      </c>
      <c r="F4275" s="204"/>
    </row>
    <row r="4276" customHeight="1" spans="1:6">
      <c r="A4276" s="9" t="s">
        <v>14590</v>
      </c>
      <c r="B4276" s="160" t="s">
        <v>14591</v>
      </c>
      <c r="C4276" s="160" t="s">
        <v>14592</v>
      </c>
      <c r="D4276" s="204" t="s">
        <v>14593</v>
      </c>
      <c r="E4276" s="204" t="s">
        <v>92</v>
      </c>
      <c r="F4276" s="204"/>
    </row>
    <row r="4277" customHeight="1" spans="1:6">
      <c r="A4277" s="9" t="s">
        <v>14594</v>
      </c>
      <c r="B4277" s="215" t="s">
        <v>14595</v>
      </c>
      <c r="C4277" s="205" t="s">
        <v>14596</v>
      </c>
      <c r="D4277" s="227" t="s">
        <v>14597</v>
      </c>
      <c r="E4277" s="193" t="s">
        <v>120</v>
      </c>
      <c r="F4277" s="216"/>
    </row>
    <row r="4278" customHeight="1" spans="1:6">
      <c r="A4278" s="9" t="s">
        <v>14598</v>
      </c>
      <c r="B4278" s="215" t="s">
        <v>14599</v>
      </c>
      <c r="C4278" s="205" t="s">
        <v>14600</v>
      </c>
      <c r="D4278" s="227" t="s">
        <v>14601</v>
      </c>
      <c r="E4278" s="193" t="s">
        <v>120</v>
      </c>
      <c r="F4278" s="216"/>
    </row>
    <row r="4279" customHeight="1" spans="1:6">
      <c r="A4279" s="9" t="s">
        <v>14602</v>
      </c>
      <c r="B4279" s="160" t="s">
        <v>14603</v>
      </c>
      <c r="C4279" s="160" t="s">
        <v>14604</v>
      </c>
      <c r="D4279" s="204" t="s">
        <v>14605</v>
      </c>
      <c r="E4279" s="204" t="s">
        <v>92</v>
      </c>
      <c r="F4279" s="204"/>
    </row>
    <row r="4280" customHeight="1" spans="1:6">
      <c r="A4280" s="9" t="s">
        <v>14606</v>
      </c>
      <c r="B4280" s="214" t="s">
        <v>14607</v>
      </c>
      <c r="C4280" s="214" t="s">
        <v>14608</v>
      </c>
      <c r="D4280" s="194"/>
      <c r="E4280" s="204" t="s">
        <v>92</v>
      </c>
      <c r="F4280" s="204"/>
    </row>
    <row r="4281" customHeight="1" spans="1:6">
      <c r="A4281" s="9" t="s">
        <v>14609</v>
      </c>
      <c r="B4281" s="214" t="s">
        <v>14610</v>
      </c>
      <c r="C4281" s="214" t="s">
        <v>14611</v>
      </c>
      <c r="D4281" s="194"/>
      <c r="E4281" s="204" t="s">
        <v>92</v>
      </c>
      <c r="F4281" s="204"/>
    </row>
    <row r="4282" customHeight="1" spans="1:6">
      <c r="A4282" s="9" t="s">
        <v>14612</v>
      </c>
      <c r="B4282" s="255" t="s">
        <v>14613</v>
      </c>
      <c r="C4282" s="255" t="s">
        <v>14614</v>
      </c>
      <c r="D4282" s="256" t="s">
        <v>14615</v>
      </c>
      <c r="E4282" s="26" t="s">
        <v>1701</v>
      </c>
      <c r="F4282" s="257" t="s">
        <v>14616</v>
      </c>
    </row>
    <row r="4283" customHeight="1" spans="1:6">
      <c r="A4283" s="9" t="s">
        <v>14617</v>
      </c>
      <c r="B4283" s="215" t="s">
        <v>14618</v>
      </c>
      <c r="C4283" s="205" t="s">
        <v>14619</v>
      </c>
      <c r="D4283" s="206" t="s">
        <v>14620</v>
      </c>
      <c r="E4283" s="193" t="s">
        <v>120</v>
      </c>
      <c r="F4283" s="221" t="s">
        <v>14621</v>
      </c>
    </row>
    <row r="4284" customHeight="1" spans="1:6">
      <c r="A4284" s="9" t="s">
        <v>14622</v>
      </c>
      <c r="B4284" s="205" t="s">
        <v>14623</v>
      </c>
      <c r="C4284" s="205" t="s">
        <v>14624</v>
      </c>
      <c r="D4284" s="206" t="s">
        <v>14625</v>
      </c>
      <c r="E4284" s="193" t="s">
        <v>120</v>
      </c>
      <c r="F4284" s="221" t="s">
        <v>14626</v>
      </c>
    </row>
    <row r="4285" customHeight="1" spans="1:6">
      <c r="A4285" s="9" t="s">
        <v>14627</v>
      </c>
      <c r="B4285" s="219" t="s">
        <v>14628</v>
      </c>
      <c r="C4285" s="219" t="s">
        <v>14629</v>
      </c>
      <c r="D4285" s="194"/>
      <c r="E4285" s="204" t="s">
        <v>92</v>
      </c>
      <c r="F4285" s="204"/>
    </row>
    <row r="4286" customHeight="1" spans="1:6">
      <c r="A4286" s="9" t="s">
        <v>14630</v>
      </c>
      <c r="B4286" s="160" t="s">
        <v>14631</v>
      </c>
      <c r="C4286" s="160" t="s">
        <v>14632</v>
      </c>
      <c r="D4286" s="204" t="s">
        <v>14633</v>
      </c>
      <c r="E4286" s="204" t="s">
        <v>92</v>
      </c>
      <c r="F4286" s="204"/>
    </row>
    <row r="4287" customHeight="1" spans="1:6">
      <c r="A4287" s="9" t="s">
        <v>14634</v>
      </c>
      <c r="B4287" s="214" t="s">
        <v>14635</v>
      </c>
      <c r="C4287" s="214" t="s">
        <v>14636</v>
      </c>
      <c r="D4287" s="194"/>
      <c r="E4287" s="204" t="s">
        <v>92</v>
      </c>
      <c r="F4287" s="204"/>
    </row>
    <row r="4288" customHeight="1" spans="1:6">
      <c r="A4288" s="9" t="s">
        <v>14637</v>
      </c>
      <c r="B4288" s="214" t="s">
        <v>14638</v>
      </c>
      <c r="C4288" s="214" t="s">
        <v>14639</v>
      </c>
      <c r="D4288" s="194"/>
      <c r="E4288" s="204" t="s">
        <v>92</v>
      </c>
      <c r="F4288" s="204"/>
    </row>
    <row r="4289" customHeight="1" spans="1:6">
      <c r="A4289" s="9" t="s">
        <v>14640</v>
      </c>
      <c r="B4289" s="201" t="s">
        <v>14641</v>
      </c>
      <c r="C4289" s="202" t="s">
        <v>14642</v>
      </c>
      <c r="D4289" s="154" t="s">
        <v>14643</v>
      </c>
      <c r="E4289" s="154" t="s">
        <v>211</v>
      </c>
      <c r="F4289" s="180"/>
    </row>
    <row r="4290" customHeight="1" spans="1:6">
      <c r="A4290" s="9" t="s">
        <v>14644</v>
      </c>
      <c r="B4290" s="222" t="str">
        <f>IFERROR(__xludf.DUMMYFUNCTION("""COMPUTED_VALUE"""),"Betelihem Birara Alemu")</f>
        <v>Betelihem Birara Alemu</v>
      </c>
      <c r="C4290" s="222" t="str">
        <f>IFERROR(__xludf.DUMMYFUNCTION("""COMPUTED_VALUE"""),"ቤተልሄም ቢራራ አለሙ")</f>
        <v>ቤተልሄም ቢራራ አለሙ</v>
      </c>
      <c r="D4290" s="222" t="str">
        <f>IFERROR(__xludf.DUMMYFUNCTION("""COMPUTED_VALUE"""),"0911-881381")</f>
        <v>0911-881381</v>
      </c>
      <c r="E4290" s="222" t="str">
        <f>IFERROR(__xludf.DUMMYFUNCTION("""COMPUTED_VALUE"""),"addis abeba")</f>
        <v>addis abeba</v>
      </c>
      <c r="F4290" s="222"/>
    </row>
    <row r="4291" customHeight="1" spans="1:6">
      <c r="A4291" s="9" t="s">
        <v>14645</v>
      </c>
      <c r="B4291" s="160" t="s">
        <v>14646</v>
      </c>
      <c r="C4291" s="160" t="s">
        <v>14647</v>
      </c>
      <c r="D4291" s="204" t="s">
        <v>14648</v>
      </c>
      <c r="E4291" s="204" t="s">
        <v>92</v>
      </c>
      <c r="F4291" s="204"/>
    </row>
    <row r="4292" customHeight="1" spans="1:6">
      <c r="A4292" s="9" t="s">
        <v>14649</v>
      </c>
      <c r="B4292" s="214" t="s">
        <v>14650</v>
      </c>
      <c r="C4292" s="214" t="s">
        <v>14651</v>
      </c>
      <c r="D4292" s="194"/>
      <c r="E4292" s="204" t="s">
        <v>92</v>
      </c>
      <c r="F4292" s="204"/>
    </row>
    <row r="4293" customHeight="1" spans="1:6">
      <c r="A4293" s="9" t="s">
        <v>14652</v>
      </c>
      <c r="B4293" s="201" t="s">
        <v>14653</v>
      </c>
      <c r="C4293" s="202" t="s">
        <v>14654</v>
      </c>
      <c r="D4293" s="154" t="s">
        <v>14655</v>
      </c>
      <c r="E4293" s="154" t="s">
        <v>211</v>
      </c>
      <c r="F4293" s="180"/>
    </row>
    <row r="4294" customHeight="1" spans="1:6">
      <c r="A4294" s="9" t="s">
        <v>14656</v>
      </c>
      <c r="B4294" s="214" t="s">
        <v>14657</v>
      </c>
      <c r="C4294" s="214" t="s">
        <v>14658</v>
      </c>
      <c r="D4294" s="194"/>
      <c r="E4294" s="204" t="s">
        <v>92</v>
      </c>
      <c r="F4294" s="204"/>
    </row>
    <row r="4295" customHeight="1" spans="1:6">
      <c r="A4295" s="9" t="s">
        <v>14659</v>
      </c>
      <c r="B4295" s="271" t="s">
        <v>14660</v>
      </c>
      <c r="C4295" s="271" t="s">
        <v>14661</v>
      </c>
      <c r="D4295" s="272" t="s">
        <v>14662</v>
      </c>
      <c r="E4295" s="29" t="s">
        <v>1701</v>
      </c>
      <c r="F4295" s="293"/>
    </row>
    <row r="4296" customHeight="1" spans="1:6">
      <c r="A4296" s="9" t="s">
        <v>14663</v>
      </c>
      <c r="B4296" s="201" t="s">
        <v>14664</v>
      </c>
      <c r="C4296" s="202" t="s">
        <v>14665</v>
      </c>
      <c r="D4296" s="158"/>
      <c r="E4296" s="158" t="s">
        <v>211</v>
      </c>
      <c r="F4296" s="153"/>
    </row>
    <row r="4297" customHeight="1" spans="1:6">
      <c r="A4297" s="9" t="s">
        <v>14666</v>
      </c>
      <c r="B4297" s="195" t="s">
        <v>14667</v>
      </c>
      <c r="C4297" s="202" t="s">
        <v>14668</v>
      </c>
      <c r="D4297" s="152"/>
      <c r="E4297" s="154"/>
      <c r="F4297" s="180"/>
    </row>
    <row r="4298" customHeight="1" spans="1:6">
      <c r="A4298" s="9" t="s">
        <v>14669</v>
      </c>
      <c r="B4298" s="233" t="s">
        <v>14670</v>
      </c>
      <c r="C4298" s="233" t="s">
        <v>14671</v>
      </c>
      <c r="D4298" s="204" t="s">
        <v>14672</v>
      </c>
      <c r="E4298" s="204" t="s">
        <v>605</v>
      </c>
      <c r="F4298" s="204" t="s">
        <v>14673</v>
      </c>
    </row>
    <row r="4299" customHeight="1" spans="1:6">
      <c r="A4299" s="9" t="s">
        <v>14674</v>
      </c>
      <c r="B4299" s="205" t="s">
        <v>14675</v>
      </c>
      <c r="C4299" s="205" t="s">
        <v>14676</v>
      </c>
      <c r="D4299" s="206" t="s">
        <v>14677</v>
      </c>
      <c r="E4299" s="193" t="s">
        <v>120</v>
      </c>
      <c r="F4299" s="221"/>
    </row>
    <row r="4300" customHeight="1" spans="1:6">
      <c r="A4300" s="9" t="s">
        <v>14678</v>
      </c>
      <c r="B4300" s="215" t="s">
        <v>14679</v>
      </c>
      <c r="C4300" s="205" t="s">
        <v>14680</v>
      </c>
      <c r="D4300" s="244" t="s">
        <v>14681</v>
      </c>
      <c r="E4300" s="26" t="s">
        <v>92</v>
      </c>
      <c r="F4300" s="26" t="s">
        <v>14682</v>
      </c>
    </row>
    <row r="4301" customHeight="1" spans="1:6">
      <c r="A4301" s="9" t="s">
        <v>14683</v>
      </c>
      <c r="B4301" s="160" t="s">
        <v>14684</v>
      </c>
      <c r="C4301" s="160" t="s">
        <v>14685</v>
      </c>
      <c r="D4301" s="204" t="s">
        <v>14686</v>
      </c>
      <c r="E4301" s="204" t="s">
        <v>92</v>
      </c>
      <c r="F4301" s="204"/>
    </row>
    <row r="4302" customHeight="1" spans="1:6">
      <c r="A4302" s="9" t="s">
        <v>14687</v>
      </c>
      <c r="B4302" s="160" t="s">
        <v>14688</v>
      </c>
      <c r="C4302" s="160" t="s">
        <v>14689</v>
      </c>
      <c r="D4302" s="223" t="s">
        <v>14690</v>
      </c>
      <c r="E4302" s="204" t="s">
        <v>92</v>
      </c>
      <c r="F4302" s="204"/>
    </row>
    <row r="4303" customHeight="1" spans="1:6">
      <c r="A4303" s="9" t="s">
        <v>14691</v>
      </c>
      <c r="B4303" s="223" t="s">
        <v>14692</v>
      </c>
      <c r="C4303" s="223" t="s">
        <v>14693</v>
      </c>
      <c r="D4303" s="204" t="s">
        <v>14694</v>
      </c>
      <c r="E4303" s="204" t="s">
        <v>92</v>
      </c>
      <c r="F4303" s="204"/>
    </row>
    <row r="4304" customHeight="1" spans="1:6">
      <c r="A4304" s="9" t="s">
        <v>14695</v>
      </c>
      <c r="B4304" s="223" t="s">
        <v>14696</v>
      </c>
      <c r="C4304" s="223" t="s">
        <v>14697</v>
      </c>
      <c r="D4304" s="204" t="s">
        <v>5369</v>
      </c>
      <c r="E4304" s="204" t="s">
        <v>92</v>
      </c>
      <c r="F4304" s="204"/>
    </row>
    <row r="4305" customHeight="1" spans="1:6">
      <c r="A4305" s="9" t="s">
        <v>14698</v>
      </c>
      <c r="B4305" s="233" t="s">
        <v>14699</v>
      </c>
      <c r="C4305" s="233" t="s">
        <v>14700</v>
      </c>
      <c r="D4305" s="204" t="s">
        <v>14701</v>
      </c>
      <c r="E4305" s="204" t="s">
        <v>605</v>
      </c>
      <c r="F4305" s="204" t="s">
        <v>14702</v>
      </c>
    </row>
    <row r="4306" customHeight="1" spans="1:6">
      <c r="A4306" s="9" t="s">
        <v>14703</v>
      </c>
      <c r="B4306" s="214" t="s">
        <v>14704</v>
      </c>
      <c r="C4306" s="214" t="s">
        <v>14705</v>
      </c>
      <c r="D4306" s="204" t="s">
        <v>14706</v>
      </c>
      <c r="E4306" s="204" t="s">
        <v>92</v>
      </c>
      <c r="F4306" s="204"/>
    </row>
    <row r="4307" customHeight="1" spans="1:6">
      <c r="A4307" s="9" t="s">
        <v>14707</v>
      </c>
      <c r="B4307" s="214" t="s">
        <v>14708</v>
      </c>
      <c r="C4307" s="214" t="s">
        <v>14709</v>
      </c>
      <c r="D4307" s="204" t="s">
        <v>14710</v>
      </c>
      <c r="E4307" s="204" t="s">
        <v>92</v>
      </c>
      <c r="F4307" s="204"/>
    </row>
    <row r="4308" customHeight="1" spans="1:6">
      <c r="A4308" s="9" t="s">
        <v>14711</v>
      </c>
      <c r="B4308" s="223" t="s">
        <v>14712</v>
      </c>
      <c r="C4308" s="223" t="s">
        <v>14713</v>
      </c>
      <c r="D4308" s="204" t="s">
        <v>14714</v>
      </c>
      <c r="E4308" s="173" t="s">
        <v>92</v>
      </c>
      <c r="F4308" s="234" t="s">
        <v>14715</v>
      </c>
    </row>
    <row r="4309" customHeight="1" spans="1:6">
      <c r="A4309" s="9" t="s">
        <v>14716</v>
      </c>
      <c r="B4309" s="224" t="s">
        <v>14717</v>
      </c>
      <c r="C4309" s="225" t="s">
        <v>14718</v>
      </c>
      <c r="D4309" s="226" t="s">
        <v>14719</v>
      </c>
      <c r="E4309" s="29" t="s">
        <v>92</v>
      </c>
      <c r="F4309" s="29" t="s">
        <v>8619</v>
      </c>
    </row>
    <row r="4310" customHeight="1" spans="1:6">
      <c r="A4310" s="9" t="s">
        <v>14720</v>
      </c>
      <c r="B4310" s="160" t="s">
        <v>14721</v>
      </c>
      <c r="C4310" s="160" t="s">
        <v>14722</v>
      </c>
      <c r="D4310" s="204" t="s">
        <v>14723</v>
      </c>
      <c r="E4310" s="204" t="s">
        <v>92</v>
      </c>
      <c r="F4310" s="204"/>
    </row>
    <row r="4311" customHeight="1" spans="1:6">
      <c r="A4311" s="9" t="s">
        <v>14724</v>
      </c>
      <c r="B4311" s="214" t="s">
        <v>14725</v>
      </c>
      <c r="C4311" s="214" t="s">
        <v>14726</v>
      </c>
      <c r="D4311" s="194"/>
      <c r="E4311" s="204" t="s">
        <v>92</v>
      </c>
      <c r="F4311" s="204"/>
    </row>
    <row r="4312" customHeight="1" spans="1:6">
      <c r="A4312" s="9" t="s">
        <v>14727</v>
      </c>
      <c r="B4312" s="214" t="s">
        <v>14728</v>
      </c>
      <c r="C4312" s="214" t="s">
        <v>14729</v>
      </c>
      <c r="D4312" s="194"/>
      <c r="E4312" s="204" t="s">
        <v>92</v>
      </c>
      <c r="F4312" s="204"/>
    </row>
    <row r="4313" customHeight="1" spans="1:6">
      <c r="A4313" s="9" t="s">
        <v>14730</v>
      </c>
      <c r="B4313" s="214" t="s">
        <v>14731</v>
      </c>
      <c r="C4313" s="214" t="s">
        <v>14732</v>
      </c>
      <c r="D4313" s="204" t="s">
        <v>14164</v>
      </c>
      <c r="E4313" s="204" t="s">
        <v>92</v>
      </c>
      <c r="F4313" s="204"/>
    </row>
    <row r="4314" customHeight="1" spans="1:6">
      <c r="A4314" s="9" t="s">
        <v>14733</v>
      </c>
      <c r="B4314" s="160" t="s">
        <v>14734</v>
      </c>
      <c r="C4314" s="160" t="s">
        <v>14735</v>
      </c>
      <c r="D4314" s="204" t="s">
        <v>14736</v>
      </c>
      <c r="E4314" s="204" t="s">
        <v>92</v>
      </c>
      <c r="F4314" s="204"/>
    </row>
    <row r="4315" customHeight="1" spans="1:6">
      <c r="A4315" s="9" t="s">
        <v>14737</v>
      </c>
      <c r="B4315" s="160" t="s">
        <v>14738</v>
      </c>
      <c r="C4315" s="160" t="s">
        <v>14739</v>
      </c>
      <c r="D4315" s="204" t="s">
        <v>14740</v>
      </c>
      <c r="E4315" s="204" t="s">
        <v>92</v>
      </c>
      <c r="F4315" s="204"/>
    </row>
    <row r="4316" customHeight="1" spans="1:6">
      <c r="A4316" s="9" t="s">
        <v>14741</v>
      </c>
      <c r="B4316" s="160" t="s">
        <v>14742</v>
      </c>
      <c r="C4316" s="160" t="s">
        <v>14743</v>
      </c>
      <c r="D4316" s="204" t="s">
        <v>14744</v>
      </c>
      <c r="E4316" s="204" t="s">
        <v>92</v>
      </c>
      <c r="F4316" s="204"/>
    </row>
    <row r="4317" customHeight="1" spans="1:6">
      <c r="A4317" s="9" t="s">
        <v>14745</v>
      </c>
      <c r="B4317" s="223" t="s">
        <v>14746</v>
      </c>
      <c r="C4317" s="223" t="s">
        <v>14747</v>
      </c>
      <c r="D4317" s="204" t="s">
        <v>14748</v>
      </c>
      <c r="E4317" s="173" t="s">
        <v>92</v>
      </c>
      <c r="F4317" s="234"/>
    </row>
    <row r="4318" customHeight="1" spans="1:6">
      <c r="A4318" s="9" t="s">
        <v>14749</v>
      </c>
      <c r="B4318" s="223" t="s">
        <v>14750</v>
      </c>
      <c r="C4318" s="223" t="s">
        <v>14751</v>
      </c>
      <c r="D4318" s="194"/>
      <c r="E4318" s="204" t="s">
        <v>92</v>
      </c>
      <c r="F4318" s="204"/>
    </row>
    <row r="4319" customHeight="1" spans="1:6">
      <c r="A4319" s="9" t="s">
        <v>14752</v>
      </c>
      <c r="B4319" s="223" t="s">
        <v>14753</v>
      </c>
      <c r="C4319" s="223" t="s">
        <v>14754</v>
      </c>
      <c r="D4319" s="204" t="s">
        <v>14755</v>
      </c>
      <c r="E4319" s="173" t="s">
        <v>92</v>
      </c>
      <c r="F4319" s="234"/>
    </row>
    <row r="4320" customHeight="1" spans="1:6">
      <c r="A4320" s="9" t="s">
        <v>14756</v>
      </c>
      <c r="B4320" s="259" t="s">
        <v>14757</v>
      </c>
      <c r="C4320" s="259" t="s">
        <v>14758</v>
      </c>
      <c r="D4320" s="204" t="s">
        <v>14759</v>
      </c>
      <c r="E4320" s="204" t="s">
        <v>92</v>
      </c>
      <c r="F4320" s="204"/>
    </row>
    <row r="4321" customHeight="1" spans="1:6">
      <c r="A4321" s="9" t="s">
        <v>14760</v>
      </c>
      <c r="B4321" s="233" t="s">
        <v>14761</v>
      </c>
      <c r="C4321" s="233" t="s">
        <v>14762</v>
      </c>
      <c r="D4321" s="204" t="s">
        <v>14763</v>
      </c>
      <c r="E4321" s="204" t="s">
        <v>5944</v>
      </c>
      <c r="F4321" s="204" t="s">
        <v>14764</v>
      </c>
    </row>
    <row r="4322" customHeight="1" spans="1:6">
      <c r="A4322" s="9" t="s">
        <v>14765</v>
      </c>
      <c r="B4322" s="160" t="s">
        <v>14766</v>
      </c>
      <c r="C4322" s="160" t="s">
        <v>14767</v>
      </c>
      <c r="D4322" s="204" t="s">
        <v>14768</v>
      </c>
      <c r="E4322" s="204" t="s">
        <v>92</v>
      </c>
      <c r="F4322" s="204"/>
    </row>
    <row r="4323" customHeight="1" spans="1:6">
      <c r="A4323" s="9" t="s">
        <v>14769</v>
      </c>
      <c r="B4323" s="223" t="s">
        <v>14770</v>
      </c>
      <c r="C4323" s="223" t="s">
        <v>14771</v>
      </c>
      <c r="D4323" s="204" t="s">
        <v>14772</v>
      </c>
      <c r="E4323" s="204" t="s">
        <v>92</v>
      </c>
      <c r="F4323" s="204"/>
    </row>
    <row r="4324" customHeight="1" spans="1:6">
      <c r="A4324" s="9" t="s">
        <v>14773</v>
      </c>
      <c r="B4324" s="214" t="s">
        <v>14774</v>
      </c>
      <c r="C4324" s="214" t="s">
        <v>14775</v>
      </c>
      <c r="D4324" s="204" t="s">
        <v>14776</v>
      </c>
      <c r="E4324" s="204" t="s">
        <v>92</v>
      </c>
      <c r="F4324" s="204"/>
    </row>
    <row r="4325" customHeight="1" spans="1:6">
      <c r="A4325" s="9" t="s">
        <v>14777</v>
      </c>
      <c r="B4325" s="214" t="s">
        <v>14778</v>
      </c>
      <c r="C4325" s="214" t="s">
        <v>14779</v>
      </c>
      <c r="D4325" s="223" t="s">
        <v>14780</v>
      </c>
      <c r="E4325" s="204" t="s">
        <v>92</v>
      </c>
      <c r="F4325" s="204"/>
    </row>
    <row r="4326" customHeight="1" spans="1:6">
      <c r="A4326" s="9" t="s">
        <v>14781</v>
      </c>
      <c r="B4326" s="214" t="s">
        <v>14782</v>
      </c>
      <c r="C4326" s="214" t="s">
        <v>14783</v>
      </c>
      <c r="D4326" s="204"/>
      <c r="E4326" s="204" t="s">
        <v>92</v>
      </c>
      <c r="F4326" s="204"/>
    </row>
    <row r="4327" customHeight="1" spans="1:6">
      <c r="A4327" s="9" t="s">
        <v>14784</v>
      </c>
      <c r="B4327" s="233" t="s">
        <v>14785</v>
      </c>
      <c r="C4327" s="233" t="s">
        <v>14786</v>
      </c>
      <c r="D4327" s="204"/>
      <c r="E4327" s="204" t="s">
        <v>92</v>
      </c>
      <c r="F4327" s="204" t="s">
        <v>14787</v>
      </c>
    </row>
    <row r="4328" customHeight="1" spans="1:6">
      <c r="A4328" s="9" t="s">
        <v>14788</v>
      </c>
      <c r="B4328" s="160" t="s">
        <v>14789</v>
      </c>
      <c r="C4328" s="160" t="s">
        <v>14790</v>
      </c>
      <c r="D4328" s="204" t="s">
        <v>14791</v>
      </c>
      <c r="E4328" s="204" t="s">
        <v>92</v>
      </c>
      <c r="F4328" s="204"/>
    </row>
    <row r="4329" customHeight="1" spans="1:6">
      <c r="A4329" s="9" t="s">
        <v>14792</v>
      </c>
      <c r="B4329" s="195" t="s">
        <v>14793</v>
      </c>
      <c r="C4329" s="212" t="s">
        <v>14794</v>
      </c>
      <c r="D4329" s="195" t="s">
        <v>14795</v>
      </c>
      <c r="E4329" s="198" t="s">
        <v>436</v>
      </c>
      <c r="F4329" s="199"/>
    </row>
    <row r="4330" customHeight="1" spans="1:6">
      <c r="A4330" s="9" t="s">
        <v>14796</v>
      </c>
      <c r="B4330" s="233" t="s">
        <v>14797</v>
      </c>
      <c r="C4330" s="233" t="s">
        <v>14798</v>
      </c>
      <c r="D4330" s="204" t="s">
        <v>14799</v>
      </c>
      <c r="E4330" s="204" t="s">
        <v>92</v>
      </c>
      <c r="F4330" s="204" t="s">
        <v>14800</v>
      </c>
    </row>
    <row r="4331" customHeight="1" spans="1:6">
      <c r="A4331" s="9" t="s">
        <v>14801</v>
      </c>
      <c r="B4331" s="223" t="s">
        <v>14802</v>
      </c>
      <c r="C4331" s="223" t="s">
        <v>14803</v>
      </c>
      <c r="D4331" s="204" t="s">
        <v>14804</v>
      </c>
      <c r="E4331" s="204" t="s">
        <v>92</v>
      </c>
      <c r="F4331" s="204"/>
    </row>
    <row r="4332" customHeight="1" spans="1:6">
      <c r="A4332" s="9" t="s">
        <v>14805</v>
      </c>
      <c r="B4332" s="223" t="s">
        <v>14806</v>
      </c>
      <c r="C4332" s="223" t="s">
        <v>14807</v>
      </c>
      <c r="D4332" s="204" t="s">
        <v>14808</v>
      </c>
      <c r="E4332" s="173" t="s">
        <v>605</v>
      </c>
      <c r="F4332" s="234" t="s">
        <v>14809</v>
      </c>
    </row>
    <row r="4333" customHeight="1" spans="1:6">
      <c r="A4333" s="9" t="s">
        <v>14810</v>
      </c>
      <c r="B4333" s="215" t="s">
        <v>14811</v>
      </c>
      <c r="C4333" s="205" t="s">
        <v>14812</v>
      </c>
      <c r="D4333" s="342" t="s">
        <v>14813</v>
      </c>
      <c r="E4333" s="193" t="s">
        <v>120</v>
      </c>
      <c r="F4333" s="216"/>
    </row>
    <row r="4334" customHeight="1" spans="1:6">
      <c r="A4334" s="9" t="s">
        <v>14814</v>
      </c>
      <c r="B4334" s="160" t="s">
        <v>14815</v>
      </c>
      <c r="C4334" s="160" t="s">
        <v>14816</v>
      </c>
      <c r="D4334" s="204" t="s">
        <v>14817</v>
      </c>
      <c r="E4334" s="204" t="s">
        <v>92</v>
      </c>
      <c r="F4334" s="204"/>
    </row>
    <row r="4335" customHeight="1" spans="1:6">
      <c r="A4335" s="9" t="s">
        <v>14818</v>
      </c>
      <c r="B4335" s="201" t="s">
        <v>14819</v>
      </c>
      <c r="C4335" s="202" t="s">
        <v>14820</v>
      </c>
      <c r="D4335" s="158"/>
      <c r="E4335" s="158" t="s">
        <v>211</v>
      </c>
      <c r="F4335" s="153"/>
    </row>
    <row r="4336" customHeight="1" spans="1:6">
      <c r="A4336" s="9" t="s">
        <v>14821</v>
      </c>
      <c r="B4336" s="222" t="str">
        <f>IFERROR(__xludf.DUMMYFUNCTION("""COMPUTED_VALUE"""),"Betsegaw bekele afework")</f>
        <v>Betsegaw bekele afework</v>
      </c>
      <c r="C4336" s="222" t="str">
        <f>IFERROR(__xludf.DUMMYFUNCTION("""COMPUTED_VALUE"""),"በጸጋው በቀለ አፈወርቅ")</f>
        <v>በጸጋው በቀለ አፈወርቅ</v>
      </c>
      <c r="D4336" s="222" t="str">
        <f>IFERROR(__xludf.DUMMYFUNCTION("""COMPUTED_VALUE"""),"911304411")</f>
        <v>911304411</v>
      </c>
      <c r="E4336" s="222" t="str">
        <f>IFERROR(__xludf.DUMMYFUNCTION("""COMPUTED_VALUE"""),"Addis Ababa")</f>
        <v>Addis Ababa</v>
      </c>
      <c r="F4336" s="222" t="str">
        <f>IFERROR(__xludf.DUMMYFUNCTION("""COMPUTED_VALUE"""),"asratazebs@gmail.com")</f>
        <v>asratazebs@gmail.com</v>
      </c>
    </row>
    <row r="4337" customHeight="1" spans="1:6">
      <c r="A4337" s="9" t="s">
        <v>14822</v>
      </c>
      <c r="B4337" s="219" t="s">
        <v>14823</v>
      </c>
      <c r="C4337" s="219" t="s">
        <v>14824</v>
      </c>
      <c r="D4337" s="194"/>
      <c r="E4337" s="204" t="s">
        <v>92</v>
      </c>
      <c r="F4337" s="204"/>
    </row>
    <row r="4338" customHeight="1" spans="1:6">
      <c r="A4338" s="9" t="s">
        <v>14825</v>
      </c>
      <c r="B4338" s="233" t="s">
        <v>14826</v>
      </c>
      <c r="C4338" s="233" t="s">
        <v>14827</v>
      </c>
      <c r="D4338" s="204" t="s">
        <v>14828</v>
      </c>
      <c r="E4338" s="204" t="s">
        <v>92</v>
      </c>
      <c r="F4338" s="204" t="s">
        <v>14829</v>
      </c>
    </row>
    <row r="4339" customHeight="1" spans="1:6">
      <c r="A4339" s="9" t="s">
        <v>14830</v>
      </c>
      <c r="B4339" s="194" t="s">
        <v>14831</v>
      </c>
      <c r="C4339" s="192" t="s">
        <v>14832</v>
      </c>
      <c r="D4339" s="194"/>
      <c r="E4339" s="194" t="s">
        <v>7153</v>
      </c>
      <c r="F4339" s="194"/>
    </row>
    <row r="4340" customHeight="1" spans="1:6">
      <c r="A4340" s="9" t="s">
        <v>14833</v>
      </c>
      <c r="B4340" s="222" t="str">
        <f>IFERROR(__xludf.DUMMYFUNCTION("""COMPUTED_VALUE"""),"Betselot Ezra Kelemwork")</f>
        <v>Betselot Ezra Kelemwork</v>
      </c>
      <c r="C4340" s="222" t="str">
        <f>IFERROR(__xludf.DUMMYFUNCTION("""COMPUTED_VALUE"""),"በጸሎት እዝራ ቀለመወርቅ")</f>
        <v>በጸሎት እዝራ ቀለመወርቅ</v>
      </c>
      <c r="D4340" s="222" t="str">
        <f>IFERROR(__xludf.DUMMYFUNCTION("""COMPUTED_VALUE"""),"920677485")</f>
        <v>920677485</v>
      </c>
      <c r="E4340" s="222" t="str">
        <f>IFERROR(__xludf.DUMMYFUNCTION("""COMPUTED_VALUE"""),"Addis Ababa")</f>
        <v>Addis Ababa</v>
      </c>
      <c r="F4340" s="222" t="str">
        <f>IFERROR(__xludf.DUMMYFUNCTION("""COMPUTED_VALUE"""),"ebetselot@gmail.com")</f>
        <v>ebetselot@gmail.com</v>
      </c>
    </row>
    <row r="4341" customHeight="1" spans="1:6">
      <c r="A4341" s="9" t="s">
        <v>14834</v>
      </c>
      <c r="B4341" s="214" t="s">
        <v>14835</v>
      </c>
      <c r="C4341" s="214" t="s">
        <v>14836</v>
      </c>
      <c r="D4341" s="194"/>
      <c r="E4341" s="204" t="s">
        <v>92</v>
      </c>
      <c r="F4341" s="204"/>
    </row>
    <row r="4342" customHeight="1" spans="1:6">
      <c r="A4342" s="9" t="s">
        <v>14837</v>
      </c>
      <c r="B4342" s="214" t="s">
        <v>14838</v>
      </c>
      <c r="C4342" s="214" t="s">
        <v>14839</v>
      </c>
      <c r="D4342" s="194"/>
      <c r="E4342" s="204" t="s">
        <v>92</v>
      </c>
      <c r="F4342" s="204"/>
    </row>
    <row r="4343" customHeight="1" spans="1:6">
      <c r="A4343" s="9" t="s">
        <v>14840</v>
      </c>
      <c r="B4343" s="195" t="s">
        <v>14841</v>
      </c>
      <c r="C4343" s="202" t="s">
        <v>14842</v>
      </c>
      <c r="D4343" s="154"/>
      <c r="E4343" s="154" t="s">
        <v>104</v>
      </c>
      <c r="F4343" s="180"/>
    </row>
    <row r="4344" customHeight="1" spans="1:6">
      <c r="A4344" s="9" t="s">
        <v>14843</v>
      </c>
      <c r="B4344" s="214" t="s">
        <v>14844</v>
      </c>
      <c r="C4344" s="214" t="s">
        <v>14845</v>
      </c>
      <c r="D4344" s="194"/>
      <c r="E4344" s="204" t="s">
        <v>92</v>
      </c>
      <c r="F4344" s="204"/>
    </row>
    <row r="4345" customHeight="1" spans="1:6">
      <c r="A4345" s="9" t="s">
        <v>14846</v>
      </c>
      <c r="B4345" s="276" t="str">
        <f>IFERROR(__xludf.DUMMYFUNCTION("""COMPUTED_VALUE"""),"Bewketu Tesfaw Wale /Ato/")</f>
        <v>Bewketu Tesfaw Wale /Ato/</v>
      </c>
      <c r="C4345" s="276" t="str">
        <f>IFERROR(__xludf.DUMMYFUNCTION("""COMPUTED_VALUE"""),"በእውቀቱ ተስፋው ዋለ /አቶ/")</f>
        <v>በእውቀቱ ተስፋው ዋለ /አቶ/</v>
      </c>
      <c r="D4345" s="276" t="str">
        <f>IFERROR(__xludf.DUMMYFUNCTION("""COMPUTED_VALUE"""),"912052929")</f>
        <v>912052929</v>
      </c>
      <c r="E4345" s="276" t="str">
        <f>IFERROR(__xludf.DUMMYFUNCTION("""COMPUTED_VALUE"""),"Addis Ababa")</f>
        <v>Addis Ababa</v>
      </c>
      <c r="F4345" s="276"/>
    </row>
    <row r="4346" customHeight="1" spans="1:6">
      <c r="A4346" s="9" t="s">
        <v>14847</v>
      </c>
      <c r="B4346" s="200" t="s">
        <v>14848</v>
      </c>
      <c r="C4346" s="202" t="s">
        <v>14849</v>
      </c>
      <c r="D4346" s="152"/>
      <c r="E4346" s="154" t="s">
        <v>232</v>
      </c>
      <c r="F4346" s="180"/>
    </row>
    <row r="4347" customHeight="1" spans="1:6">
      <c r="A4347" s="9" t="s">
        <v>14850</v>
      </c>
      <c r="B4347" s="195" t="s">
        <v>14851</v>
      </c>
      <c r="C4347" s="202" t="s">
        <v>14852</v>
      </c>
      <c r="D4347" s="152" t="s">
        <v>14853</v>
      </c>
      <c r="E4347" s="154"/>
      <c r="F4347" s="180"/>
    </row>
    <row r="4348" customHeight="1" spans="1:6">
      <c r="A4348" s="9" t="s">
        <v>14854</v>
      </c>
      <c r="B4348" s="153" t="s">
        <v>14855</v>
      </c>
      <c r="C4348" s="202" t="s">
        <v>14856</v>
      </c>
      <c r="D4348" s="154"/>
      <c r="E4348" s="154" t="s">
        <v>104</v>
      </c>
      <c r="F4348" s="180"/>
    </row>
    <row r="4349" customHeight="1" spans="1:6">
      <c r="A4349" s="9" t="s">
        <v>14857</v>
      </c>
      <c r="B4349" s="201" t="s">
        <v>14858</v>
      </c>
      <c r="C4349" s="202" t="s">
        <v>14859</v>
      </c>
      <c r="D4349" s="154"/>
      <c r="E4349" s="154" t="s">
        <v>58</v>
      </c>
      <c r="F4349" s="180"/>
    </row>
    <row r="4350" customHeight="1" spans="1:6">
      <c r="A4350" s="9" t="s">
        <v>14860</v>
      </c>
      <c r="B4350" s="197" t="s">
        <v>14861</v>
      </c>
      <c r="C4350" s="254" t="s">
        <v>14862</v>
      </c>
      <c r="D4350" s="197"/>
      <c r="E4350" s="158" t="s">
        <v>216</v>
      </c>
      <c r="F4350" s="158"/>
    </row>
    <row r="4351" customHeight="1" spans="1:6">
      <c r="A4351" s="9" t="s">
        <v>14863</v>
      </c>
      <c r="B4351" s="201" t="s">
        <v>14864</v>
      </c>
      <c r="C4351" s="202" t="s">
        <v>14865</v>
      </c>
      <c r="D4351" s="154"/>
      <c r="E4351" s="154"/>
      <c r="F4351" s="180"/>
    </row>
    <row r="4352" customHeight="1" spans="1:6">
      <c r="A4352" s="9" t="s">
        <v>14866</v>
      </c>
      <c r="B4352" s="258" t="s">
        <v>14867</v>
      </c>
      <c r="C4352" s="258" t="s">
        <v>14868</v>
      </c>
      <c r="D4352" s="240" t="s">
        <v>14869</v>
      </c>
      <c r="E4352" s="240" t="s">
        <v>92</v>
      </c>
      <c r="F4352" s="240"/>
    </row>
    <row r="4353" customHeight="1" spans="1:6">
      <c r="A4353" s="9" t="s">
        <v>14870</v>
      </c>
      <c r="B4353" s="194" t="s">
        <v>14871</v>
      </c>
      <c r="C4353" s="264" t="s">
        <v>14872</v>
      </c>
      <c r="D4353" s="194"/>
      <c r="E4353" s="158" t="s">
        <v>216</v>
      </c>
      <c r="F4353" s="158"/>
    </row>
    <row r="4354" customHeight="1" spans="1:6">
      <c r="A4354" s="9" t="s">
        <v>14873</v>
      </c>
      <c r="B4354" s="160" t="s">
        <v>14874</v>
      </c>
      <c r="C4354" s="160" t="s">
        <v>14875</v>
      </c>
      <c r="D4354" s="204" t="s">
        <v>14876</v>
      </c>
      <c r="E4354" s="204" t="s">
        <v>92</v>
      </c>
      <c r="F4354" s="204"/>
    </row>
    <row r="4355" customHeight="1" spans="1:6">
      <c r="A4355" s="9" t="s">
        <v>14877</v>
      </c>
      <c r="B4355" s="200" t="s">
        <v>14878</v>
      </c>
      <c r="C4355" s="236" t="s">
        <v>14879</v>
      </c>
      <c r="D4355" s="194"/>
      <c r="E4355" s="193" t="s">
        <v>2783</v>
      </c>
      <c r="F4355" s="191"/>
    </row>
    <row r="4356" customHeight="1" spans="1:6">
      <c r="A4356" s="9" t="s">
        <v>14880</v>
      </c>
      <c r="B4356" s="200" t="s">
        <v>14881</v>
      </c>
      <c r="C4356" s="202" t="s">
        <v>14882</v>
      </c>
      <c r="D4356" s="152"/>
      <c r="E4356" s="154" t="s">
        <v>232</v>
      </c>
      <c r="F4356" s="180"/>
    </row>
    <row r="4357" customHeight="1" spans="1:6">
      <c r="A4357" s="9" t="s">
        <v>14883</v>
      </c>
      <c r="B4357" s="200" t="s">
        <v>14884</v>
      </c>
      <c r="C4357" s="202" t="s">
        <v>14885</v>
      </c>
      <c r="D4357" s="152"/>
      <c r="E4357" s="154"/>
      <c r="F4357" s="180"/>
    </row>
    <row r="4358" customHeight="1" spans="1:6">
      <c r="A4358" s="9" t="s">
        <v>14886</v>
      </c>
      <c r="B4358" s="201" t="s">
        <v>14887</v>
      </c>
      <c r="C4358" s="202" t="s">
        <v>14888</v>
      </c>
      <c r="D4358" s="154"/>
      <c r="E4358" s="154"/>
      <c r="F4358" s="180"/>
    </row>
    <row r="4359" customHeight="1" spans="1:6">
      <c r="A4359" s="9" t="s">
        <v>14889</v>
      </c>
      <c r="B4359" s="205" t="s">
        <v>14890</v>
      </c>
      <c r="C4359" s="205" t="s">
        <v>14891</v>
      </c>
      <c r="D4359" s="206" t="s">
        <v>14892</v>
      </c>
      <c r="E4359" s="193" t="s">
        <v>120</v>
      </c>
      <c r="F4359" s="239"/>
    </row>
    <row r="4360" customHeight="1" spans="1:6">
      <c r="A4360" s="9" t="s">
        <v>14893</v>
      </c>
      <c r="B4360" s="160" t="s">
        <v>14894</v>
      </c>
      <c r="C4360" s="160" t="s">
        <v>14895</v>
      </c>
      <c r="D4360" s="204" t="s">
        <v>14896</v>
      </c>
      <c r="E4360" s="204" t="s">
        <v>92</v>
      </c>
      <c r="F4360" s="204"/>
    </row>
    <row r="4361" customHeight="1" spans="1:6">
      <c r="A4361" s="9" t="s">
        <v>14897</v>
      </c>
      <c r="B4361" s="201" t="s">
        <v>14898</v>
      </c>
      <c r="C4361" s="202" t="s">
        <v>14899</v>
      </c>
      <c r="D4361" s="154"/>
      <c r="E4361" s="154" t="s">
        <v>243</v>
      </c>
      <c r="F4361" s="180"/>
    </row>
    <row r="4362" customHeight="1" spans="1:6">
      <c r="A4362" s="9" t="s">
        <v>14900</v>
      </c>
      <c r="B4362" s="201" t="s">
        <v>14901</v>
      </c>
      <c r="C4362" s="202" t="s">
        <v>14902</v>
      </c>
      <c r="D4362" s="154" t="s">
        <v>14903</v>
      </c>
      <c r="E4362" s="154" t="s">
        <v>211</v>
      </c>
      <c r="F4362" s="180"/>
    </row>
    <row r="4363" customHeight="1" spans="1:6">
      <c r="A4363" s="9" t="s">
        <v>14904</v>
      </c>
      <c r="B4363" s="200" t="s">
        <v>14905</v>
      </c>
      <c r="C4363" s="202" t="s">
        <v>14906</v>
      </c>
      <c r="D4363" s="152" t="s">
        <v>14907</v>
      </c>
      <c r="E4363" s="154" t="s">
        <v>181</v>
      </c>
      <c r="F4363" s="180"/>
    </row>
    <row r="4364" customHeight="1" spans="1:6">
      <c r="A4364" s="9" t="s">
        <v>14908</v>
      </c>
      <c r="B4364" s="238" t="s">
        <v>14909</v>
      </c>
      <c r="C4364" s="202" t="s">
        <v>14910</v>
      </c>
      <c r="D4364" s="154" t="s">
        <v>14911</v>
      </c>
      <c r="E4364" s="154"/>
      <c r="F4364" s="180"/>
    </row>
    <row r="4365" customHeight="1" spans="1:6">
      <c r="A4365" s="9" t="s">
        <v>14912</v>
      </c>
      <c r="B4365" s="201" t="s">
        <v>14913</v>
      </c>
      <c r="C4365" s="202" t="s">
        <v>14914</v>
      </c>
      <c r="D4365" s="154" t="s">
        <v>14915</v>
      </c>
      <c r="E4365" s="154" t="s">
        <v>211</v>
      </c>
      <c r="F4365" s="180"/>
    </row>
    <row r="4366" customHeight="1" spans="1:6">
      <c r="A4366" s="9" t="s">
        <v>14916</v>
      </c>
      <c r="B4366" s="195" t="s">
        <v>14917</v>
      </c>
      <c r="C4366" s="202" t="s">
        <v>14918</v>
      </c>
      <c r="D4366" s="154"/>
      <c r="E4366" s="154" t="s">
        <v>1218</v>
      </c>
      <c r="F4366" s="180"/>
    </row>
    <row r="4367" customHeight="1" spans="1:6">
      <c r="A4367" s="9" t="s">
        <v>14919</v>
      </c>
      <c r="B4367" s="200" t="s">
        <v>14920</v>
      </c>
      <c r="C4367" s="202" t="s">
        <v>14921</v>
      </c>
      <c r="D4367" s="152" t="s">
        <v>14922</v>
      </c>
      <c r="E4367" s="154"/>
      <c r="F4367" s="180"/>
    </row>
    <row r="4368" customHeight="1" spans="1:6">
      <c r="A4368" s="9" t="s">
        <v>14923</v>
      </c>
      <c r="B4368" s="200" t="s">
        <v>14924</v>
      </c>
      <c r="C4368" s="202" t="s">
        <v>14925</v>
      </c>
      <c r="D4368" s="341" t="s">
        <v>14926</v>
      </c>
      <c r="E4368" s="154" t="s">
        <v>181</v>
      </c>
      <c r="F4368" s="180"/>
    </row>
    <row r="4369" customHeight="1" spans="1:6">
      <c r="A4369" s="9" t="s">
        <v>14927</v>
      </c>
      <c r="B4369" s="195" t="s">
        <v>14928</v>
      </c>
      <c r="C4369" s="202" t="s">
        <v>14929</v>
      </c>
      <c r="D4369" s="152"/>
      <c r="E4369" s="154" t="s">
        <v>211</v>
      </c>
      <c r="F4369" s="180"/>
    </row>
    <row r="4370" customHeight="1" spans="1:6">
      <c r="A4370" s="9" t="s">
        <v>14930</v>
      </c>
      <c r="B4370" s="153" t="s">
        <v>14931</v>
      </c>
      <c r="C4370" s="202" t="s">
        <v>14932</v>
      </c>
      <c r="D4370" s="154" t="s">
        <v>14933</v>
      </c>
      <c r="E4370" s="154" t="s">
        <v>3024</v>
      </c>
      <c r="F4370" s="180"/>
    </row>
    <row r="4371" customHeight="1" spans="1:6">
      <c r="A4371" s="9" t="s">
        <v>14934</v>
      </c>
      <c r="B4371" s="195" t="s">
        <v>14935</v>
      </c>
      <c r="C4371" s="202" t="s">
        <v>14936</v>
      </c>
      <c r="D4371" s="152" t="s">
        <v>14937</v>
      </c>
      <c r="E4371" s="154" t="s">
        <v>232</v>
      </c>
      <c r="F4371" s="180"/>
    </row>
    <row r="4372" customHeight="1" spans="1:6">
      <c r="A4372" s="9" t="s">
        <v>14938</v>
      </c>
      <c r="B4372" s="200" t="s">
        <v>14939</v>
      </c>
      <c r="C4372" s="202" t="s">
        <v>14940</v>
      </c>
      <c r="D4372" s="152" t="s">
        <v>14941</v>
      </c>
      <c r="E4372" s="154"/>
      <c r="F4372" s="180"/>
    </row>
    <row r="4373" customHeight="1" spans="1:6">
      <c r="A4373" s="9" t="s">
        <v>14942</v>
      </c>
      <c r="B4373" s="214" t="s">
        <v>14943</v>
      </c>
      <c r="C4373" s="214" t="s">
        <v>14944</v>
      </c>
      <c r="D4373" s="204">
        <v>912059017</v>
      </c>
      <c r="E4373" s="204" t="s">
        <v>92</v>
      </c>
      <c r="F4373" s="204"/>
    </row>
    <row r="4374" customHeight="1" spans="1:6">
      <c r="A4374" s="9" t="s">
        <v>14945</v>
      </c>
      <c r="B4374" s="201" t="s">
        <v>14946</v>
      </c>
      <c r="C4374" s="202" t="s">
        <v>14947</v>
      </c>
      <c r="D4374" s="154" t="s">
        <v>14948</v>
      </c>
      <c r="E4374" s="154"/>
      <c r="F4374" s="180"/>
    </row>
    <row r="4375" customHeight="1" spans="1:6">
      <c r="A4375" s="9" t="s">
        <v>14949</v>
      </c>
      <c r="B4375" s="223" t="s">
        <v>14950</v>
      </c>
      <c r="C4375" s="223" t="s">
        <v>14951</v>
      </c>
      <c r="D4375" s="204" t="s">
        <v>14952</v>
      </c>
      <c r="E4375" s="204" t="s">
        <v>92</v>
      </c>
      <c r="F4375" s="204"/>
    </row>
    <row r="4376" customHeight="1" spans="1:6">
      <c r="A4376" s="9" t="s">
        <v>14953</v>
      </c>
      <c r="B4376" s="201" t="s">
        <v>14954</v>
      </c>
      <c r="C4376" s="202" t="s">
        <v>14955</v>
      </c>
      <c r="D4376" s="154"/>
      <c r="E4376" s="154" t="s">
        <v>211</v>
      </c>
      <c r="F4376" s="180"/>
    </row>
    <row r="4377" customHeight="1" spans="1:6">
      <c r="A4377" s="9" t="s">
        <v>14956</v>
      </c>
      <c r="B4377" s="197" t="s">
        <v>14957</v>
      </c>
      <c r="C4377" s="196" t="s">
        <v>14958</v>
      </c>
      <c r="D4377" s="197" t="s">
        <v>14959</v>
      </c>
      <c r="E4377" s="197" t="s">
        <v>202</v>
      </c>
      <c r="F4377" s="197"/>
    </row>
    <row r="4378" customHeight="1" spans="1:6">
      <c r="A4378" s="9" t="s">
        <v>14960</v>
      </c>
      <c r="B4378" s="194" t="s">
        <v>14961</v>
      </c>
      <c r="C4378" s="202" t="s">
        <v>14962</v>
      </c>
      <c r="D4378" s="248"/>
      <c r="E4378" s="154" t="s">
        <v>104</v>
      </c>
      <c r="F4378" s="180"/>
    </row>
    <row r="4379" customHeight="1" spans="1:6">
      <c r="A4379" s="9" t="s">
        <v>14963</v>
      </c>
      <c r="B4379" s="158" t="s">
        <v>14964</v>
      </c>
      <c r="C4379" s="202" t="s">
        <v>14965</v>
      </c>
      <c r="D4379" s="158">
        <v>916048211</v>
      </c>
      <c r="E4379" s="154" t="s">
        <v>211</v>
      </c>
      <c r="F4379" s="180"/>
    </row>
    <row r="4380" customHeight="1" spans="1:6">
      <c r="A4380" s="9" t="s">
        <v>14966</v>
      </c>
      <c r="B4380" s="201" t="s">
        <v>14967</v>
      </c>
      <c r="C4380" s="202" t="s">
        <v>14968</v>
      </c>
      <c r="D4380" s="154" t="s">
        <v>14969</v>
      </c>
      <c r="E4380" s="154" t="s">
        <v>211</v>
      </c>
      <c r="F4380" s="180"/>
    </row>
    <row r="4381" customHeight="1" spans="1:6">
      <c r="A4381" s="9" t="s">
        <v>14970</v>
      </c>
      <c r="B4381" s="260" t="s">
        <v>14971</v>
      </c>
      <c r="C4381" s="243" t="s">
        <v>14972</v>
      </c>
      <c r="D4381" s="154"/>
      <c r="E4381" s="158" t="s">
        <v>243</v>
      </c>
      <c r="F4381" s="153"/>
    </row>
    <row r="4382" customHeight="1" spans="1:6">
      <c r="A4382" s="9" t="s">
        <v>14973</v>
      </c>
      <c r="B4382" s="195" t="s">
        <v>14974</v>
      </c>
      <c r="C4382" s="202" t="s">
        <v>14975</v>
      </c>
      <c r="D4382" s="152" t="s">
        <v>14976</v>
      </c>
      <c r="E4382" s="154"/>
      <c r="F4382" s="180"/>
    </row>
    <row r="4383" customHeight="1" spans="1:6">
      <c r="A4383" s="9" t="s">
        <v>14977</v>
      </c>
      <c r="B4383" s="201" t="s">
        <v>14978</v>
      </c>
      <c r="C4383" s="202" t="s">
        <v>14979</v>
      </c>
      <c r="D4383" s="154" t="s">
        <v>14980</v>
      </c>
      <c r="E4383" s="154" t="s">
        <v>211</v>
      </c>
      <c r="F4383" s="180"/>
    </row>
    <row r="4384" customHeight="1" spans="1:6">
      <c r="A4384" s="9" t="s">
        <v>14981</v>
      </c>
      <c r="B4384" s="223" t="s">
        <v>14982</v>
      </c>
      <c r="C4384" s="223" t="s">
        <v>14983</v>
      </c>
      <c r="D4384" s="204" t="s">
        <v>14984</v>
      </c>
      <c r="E4384" s="204" t="s">
        <v>92</v>
      </c>
      <c r="F4384" s="204"/>
    </row>
    <row r="4385" customHeight="1" spans="1:6">
      <c r="A4385" s="9" t="s">
        <v>14985</v>
      </c>
      <c r="B4385" s="195" t="s">
        <v>14986</v>
      </c>
      <c r="C4385" s="209" t="s">
        <v>12602</v>
      </c>
      <c r="D4385" s="197"/>
      <c r="E4385" s="197" t="s">
        <v>273</v>
      </c>
      <c r="F4385" s="197"/>
    </row>
    <row r="4386" customHeight="1" spans="1:6">
      <c r="A4386" s="9" t="s">
        <v>14987</v>
      </c>
      <c r="B4386" s="238" t="s">
        <v>14988</v>
      </c>
      <c r="C4386" s="202" t="s">
        <v>14989</v>
      </c>
      <c r="D4386" s="153">
        <v>936751877</v>
      </c>
      <c r="E4386" s="180" t="s">
        <v>104</v>
      </c>
      <c r="F4386" s="180"/>
    </row>
    <row r="4387" customHeight="1" spans="1:6">
      <c r="A4387" s="9" t="s">
        <v>14990</v>
      </c>
      <c r="B4387" s="153" t="s">
        <v>14991</v>
      </c>
      <c r="C4387" s="202" t="s">
        <v>14992</v>
      </c>
      <c r="D4387" s="154"/>
      <c r="E4387" s="154" t="s">
        <v>104</v>
      </c>
      <c r="F4387" s="180"/>
    </row>
    <row r="4388" customHeight="1" spans="1:6">
      <c r="A4388" s="9" t="s">
        <v>14993</v>
      </c>
      <c r="B4388" s="215" t="s">
        <v>14994</v>
      </c>
      <c r="C4388" s="205" t="s">
        <v>14995</v>
      </c>
      <c r="D4388" s="244" t="s">
        <v>14996</v>
      </c>
      <c r="E4388" s="26" t="s">
        <v>92</v>
      </c>
      <c r="F4388" s="26"/>
    </row>
    <row r="4389" customHeight="1" spans="1:6">
      <c r="A4389" s="9" t="s">
        <v>14997</v>
      </c>
      <c r="B4389" s="195" t="s">
        <v>14998</v>
      </c>
      <c r="C4389" s="202" t="s">
        <v>14999</v>
      </c>
      <c r="D4389" s="248"/>
      <c r="E4389" s="158" t="s">
        <v>243</v>
      </c>
      <c r="F4389" s="153"/>
    </row>
    <row r="4390" customHeight="1" spans="1:6">
      <c r="A4390" s="9" t="s">
        <v>15000</v>
      </c>
      <c r="B4390" s="160" t="s">
        <v>15001</v>
      </c>
      <c r="C4390" s="160" t="s">
        <v>15002</v>
      </c>
      <c r="D4390" s="204" t="s">
        <v>15003</v>
      </c>
      <c r="E4390" s="204" t="s">
        <v>92</v>
      </c>
      <c r="F4390" s="204"/>
    </row>
    <row r="4391" customHeight="1" spans="1:6">
      <c r="A4391" s="9" t="s">
        <v>15004</v>
      </c>
      <c r="B4391" s="205" t="s">
        <v>15005</v>
      </c>
      <c r="C4391" s="205" t="s">
        <v>15006</v>
      </c>
      <c r="D4391" s="206" t="s">
        <v>15007</v>
      </c>
      <c r="E4391" s="193" t="s">
        <v>120</v>
      </c>
      <c r="F4391" s="239"/>
    </row>
    <row r="4392" customHeight="1" spans="1:6">
      <c r="A4392" s="9" t="s">
        <v>15008</v>
      </c>
      <c r="B4392" s="234" t="s">
        <v>15009</v>
      </c>
      <c r="C4392" s="235" t="s">
        <v>15010</v>
      </c>
      <c r="D4392" s="36" t="s">
        <v>15011</v>
      </c>
      <c r="E4392" s="45" t="s">
        <v>691</v>
      </c>
      <c r="F4392" s="288" t="s">
        <v>15012</v>
      </c>
    </row>
    <row r="4393" customHeight="1" spans="1:6">
      <c r="A4393" s="9" t="s">
        <v>15013</v>
      </c>
      <c r="B4393" s="253" t="s">
        <v>15014</v>
      </c>
      <c r="C4393" s="253" t="s">
        <v>15015</v>
      </c>
      <c r="D4393" s="240" t="s">
        <v>15016</v>
      </c>
      <c r="E4393" s="240" t="s">
        <v>92</v>
      </c>
      <c r="F4393" s="240"/>
    </row>
    <row r="4394" customHeight="1" spans="1:6">
      <c r="A4394" s="9" t="s">
        <v>15017</v>
      </c>
      <c r="B4394" s="214" t="s">
        <v>15018</v>
      </c>
      <c r="C4394" s="214" t="s">
        <v>15019</v>
      </c>
      <c r="D4394" s="204" t="s">
        <v>15020</v>
      </c>
      <c r="E4394" s="204" t="s">
        <v>92</v>
      </c>
      <c r="F4394" s="204"/>
    </row>
    <row r="4395" customHeight="1" spans="1:6">
      <c r="A4395" s="9" t="s">
        <v>15021</v>
      </c>
      <c r="B4395" s="194" t="s">
        <v>15022</v>
      </c>
      <c r="C4395" s="203" t="s">
        <v>15023</v>
      </c>
      <c r="D4395" s="197"/>
      <c r="E4395" s="197" t="s">
        <v>253</v>
      </c>
      <c r="F4395" s="197"/>
    </row>
    <row r="4396" customHeight="1" spans="1:6">
      <c r="A4396" s="9" t="s">
        <v>15024</v>
      </c>
      <c r="B4396" s="200" t="s">
        <v>15025</v>
      </c>
      <c r="C4396" s="202" t="s">
        <v>15026</v>
      </c>
      <c r="D4396" s="152" t="s">
        <v>15027</v>
      </c>
      <c r="E4396" s="154" t="s">
        <v>232</v>
      </c>
      <c r="F4396" s="180"/>
    </row>
    <row r="4397" customHeight="1" spans="1:6">
      <c r="A4397" s="9" t="s">
        <v>15028</v>
      </c>
      <c r="B4397" s="197" t="s">
        <v>15029</v>
      </c>
      <c r="C4397" s="203" t="s">
        <v>15030</v>
      </c>
      <c r="D4397" s="197"/>
      <c r="E4397" s="197" t="s">
        <v>253</v>
      </c>
      <c r="F4397" s="197"/>
    </row>
    <row r="4398" customHeight="1" spans="1:6">
      <c r="A4398" s="9" t="s">
        <v>15031</v>
      </c>
      <c r="B4398" s="223" t="s">
        <v>15032</v>
      </c>
      <c r="C4398" s="223" t="s">
        <v>15033</v>
      </c>
      <c r="D4398" s="194"/>
      <c r="E4398" s="204" t="s">
        <v>92</v>
      </c>
      <c r="F4398" s="204"/>
    </row>
    <row r="4399" customHeight="1" spans="1:6">
      <c r="A4399" s="9" t="s">
        <v>15034</v>
      </c>
      <c r="B4399" s="200" t="s">
        <v>15035</v>
      </c>
      <c r="C4399" s="202" t="s">
        <v>15036</v>
      </c>
      <c r="D4399" s="152" t="s">
        <v>15037</v>
      </c>
      <c r="E4399" s="154"/>
      <c r="F4399" s="180"/>
    </row>
    <row r="4400" customHeight="1" spans="1:6">
      <c r="A4400" s="9" t="s">
        <v>15038</v>
      </c>
      <c r="B4400" s="201" t="s">
        <v>15039</v>
      </c>
      <c r="C4400" s="202" t="s">
        <v>15040</v>
      </c>
      <c r="D4400" s="154" t="s">
        <v>15041</v>
      </c>
      <c r="E4400" s="154" t="s">
        <v>243</v>
      </c>
      <c r="F4400" s="180"/>
    </row>
    <row r="4401" customHeight="1" spans="1:6">
      <c r="A4401" s="9" t="s">
        <v>15042</v>
      </c>
      <c r="B4401" s="200" t="s">
        <v>15043</v>
      </c>
      <c r="C4401" s="202" t="s">
        <v>15044</v>
      </c>
      <c r="D4401" s="158"/>
      <c r="E4401" s="154" t="s">
        <v>310</v>
      </c>
      <c r="F4401" s="180"/>
    </row>
    <row r="4402" customHeight="1" spans="1:6">
      <c r="A4402" s="9" t="s">
        <v>15045</v>
      </c>
      <c r="B4402" s="200" t="s">
        <v>15046</v>
      </c>
      <c r="C4402" s="192" t="s">
        <v>15047</v>
      </c>
      <c r="D4402" s="194"/>
      <c r="E4402" s="193" t="s">
        <v>202</v>
      </c>
      <c r="F4402" s="191"/>
    </row>
    <row r="4403" customHeight="1" spans="1:6">
      <c r="A4403" s="9" t="s">
        <v>15048</v>
      </c>
      <c r="B4403" s="201" t="s">
        <v>15049</v>
      </c>
      <c r="C4403" s="202" t="s">
        <v>15050</v>
      </c>
      <c r="D4403" s="154" t="s">
        <v>15051</v>
      </c>
      <c r="E4403" s="154" t="s">
        <v>186</v>
      </c>
      <c r="F4403" s="180"/>
    </row>
    <row r="4404" customHeight="1" spans="1:6">
      <c r="A4404" s="9" t="s">
        <v>15052</v>
      </c>
      <c r="B4404" s="271" t="s">
        <v>15053</v>
      </c>
      <c r="C4404" s="271" t="s">
        <v>15054</v>
      </c>
      <c r="D4404" s="272" t="s">
        <v>15055</v>
      </c>
      <c r="E4404" s="29" t="s">
        <v>1701</v>
      </c>
      <c r="F4404" s="331" t="s">
        <v>15056</v>
      </c>
    </row>
    <row r="4405" customHeight="1" spans="1:6">
      <c r="A4405" s="9" t="s">
        <v>15057</v>
      </c>
      <c r="B4405" s="195" t="s">
        <v>15058</v>
      </c>
      <c r="C4405" s="202" t="s">
        <v>15059</v>
      </c>
      <c r="D4405" s="152"/>
      <c r="E4405" s="154"/>
      <c r="F4405" s="180"/>
    </row>
    <row r="4406" customHeight="1" spans="1:6">
      <c r="A4406" s="9" t="s">
        <v>15060</v>
      </c>
      <c r="B4406" s="200" t="s">
        <v>15061</v>
      </c>
      <c r="C4406" s="202" t="s">
        <v>15062</v>
      </c>
      <c r="D4406" s="152" t="s">
        <v>15063</v>
      </c>
      <c r="E4406" s="154" t="s">
        <v>181</v>
      </c>
      <c r="F4406" s="180"/>
    </row>
    <row r="4407" customHeight="1" spans="1:6">
      <c r="A4407" s="9" t="s">
        <v>15064</v>
      </c>
      <c r="B4407" s="201" t="s">
        <v>15065</v>
      </c>
      <c r="C4407" s="202" t="s">
        <v>15066</v>
      </c>
      <c r="D4407" s="154"/>
      <c r="E4407" s="154" t="s">
        <v>186</v>
      </c>
      <c r="F4407" s="180"/>
    </row>
    <row r="4408" customHeight="1" spans="1:6">
      <c r="A4408" s="9" t="s">
        <v>15067</v>
      </c>
      <c r="B4408" s="160" t="s">
        <v>15068</v>
      </c>
      <c r="C4408" s="160" t="s">
        <v>15069</v>
      </c>
      <c r="D4408" s="204" t="s">
        <v>15070</v>
      </c>
      <c r="E4408" s="204" t="s">
        <v>92</v>
      </c>
      <c r="F4408" s="204"/>
    </row>
    <row r="4409" customHeight="1" spans="1:6">
      <c r="A4409" s="9" t="s">
        <v>15071</v>
      </c>
      <c r="B4409" s="160" t="s">
        <v>15072</v>
      </c>
      <c r="C4409" s="160" t="s">
        <v>15073</v>
      </c>
      <c r="D4409" s="204" t="s">
        <v>15074</v>
      </c>
      <c r="E4409" s="204" t="s">
        <v>92</v>
      </c>
      <c r="F4409" s="204"/>
    </row>
    <row r="4410" customHeight="1" spans="1:6">
      <c r="A4410" s="9" t="s">
        <v>15075</v>
      </c>
      <c r="B4410" s="160" t="s">
        <v>15076</v>
      </c>
      <c r="C4410" s="160" t="s">
        <v>15077</v>
      </c>
      <c r="D4410" s="223" t="s">
        <v>15078</v>
      </c>
      <c r="E4410" s="204" t="s">
        <v>92</v>
      </c>
      <c r="F4410" s="204"/>
    </row>
    <row r="4411" customHeight="1" spans="1:6">
      <c r="A4411" s="9" t="s">
        <v>15079</v>
      </c>
      <c r="B4411" s="160" t="s">
        <v>15080</v>
      </c>
      <c r="C4411" s="160" t="s">
        <v>15081</v>
      </c>
      <c r="D4411" s="204" t="s">
        <v>15082</v>
      </c>
      <c r="E4411" s="204" t="s">
        <v>92</v>
      </c>
      <c r="F4411" s="204"/>
    </row>
    <row r="4412" customHeight="1" spans="1:6">
      <c r="A4412" s="9" t="s">
        <v>15083</v>
      </c>
      <c r="B4412" s="160" t="s">
        <v>15084</v>
      </c>
      <c r="C4412" s="160" t="s">
        <v>15085</v>
      </c>
      <c r="D4412" s="204" t="s">
        <v>15086</v>
      </c>
      <c r="E4412" s="204" t="s">
        <v>92</v>
      </c>
      <c r="F4412" s="204"/>
    </row>
    <row r="4413" customHeight="1" spans="1:6">
      <c r="A4413" s="9" t="s">
        <v>15087</v>
      </c>
      <c r="B4413" s="200" t="s">
        <v>15088</v>
      </c>
      <c r="C4413" s="192" t="s">
        <v>15089</v>
      </c>
      <c r="D4413" s="194"/>
      <c r="E4413" s="193" t="s">
        <v>202</v>
      </c>
      <c r="F4413" s="191"/>
    </row>
    <row r="4414" customHeight="1" spans="1:6">
      <c r="A4414" s="9" t="s">
        <v>15090</v>
      </c>
      <c r="B4414" s="194" t="s">
        <v>15091</v>
      </c>
      <c r="C4414" s="192" t="s">
        <v>15092</v>
      </c>
      <c r="D4414" s="197"/>
      <c r="E4414" s="197" t="s">
        <v>202</v>
      </c>
      <c r="F4414" s="197"/>
    </row>
    <row r="4415" customHeight="1" spans="1:6">
      <c r="A4415" s="9" t="s">
        <v>15093</v>
      </c>
      <c r="B4415" s="223" t="s">
        <v>15094</v>
      </c>
      <c r="C4415" s="223" t="s">
        <v>15095</v>
      </c>
      <c r="D4415" s="194"/>
      <c r="E4415" s="204" t="s">
        <v>92</v>
      </c>
      <c r="F4415" s="204"/>
    </row>
    <row r="4416" customHeight="1" spans="1:6">
      <c r="A4416" s="9" t="s">
        <v>15096</v>
      </c>
      <c r="B4416" s="214" t="s">
        <v>15097</v>
      </c>
      <c r="C4416" s="214" t="s">
        <v>15098</v>
      </c>
      <c r="D4416" s="194"/>
      <c r="E4416" s="204" t="s">
        <v>92</v>
      </c>
      <c r="F4416" s="204"/>
    </row>
    <row r="4417" customHeight="1" spans="1:6">
      <c r="A4417" s="9" t="s">
        <v>15099</v>
      </c>
      <c r="B4417" s="195" t="s">
        <v>15100</v>
      </c>
      <c r="C4417" s="212" t="s">
        <v>15101</v>
      </c>
      <c r="D4417" s="197"/>
      <c r="E4417" s="198" t="s">
        <v>216</v>
      </c>
      <c r="F4417" s="199"/>
    </row>
    <row r="4418" customHeight="1" spans="1:6">
      <c r="A4418" s="9" t="s">
        <v>15102</v>
      </c>
      <c r="B4418" s="222" t="str">
        <f>IFERROR(__xludf.DUMMYFUNCTION("""COMPUTED_VALUE"""),"Bezawit Abebe G/Tsadik /W/o/")</f>
        <v>Bezawit Abebe G/Tsadik /W/o/</v>
      </c>
      <c r="C4418" s="222" t="str">
        <f>IFERROR(__xludf.DUMMYFUNCTION("""COMPUTED_VALUE"""),"ቤዛዊት አበበ ገ/ፃዲቅ /ወ/ሮ/")</f>
        <v>ቤዛዊት አበበ ገ/ፃዲቅ /ወ/ሮ/</v>
      </c>
      <c r="D4418" s="222" t="str">
        <f>IFERROR(__xludf.DUMMYFUNCTION("""COMPUTED_VALUE"""),"0913-009975")</f>
        <v>0913-009975</v>
      </c>
      <c r="E4418" s="222" t="str">
        <f>IFERROR(__xludf.DUMMYFUNCTION("""COMPUTED_VALUE"""),"A/A")</f>
        <v>A/A</v>
      </c>
      <c r="F4418" s="222" t="str">
        <f>IFERROR(__xludf.DUMMYFUNCTION("""COMPUTED_VALUE"""),"bezawitab2121@gmail.com")</f>
        <v>bezawitab2121@gmail.com</v>
      </c>
    </row>
    <row r="4419" customHeight="1" spans="1:6">
      <c r="A4419" s="9" t="s">
        <v>15103</v>
      </c>
      <c r="B4419" s="214" t="s">
        <v>15104</v>
      </c>
      <c r="C4419" s="214" t="s">
        <v>15105</v>
      </c>
      <c r="D4419" s="194"/>
      <c r="E4419" s="204" t="s">
        <v>92</v>
      </c>
      <c r="F4419" s="204"/>
    </row>
    <row r="4420" customHeight="1" spans="1:6">
      <c r="A4420" s="9" t="s">
        <v>15106</v>
      </c>
      <c r="B4420" s="223" t="s">
        <v>15107</v>
      </c>
      <c r="C4420" s="223" t="s">
        <v>15108</v>
      </c>
      <c r="D4420" s="204" t="s">
        <v>15109</v>
      </c>
      <c r="E4420" s="204" t="s">
        <v>92</v>
      </c>
      <c r="F4420" s="204"/>
    </row>
    <row r="4421" customHeight="1" spans="1:6">
      <c r="A4421" s="9" t="s">
        <v>15110</v>
      </c>
      <c r="B4421" s="214" t="s">
        <v>15111</v>
      </c>
      <c r="C4421" s="214" t="s">
        <v>15112</v>
      </c>
      <c r="D4421" s="194"/>
      <c r="E4421" s="204" t="s">
        <v>92</v>
      </c>
      <c r="F4421" s="204"/>
    </row>
    <row r="4422" customHeight="1" spans="1:6">
      <c r="A4422" s="9" t="s">
        <v>15113</v>
      </c>
      <c r="B4422" s="208" t="s">
        <v>15114</v>
      </c>
      <c r="C4422" s="208" t="s">
        <v>15115</v>
      </c>
      <c r="D4422" s="204">
        <v>911631994</v>
      </c>
      <c r="E4422" s="204" t="s">
        <v>92</v>
      </c>
      <c r="F4422" s="204"/>
    </row>
    <row r="4423" customHeight="1" spans="1:6">
      <c r="A4423" s="9" t="s">
        <v>15116</v>
      </c>
      <c r="B4423" s="214" t="s">
        <v>15117</v>
      </c>
      <c r="C4423" s="214" t="s">
        <v>15118</v>
      </c>
      <c r="D4423" s="194"/>
      <c r="E4423" s="204" t="s">
        <v>92</v>
      </c>
      <c r="F4423" s="204"/>
    </row>
    <row r="4424" customHeight="1" spans="1:6">
      <c r="A4424" s="9" t="s">
        <v>15119</v>
      </c>
      <c r="B4424" s="223" t="s">
        <v>15120</v>
      </c>
      <c r="C4424" s="223" t="s">
        <v>15121</v>
      </c>
      <c r="D4424" s="204">
        <v>993484343</v>
      </c>
      <c r="E4424" s="204" t="s">
        <v>92</v>
      </c>
      <c r="F4424" s="204"/>
    </row>
    <row r="4425" customHeight="1" spans="1:6">
      <c r="A4425" s="9" t="s">
        <v>15122</v>
      </c>
      <c r="B4425" s="214" t="s">
        <v>15123</v>
      </c>
      <c r="C4425" s="214" t="s">
        <v>15124</v>
      </c>
      <c r="D4425" s="194"/>
      <c r="E4425" s="204" t="s">
        <v>92</v>
      </c>
      <c r="F4425" s="204"/>
    </row>
    <row r="4426" customHeight="1" spans="1:6">
      <c r="A4426" s="9" t="s">
        <v>15125</v>
      </c>
      <c r="B4426" s="233" t="s">
        <v>15126</v>
      </c>
      <c r="C4426" s="233" t="s">
        <v>15127</v>
      </c>
      <c r="D4426" s="204" t="s">
        <v>15128</v>
      </c>
      <c r="E4426" s="204" t="s">
        <v>92</v>
      </c>
      <c r="F4426" s="204" t="s">
        <v>15129</v>
      </c>
    </row>
    <row r="4427" customHeight="1" spans="1:6">
      <c r="A4427" s="9" t="s">
        <v>15130</v>
      </c>
      <c r="B4427" s="214" t="s">
        <v>15131</v>
      </c>
      <c r="C4427" s="214" t="s">
        <v>15132</v>
      </c>
      <c r="D4427" s="204">
        <v>911619439</v>
      </c>
      <c r="E4427" s="204" t="s">
        <v>92</v>
      </c>
      <c r="F4427" s="204"/>
    </row>
    <row r="4428" customHeight="1" spans="1:6">
      <c r="A4428" s="9" t="s">
        <v>15133</v>
      </c>
      <c r="B4428" s="214" t="s">
        <v>15134</v>
      </c>
      <c r="C4428" s="214" t="s">
        <v>15135</v>
      </c>
      <c r="D4428" s="194"/>
      <c r="E4428" s="204" t="s">
        <v>92</v>
      </c>
      <c r="F4428" s="204"/>
    </row>
    <row r="4429" customHeight="1" spans="1:6">
      <c r="A4429" s="9" t="s">
        <v>15136</v>
      </c>
      <c r="B4429" s="258" t="s">
        <v>15137</v>
      </c>
      <c r="C4429" s="258" t="s">
        <v>15138</v>
      </c>
      <c r="D4429" s="240" t="s">
        <v>15139</v>
      </c>
      <c r="E4429" s="240" t="s">
        <v>92</v>
      </c>
      <c r="F4429" s="240"/>
    </row>
    <row r="4430" customHeight="1" spans="1:6">
      <c r="A4430" s="9" t="s">
        <v>15140</v>
      </c>
      <c r="B4430" s="214" t="s">
        <v>15141</v>
      </c>
      <c r="C4430" s="214" t="s">
        <v>15142</v>
      </c>
      <c r="D4430" s="194"/>
      <c r="E4430" s="204" t="s">
        <v>92</v>
      </c>
      <c r="F4430" s="204"/>
    </row>
    <row r="4431" customHeight="1" spans="1:6">
      <c r="A4431" s="9" t="s">
        <v>15143</v>
      </c>
      <c r="B4431" s="220" t="str">
        <f>IFERROR(__xludf.DUMMYFUNCTION("""COMPUTED_VALUE"""),"Bezawit Melaku Endalew /W/O")</f>
        <v>Bezawit Melaku Endalew /W/O</v>
      </c>
      <c r="C4431" s="220" t="str">
        <f>IFERROR(__xludf.DUMMYFUNCTION("""COMPUTED_VALUE"""),"ቤዛዊት መላኩ እንዳለው ወ/ሮ")</f>
        <v>ቤዛዊት መላኩ እንዳለው ወ/ሮ</v>
      </c>
      <c r="D4431" s="220" t="str">
        <f>IFERROR(__xludf.DUMMYFUNCTION("""COMPUTED_VALUE"""),"918718699")</f>
        <v>918718699</v>
      </c>
      <c r="E4431" s="220" t="str">
        <f>IFERROR(__xludf.DUMMYFUNCTION("""COMPUTED_VALUE"""),"Addis Ababa")</f>
        <v>Addis Ababa</v>
      </c>
      <c r="F4431" s="220" t="str">
        <f>IFERROR(__xludf.DUMMYFUNCTION("""COMPUTED_VALUE"""),"bezachere@gmail.com")</f>
        <v>bezachere@gmail.com</v>
      </c>
    </row>
    <row r="4432" customHeight="1" spans="1:6">
      <c r="A4432" s="9" t="s">
        <v>15144</v>
      </c>
      <c r="B4432" s="160" t="s">
        <v>15145</v>
      </c>
      <c r="C4432" s="160" t="s">
        <v>15146</v>
      </c>
      <c r="D4432" s="204" t="s">
        <v>15147</v>
      </c>
      <c r="E4432" s="204" t="s">
        <v>92</v>
      </c>
      <c r="F4432" s="204"/>
    </row>
    <row r="4433" customHeight="1" spans="1:6">
      <c r="A4433" s="9" t="s">
        <v>15148</v>
      </c>
      <c r="B4433" s="214" t="s">
        <v>15149</v>
      </c>
      <c r="C4433" s="214" t="s">
        <v>15150</v>
      </c>
      <c r="D4433" s="194"/>
      <c r="E4433" s="204" t="s">
        <v>92</v>
      </c>
      <c r="F4433" s="204"/>
    </row>
    <row r="4434" customHeight="1" spans="1:6">
      <c r="A4434" s="9" t="s">
        <v>15151</v>
      </c>
      <c r="B4434" s="214" t="s">
        <v>15152</v>
      </c>
      <c r="C4434" s="214" t="s">
        <v>15153</v>
      </c>
      <c r="D4434" s="194"/>
      <c r="E4434" s="204" t="s">
        <v>92</v>
      </c>
      <c r="F4434" s="204"/>
    </row>
    <row r="4435" customHeight="1" spans="1:6">
      <c r="A4435" s="9" t="s">
        <v>15154</v>
      </c>
      <c r="B4435" s="160" t="s">
        <v>15155</v>
      </c>
      <c r="C4435" s="160" t="s">
        <v>15156</v>
      </c>
      <c r="D4435" s="204" t="s">
        <v>15157</v>
      </c>
      <c r="E4435" s="204" t="s">
        <v>92</v>
      </c>
      <c r="F4435" s="204"/>
    </row>
    <row r="4436" customHeight="1" spans="1:6">
      <c r="A4436" s="9" t="s">
        <v>15158</v>
      </c>
      <c r="B4436" s="160" t="s">
        <v>15159</v>
      </c>
      <c r="C4436" s="160" t="s">
        <v>15160</v>
      </c>
      <c r="D4436" s="204" t="s">
        <v>15161</v>
      </c>
      <c r="E4436" s="204" t="s">
        <v>92</v>
      </c>
      <c r="F4436" s="204"/>
    </row>
    <row r="4437" customHeight="1" spans="1:6">
      <c r="A4437" s="9" t="s">
        <v>15162</v>
      </c>
      <c r="B4437" s="214" t="s">
        <v>15163</v>
      </c>
      <c r="C4437" s="214" t="s">
        <v>15164</v>
      </c>
      <c r="D4437" s="194"/>
      <c r="E4437" s="204" t="s">
        <v>92</v>
      </c>
      <c r="F4437" s="204"/>
    </row>
    <row r="4438" customHeight="1" spans="1:6">
      <c r="A4438" s="9" t="s">
        <v>15165</v>
      </c>
      <c r="B4438" s="223" t="s">
        <v>15166</v>
      </c>
      <c r="C4438" s="223" t="s">
        <v>15167</v>
      </c>
      <c r="D4438" s="204" t="s">
        <v>15168</v>
      </c>
      <c r="E4438" s="204" t="s">
        <v>92</v>
      </c>
      <c r="F4438" s="204"/>
    </row>
    <row r="4439" customHeight="1" spans="1:6">
      <c r="A4439" s="9" t="s">
        <v>15169</v>
      </c>
      <c r="B4439" s="214" t="s">
        <v>15170</v>
      </c>
      <c r="C4439" s="214" t="s">
        <v>15171</v>
      </c>
      <c r="D4439" s="194"/>
      <c r="E4439" s="204" t="s">
        <v>92</v>
      </c>
      <c r="F4439" s="204"/>
    </row>
    <row r="4440" customHeight="1" spans="1:6">
      <c r="A4440" s="9" t="s">
        <v>15172</v>
      </c>
      <c r="B4440" s="225" t="s">
        <v>15173</v>
      </c>
      <c r="C4440" s="225" t="s">
        <v>15174</v>
      </c>
      <c r="D4440" s="228" t="s">
        <v>15175</v>
      </c>
      <c r="E4440" s="229" t="s">
        <v>120</v>
      </c>
      <c r="F4440" s="230"/>
    </row>
    <row r="4441" customHeight="1" spans="1:6">
      <c r="A4441" s="9" t="s">
        <v>15176</v>
      </c>
      <c r="B4441" s="220" t="str">
        <f>IFERROR(__xludf.DUMMYFUNCTION("""COMPUTED_VALUE"""),"Bezaye Yirsaw Yihunie /W/o/")</f>
        <v>Bezaye Yirsaw Yihunie /W/o/</v>
      </c>
      <c r="C4441" s="220" t="str">
        <f>IFERROR(__xludf.DUMMYFUNCTION("""COMPUTED_VALUE"""),"ቤዛዬ ይርሳው ይሁኔ /ወ/ሮ/")</f>
        <v>ቤዛዬ ይርሳው ይሁኔ /ወ/ሮ/</v>
      </c>
      <c r="D4441" s="220" t="str">
        <f>IFERROR(__xludf.DUMMYFUNCTION("""COMPUTED_VALUE"""),"0966706945
 0952216240")</f>
        <v>0966706945
 0952216240</v>
      </c>
      <c r="E4441" s="220" t="str">
        <f>IFERROR(__xludf.DUMMYFUNCTION("""COMPUTED_VALUE"""),"Addis Ababa")</f>
        <v>Addis Ababa</v>
      </c>
      <c r="F4441" s="220" t="str">
        <f>IFERROR(__xludf.DUMMYFUNCTION("""COMPUTED_VALUE"""),"ybezaye@yahoo.com")</f>
        <v>ybezaye@yahoo.com</v>
      </c>
    </row>
    <row r="4442" customHeight="1" spans="1:6">
      <c r="A4442" s="9" t="s">
        <v>15177</v>
      </c>
      <c r="B4442" s="153" t="s">
        <v>15178</v>
      </c>
      <c r="C4442" s="202" t="s">
        <v>15179</v>
      </c>
      <c r="D4442" s="158"/>
      <c r="E4442" s="158" t="s">
        <v>104</v>
      </c>
      <c r="F4442" s="153"/>
    </row>
    <row r="4443" customHeight="1" spans="1:6">
      <c r="A4443" s="9" t="s">
        <v>15180</v>
      </c>
      <c r="B4443" s="153" t="s">
        <v>15181</v>
      </c>
      <c r="C4443" s="202" t="s">
        <v>15182</v>
      </c>
      <c r="D4443" s="154" t="s">
        <v>15183</v>
      </c>
      <c r="E4443" s="154" t="s">
        <v>243</v>
      </c>
      <c r="F4443" s="180"/>
    </row>
    <row r="4444" customHeight="1" spans="1:6">
      <c r="A4444" s="9" t="s">
        <v>15184</v>
      </c>
      <c r="B4444" s="195" t="s">
        <v>15185</v>
      </c>
      <c r="C4444" s="202" t="s">
        <v>15186</v>
      </c>
      <c r="D4444" s="158"/>
      <c r="E4444" s="154" t="s">
        <v>253</v>
      </c>
      <c r="F4444" s="180"/>
    </row>
    <row r="4445" customHeight="1" spans="1:6">
      <c r="A4445" s="9" t="s">
        <v>15187</v>
      </c>
      <c r="B4445" s="201" t="s">
        <v>15188</v>
      </c>
      <c r="C4445" s="202" t="s">
        <v>15189</v>
      </c>
      <c r="D4445" s="154"/>
      <c r="E4445" s="154" t="s">
        <v>211</v>
      </c>
      <c r="F4445" s="180"/>
    </row>
    <row r="4446" customHeight="1" spans="1:6">
      <c r="A4446" s="9" t="s">
        <v>15190</v>
      </c>
      <c r="B4446" s="233" t="s">
        <v>15191</v>
      </c>
      <c r="C4446" s="233" t="s">
        <v>15192</v>
      </c>
      <c r="D4446" s="204" t="s">
        <v>15193</v>
      </c>
      <c r="E4446" s="204" t="s">
        <v>92</v>
      </c>
      <c r="F4446" s="204" t="s">
        <v>15194</v>
      </c>
    </row>
    <row r="4447" customHeight="1" spans="1:6">
      <c r="A4447" s="9" t="s">
        <v>15195</v>
      </c>
      <c r="B4447" s="195" t="s">
        <v>15196</v>
      </c>
      <c r="C4447" s="196" t="s">
        <v>15197</v>
      </c>
      <c r="D4447" s="197"/>
      <c r="E4447" s="197" t="s">
        <v>351</v>
      </c>
      <c r="F4447" s="197"/>
    </row>
    <row r="4448" customHeight="1" spans="1:6">
      <c r="A4448" s="9" t="s">
        <v>15198</v>
      </c>
      <c r="B4448" s="214" t="s">
        <v>15199</v>
      </c>
      <c r="C4448" s="214" t="s">
        <v>15200</v>
      </c>
      <c r="D4448" s="194"/>
      <c r="E4448" s="204" t="s">
        <v>92</v>
      </c>
      <c r="F4448" s="204"/>
    </row>
    <row r="4449" customHeight="1" spans="1:6">
      <c r="A4449" s="9" t="s">
        <v>15201</v>
      </c>
      <c r="B4449" s="214" t="s">
        <v>15202</v>
      </c>
      <c r="C4449" s="214" t="s">
        <v>15203</v>
      </c>
      <c r="D4449" s="204" t="s">
        <v>15204</v>
      </c>
      <c r="E4449" s="204" t="s">
        <v>92</v>
      </c>
      <c r="F4449" s="204"/>
    </row>
    <row r="4450" customHeight="1" spans="1:6">
      <c r="A4450" s="9" t="s">
        <v>15205</v>
      </c>
      <c r="B4450" s="201" t="s">
        <v>15206</v>
      </c>
      <c r="C4450" s="202" t="s">
        <v>15207</v>
      </c>
      <c r="D4450" s="154"/>
      <c r="E4450" s="154" t="s">
        <v>202</v>
      </c>
      <c r="F4450" s="180"/>
    </row>
    <row r="4451" customHeight="1" spans="1:6">
      <c r="A4451" s="9" t="s">
        <v>15208</v>
      </c>
      <c r="B4451" s="233" t="s">
        <v>15209</v>
      </c>
      <c r="C4451" s="233" t="s">
        <v>15210</v>
      </c>
      <c r="D4451" s="204" t="s">
        <v>15211</v>
      </c>
      <c r="E4451" s="204" t="s">
        <v>605</v>
      </c>
      <c r="F4451" s="204" t="s">
        <v>15212</v>
      </c>
    </row>
    <row r="4452" customHeight="1" spans="1:6">
      <c r="A4452" s="9" t="s">
        <v>15213</v>
      </c>
      <c r="B4452" s="222" t="str">
        <f>IFERROR(__xludf.DUMMYFUNCTION("""COMPUTED_VALUE"""),"Bezunesh Asmare Mekoya")</f>
        <v>Bezunesh Asmare Mekoya</v>
      </c>
      <c r="C4452" s="222" t="str">
        <f>IFERROR(__xludf.DUMMYFUNCTION("""COMPUTED_VALUE"""),"ብዙነሽ አስማረ መኮያ")</f>
        <v>ብዙነሽ አስማረ መኮያ</v>
      </c>
      <c r="D4452" s="222" t="str">
        <f>IFERROR(__xludf.DUMMYFUNCTION("""COMPUTED_VALUE"""),"911-688689")</f>
        <v>911-688689</v>
      </c>
      <c r="E4452" s="222" t="str">
        <f>IFERROR(__xludf.DUMMYFUNCTION("""COMPUTED_VALUE"""),"addis abeba")</f>
        <v>addis abeba</v>
      </c>
      <c r="F4452" s="222"/>
    </row>
    <row r="4453" customHeight="1" spans="1:6">
      <c r="A4453" s="9" t="s">
        <v>15214</v>
      </c>
      <c r="B4453" s="153" t="s">
        <v>15215</v>
      </c>
      <c r="C4453" s="202" t="s">
        <v>15216</v>
      </c>
      <c r="D4453" s="154"/>
      <c r="E4453" s="154" t="s">
        <v>243</v>
      </c>
      <c r="F4453" s="180"/>
    </row>
    <row r="4454" customHeight="1" spans="1:6">
      <c r="A4454" s="9" t="s">
        <v>15217</v>
      </c>
      <c r="B4454" s="201" t="s">
        <v>15218</v>
      </c>
      <c r="C4454" s="202" t="s">
        <v>15219</v>
      </c>
      <c r="D4454" s="154" t="s">
        <v>4762</v>
      </c>
      <c r="E4454" s="154" t="s">
        <v>186</v>
      </c>
      <c r="F4454" s="180"/>
    </row>
    <row r="4455" customHeight="1" spans="1:6">
      <c r="A4455" s="9" t="s">
        <v>15220</v>
      </c>
      <c r="B4455" s="215" t="s">
        <v>15221</v>
      </c>
      <c r="C4455" s="205" t="s">
        <v>15222</v>
      </c>
      <c r="D4455" s="206" t="s">
        <v>15223</v>
      </c>
      <c r="E4455" s="193" t="s">
        <v>120</v>
      </c>
      <c r="F4455" s="221"/>
    </row>
    <row r="4456" customHeight="1" spans="1:6">
      <c r="A4456" s="9" t="s">
        <v>15224</v>
      </c>
      <c r="B4456" s="205" t="s">
        <v>15225</v>
      </c>
      <c r="C4456" s="205" t="s">
        <v>15226</v>
      </c>
      <c r="D4456" s="206" t="s">
        <v>15227</v>
      </c>
      <c r="E4456" s="193" t="s">
        <v>120</v>
      </c>
      <c r="F4456" s="337"/>
    </row>
    <row r="4457" customHeight="1" spans="1:6">
      <c r="A4457" s="9" t="s">
        <v>15228</v>
      </c>
      <c r="B4457" s="200" t="s">
        <v>15229</v>
      </c>
      <c r="C4457" s="192" t="s">
        <v>15230</v>
      </c>
      <c r="D4457" s="194" t="s">
        <v>15231</v>
      </c>
      <c r="E4457" s="194" t="s">
        <v>58</v>
      </c>
      <c r="F4457" s="194"/>
    </row>
    <row r="4458" customHeight="1" spans="1:6">
      <c r="A4458" s="9" t="s">
        <v>15232</v>
      </c>
      <c r="B4458" s="195" t="s">
        <v>15233</v>
      </c>
      <c r="C4458" s="202" t="s">
        <v>15234</v>
      </c>
      <c r="D4458" s="152" t="s">
        <v>15235</v>
      </c>
      <c r="E4458" s="154" t="s">
        <v>232</v>
      </c>
      <c r="F4458" s="180"/>
    </row>
    <row r="4459" customHeight="1" spans="1:6">
      <c r="A4459" s="9" t="s">
        <v>15236</v>
      </c>
      <c r="B4459" s="201" t="s">
        <v>15237</v>
      </c>
      <c r="C4459" s="202" t="s">
        <v>15238</v>
      </c>
      <c r="D4459" s="338" t="s">
        <v>15239</v>
      </c>
      <c r="E4459" s="154" t="s">
        <v>58</v>
      </c>
      <c r="F4459" s="180"/>
    </row>
    <row r="4460" customHeight="1" spans="1:6">
      <c r="A4460" s="9" t="s">
        <v>15240</v>
      </c>
      <c r="B4460" s="195" t="s">
        <v>15241</v>
      </c>
      <c r="C4460" s="202" t="s">
        <v>15242</v>
      </c>
      <c r="D4460" s="152" t="s">
        <v>15243</v>
      </c>
      <c r="E4460" s="154" t="s">
        <v>232</v>
      </c>
      <c r="F4460" s="180"/>
    </row>
    <row r="4461" customHeight="1" spans="1:6">
      <c r="A4461" s="9" t="s">
        <v>15244</v>
      </c>
      <c r="B4461" s="158" t="s">
        <v>15245</v>
      </c>
      <c r="C4461" s="202" t="s">
        <v>15246</v>
      </c>
      <c r="D4461" s="158">
        <v>947085053</v>
      </c>
      <c r="E4461" s="154" t="s">
        <v>104</v>
      </c>
      <c r="F4461" s="180"/>
    </row>
    <row r="4462" customHeight="1" spans="1:6">
      <c r="A4462" s="9" t="s">
        <v>15247</v>
      </c>
      <c r="B4462" s="153" t="s">
        <v>15248</v>
      </c>
      <c r="C4462" s="202" t="s">
        <v>15249</v>
      </c>
      <c r="D4462" s="154"/>
      <c r="E4462" s="154" t="s">
        <v>104</v>
      </c>
      <c r="F4462" s="180"/>
    </row>
    <row r="4463" customHeight="1" spans="1:6">
      <c r="A4463" s="9" t="s">
        <v>15250</v>
      </c>
      <c r="B4463" s="200" t="s">
        <v>15251</v>
      </c>
      <c r="C4463" s="202" t="s">
        <v>15252</v>
      </c>
      <c r="D4463" s="152"/>
      <c r="E4463" s="154" t="s">
        <v>232</v>
      </c>
      <c r="F4463" s="180"/>
    </row>
    <row r="4464" customHeight="1" spans="1:6">
      <c r="A4464" s="9" t="s">
        <v>15253</v>
      </c>
      <c r="B4464" s="195" t="s">
        <v>15254</v>
      </c>
      <c r="C4464" s="202" t="s">
        <v>15255</v>
      </c>
      <c r="D4464" s="152" t="s">
        <v>15256</v>
      </c>
      <c r="E4464" s="154" t="s">
        <v>232</v>
      </c>
      <c r="F4464" s="180"/>
    </row>
    <row r="4465" customHeight="1" spans="1:6">
      <c r="A4465" s="9" t="s">
        <v>15257</v>
      </c>
      <c r="B4465" s="153" t="s">
        <v>15258</v>
      </c>
      <c r="C4465" s="202" t="s">
        <v>15259</v>
      </c>
      <c r="D4465" s="154"/>
      <c r="E4465" s="154" t="s">
        <v>104</v>
      </c>
      <c r="F4465" s="180"/>
    </row>
    <row r="4466" customHeight="1" spans="1:6">
      <c r="A4466" s="9" t="s">
        <v>15260</v>
      </c>
      <c r="B4466" s="200" t="s">
        <v>15261</v>
      </c>
      <c r="C4466" s="202" t="s">
        <v>15262</v>
      </c>
      <c r="D4466" s="152" t="s">
        <v>15263</v>
      </c>
      <c r="E4466" s="154" t="s">
        <v>104</v>
      </c>
      <c r="F4466" s="180"/>
    </row>
    <row r="4467" customHeight="1" spans="1:6">
      <c r="A4467" s="9" t="s">
        <v>15264</v>
      </c>
      <c r="B4467" s="195" t="s">
        <v>15265</v>
      </c>
      <c r="C4467" s="202" t="s">
        <v>15266</v>
      </c>
      <c r="D4467" s="154"/>
      <c r="E4467" s="154" t="s">
        <v>181</v>
      </c>
      <c r="F4467" s="180"/>
    </row>
    <row r="4468" customHeight="1" spans="1:6">
      <c r="A4468" s="9" t="s">
        <v>15267</v>
      </c>
      <c r="B4468" s="153" t="s">
        <v>15268</v>
      </c>
      <c r="C4468" s="202" t="s">
        <v>15269</v>
      </c>
      <c r="D4468" s="158"/>
      <c r="E4468" s="154" t="s">
        <v>104</v>
      </c>
      <c r="F4468" s="180"/>
    </row>
    <row r="4469" customHeight="1" spans="1:6">
      <c r="A4469" s="9" t="s">
        <v>15270</v>
      </c>
      <c r="B4469" s="200" t="s">
        <v>15271</v>
      </c>
      <c r="C4469" s="202" t="s">
        <v>15272</v>
      </c>
      <c r="D4469" s="152" t="s">
        <v>15273</v>
      </c>
      <c r="E4469" s="154" t="s">
        <v>211</v>
      </c>
      <c r="F4469" s="180"/>
    </row>
    <row r="4470" customHeight="1" spans="1:6">
      <c r="A4470" s="9" t="s">
        <v>15274</v>
      </c>
      <c r="B4470" s="153" t="s">
        <v>15275</v>
      </c>
      <c r="C4470" s="202" t="s">
        <v>15276</v>
      </c>
      <c r="D4470" s="154" t="s">
        <v>15277</v>
      </c>
      <c r="E4470" s="154" t="s">
        <v>243</v>
      </c>
      <c r="F4470" s="180"/>
    </row>
    <row r="4471" customHeight="1" spans="1:6">
      <c r="A4471" s="9" t="s">
        <v>15278</v>
      </c>
      <c r="B4471" s="201" t="s">
        <v>15279</v>
      </c>
      <c r="C4471" s="202" t="s">
        <v>15280</v>
      </c>
      <c r="D4471" s="154" t="s">
        <v>15281</v>
      </c>
      <c r="E4471" s="154"/>
      <c r="F4471" s="180"/>
    </row>
    <row r="4472" customHeight="1" spans="1:6">
      <c r="A4472" s="9" t="s">
        <v>15282</v>
      </c>
      <c r="B4472" s="160" t="s">
        <v>15283</v>
      </c>
      <c r="C4472" s="160" t="s">
        <v>15284</v>
      </c>
      <c r="D4472" s="204" t="s">
        <v>15285</v>
      </c>
      <c r="E4472" s="204" t="s">
        <v>92</v>
      </c>
      <c r="F4472" s="204"/>
    </row>
    <row r="4473" customHeight="1" spans="1:6">
      <c r="A4473" s="9" t="s">
        <v>15286</v>
      </c>
      <c r="B4473" s="195" t="s">
        <v>15287</v>
      </c>
      <c r="C4473" s="213" t="s">
        <v>15288</v>
      </c>
      <c r="D4473" s="197"/>
      <c r="E4473" s="197" t="s">
        <v>202</v>
      </c>
      <c r="F4473" s="197"/>
    </row>
    <row r="4474" customHeight="1" spans="1:6">
      <c r="A4474" s="9" t="s">
        <v>15289</v>
      </c>
      <c r="B4474" s="197" t="s">
        <v>15290</v>
      </c>
      <c r="C4474" s="196" t="s">
        <v>15291</v>
      </c>
      <c r="D4474" s="197"/>
      <c r="E4474" s="197" t="s">
        <v>202</v>
      </c>
      <c r="F4474" s="197"/>
    </row>
    <row r="4475" customHeight="1" spans="1:6">
      <c r="A4475" s="9" t="s">
        <v>15292</v>
      </c>
      <c r="B4475" s="200" t="s">
        <v>15293</v>
      </c>
      <c r="C4475" s="202" t="s">
        <v>15294</v>
      </c>
      <c r="D4475" s="152"/>
      <c r="E4475" s="154" t="s">
        <v>232</v>
      </c>
      <c r="F4475" s="180"/>
    </row>
    <row r="4476" customHeight="1" spans="1:6">
      <c r="A4476" s="9" t="s">
        <v>15295</v>
      </c>
      <c r="B4476" s="197" t="s">
        <v>15296</v>
      </c>
      <c r="C4476" s="196" t="s">
        <v>15297</v>
      </c>
      <c r="D4476" s="197" t="s">
        <v>15298</v>
      </c>
      <c r="E4476" s="197" t="s">
        <v>561</v>
      </c>
      <c r="F4476" s="197"/>
    </row>
    <row r="4477" customHeight="1" spans="1:6">
      <c r="A4477" s="9" t="s">
        <v>15299</v>
      </c>
      <c r="B4477" s="253" t="s">
        <v>15300</v>
      </c>
      <c r="C4477" s="253" t="s">
        <v>15301</v>
      </c>
      <c r="D4477" s="279"/>
      <c r="E4477" s="240" t="s">
        <v>92</v>
      </c>
      <c r="F4477" s="240"/>
    </row>
    <row r="4478" customHeight="1" spans="1:6">
      <c r="A4478" s="9" t="s">
        <v>15302</v>
      </c>
      <c r="B4478" s="195" t="s">
        <v>15303</v>
      </c>
      <c r="C4478" s="203" t="s">
        <v>15304</v>
      </c>
      <c r="D4478" s="197"/>
      <c r="E4478" s="197" t="s">
        <v>253</v>
      </c>
      <c r="F4478" s="197"/>
    </row>
    <row r="4479" customHeight="1" spans="1:6">
      <c r="A4479" s="9" t="s">
        <v>15305</v>
      </c>
      <c r="B4479" s="194" t="s">
        <v>15306</v>
      </c>
      <c r="C4479" s="203" t="s">
        <v>15307</v>
      </c>
      <c r="D4479" s="194"/>
      <c r="E4479" s="194" t="s">
        <v>273</v>
      </c>
      <c r="F4479" s="194"/>
    </row>
    <row r="4480" customHeight="1" spans="1:6">
      <c r="A4480" s="9" t="s">
        <v>15308</v>
      </c>
      <c r="B4480" s="214" t="s">
        <v>15309</v>
      </c>
      <c r="C4480" s="214" t="s">
        <v>15310</v>
      </c>
      <c r="D4480" s="194"/>
      <c r="E4480" s="204" t="s">
        <v>92</v>
      </c>
      <c r="F4480" s="204"/>
    </row>
    <row r="4481" customHeight="1" spans="1:6">
      <c r="A4481" s="9" t="s">
        <v>15311</v>
      </c>
      <c r="B4481" s="214" t="s">
        <v>15312</v>
      </c>
      <c r="C4481" s="214" t="s">
        <v>15313</v>
      </c>
      <c r="D4481" s="194"/>
      <c r="E4481" s="204" t="s">
        <v>92</v>
      </c>
      <c r="F4481" s="204"/>
    </row>
    <row r="4482" customHeight="1" spans="1:6">
      <c r="A4482" s="9" t="s">
        <v>15314</v>
      </c>
      <c r="B4482" s="222" t="str">
        <f>IFERROR(__xludf.DUMMYFUNCTION("""COMPUTED_VALUE"""),"Bilen Fiseha Alemu /WO")</f>
        <v>Bilen Fiseha Alemu /WO</v>
      </c>
      <c r="C4482" s="222" t="str">
        <f>IFERROR(__xludf.DUMMYFUNCTION("""COMPUTED_VALUE"""),"ብሌን ፍስሀ አለሙ /ወሮ")</f>
        <v>ብሌን ፍስሀ አለሙ /ወሮ</v>
      </c>
      <c r="D4482" s="222" t="str">
        <f>IFERROR(__xludf.DUMMYFUNCTION("""COMPUTED_VALUE"""),"0922-216854")</f>
        <v>0922-216854</v>
      </c>
      <c r="E4482" s="222" t="str">
        <f>IFERROR(__xludf.DUMMYFUNCTION("""COMPUTED_VALUE"""),"A/A")</f>
        <v>A/A</v>
      </c>
      <c r="F4482" s="222"/>
    </row>
    <row r="4483" customHeight="1" spans="1:6">
      <c r="A4483" s="9" t="s">
        <v>15315</v>
      </c>
      <c r="B4483" s="195" t="s">
        <v>15316</v>
      </c>
      <c r="C4483" s="203" t="s">
        <v>15317</v>
      </c>
      <c r="D4483" s="197"/>
      <c r="E4483" s="197" t="s">
        <v>253</v>
      </c>
      <c r="F4483" s="197"/>
    </row>
    <row r="4484" customHeight="1" spans="1:6">
      <c r="A4484" s="9" t="s">
        <v>15318</v>
      </c>
      <c r="B4484" s="160" t="s">
        <v>15319</v>
      </c>
      <c r="C4484" s="160" t="s">
        <v>15320</v>
      </c>
      <c r="D4484" s="204" t="s">
        <v>15321</v>
      </c>
      <c r="E4484" s="204" t="s">
        <v>92</v>
      </c>
      <c r="F4484" s="204"/>
    </row>
    <row r="4485" customHeight="1" spans="1:6">
      <c r="A4485" s="9" t="s">
        <v>15322</v>
      </c>
      <c r="B4485" s="223" t="s">
        <v>15323</v>
      </c>
      <c r="C4485" s="223" t="s">
        <v>15324</v>
      </c>
      <c r="D4485" s="194"/>
      <c r="E4485" s="204" t="s">
        <v>92</v>
      </c>
      <c r="F4485" s="204"/>
    </row>
    <row r="4486" customHeight="1" spans="1:6">
      <c r="A4486" s="9" t="s">
        <v>15325</v>
      </c>
      <c r="B4486" s="200" t="s">
        <v>15326</v>
      </c>
      <c r="C4486" s="202" t="s">
        <v>15327</v>
      </c>
      <c r="D4486" s="152"/>
      <c r="E4486" s="154" t="s">
        <v>104</v>
      </c>
      <c r="F4486" s="180"/>
    </row>
    <row r="4487" customHeight="1" spans="1:6">
      <c r="A4487" s="9" t="s">
        <v>15328</v>
      </c>
      <c r="B4487" s="153" t="s">
        <v>15329</v>
      </c>
      <c r="C4487" s="202" t="s">
        <v>15330</v>
      </c>
      <c r="D4487" s="154"/>
      <c r="E4487" s="154" t="s">
        <v>1218</v>
      </c>
      <c r="F4487" s="180"/>
    </row>
    <row r="4488" customHeight="1" spans="1:6">
      <c r="A4488" s="9" t="s">
        <v>15331</v>
      </c>
      <c r="B4488" s="195" t="s">
        <v>15332</v>
      </c>
      <c r="C4488" s="196" t="s">
        <v>15333</v>
      </c>
      <c r="D4488" s="197"/>
      <c r="E4488" s="198" t="s">
        <v>351</v>
      </c>
      <c r="F4488" s="199"/>
    </row>
    <row r="4489" customHeight="1" spans="1:6">
      <c r="A4489" s="9" t="s">
        <v>15334</v>
      </c>
      <c r="B4489" s="195" t="s">
        <v>15335</v>
      </c>
      <c r="C4489" s="196" t="s">
        <v>15336</v>
      </c>
      <c r="D4489" s="197" t="s">
        <v>15337</v>
      </c>
      <c r="E4489" s="198" t="s">
        <v>310</v>
      </c>
      <c r="F4489" s="199"/>
    </row>
    <row r="4490" customHeight="1" spans="1:6">
      <c r="A4490" s="9" t="s">
        <v>15338</v>
      </c>
      <c r="B4490" s="200" t="s">
        <v>15339</v>
      </c>
      <c r="C4490" s="202" t="s">
        <v>15340</v>
      </c>
      <c r="D4490" s="152" t="s">
        <v>15341</v>
      </c>
      <c r="E4490" s="154" t="s">
        <v>232</v>
      </c>
      <c r="F4490" s="180"/>
    </row>
    <row r="4491" customHeight="1" spans="1:6">
      <c r="A4491" s="9" t="s">
        <v>15342</v>
      </c>
      <c r="B4491" s="200" t="s">
        <v>15343</v>
      </c>
      <c r="C4491" s="192" t="s">
        <v>15344</v>
      </c>
      <c r="D4491" s="194" t="s">
        <v>15345</v>
      </c>
      <c r="E4491" s="194" t="s">
        <v>125</v>
      </c>
      <c r="F4491" s="194"/>
    </row>
    <row r="4492" customHeight="1" spans="1:6">
      <c r="A4492" s="9" t="s">
        <v>15346</v>
      </c>
      <c r="B4492" s="195" t="s">
        <v>15347</v>
      </c>
      <c r="C4492" s="202" t="s">
        <v>15348</v>
      </c>
      <c r="D4492" s="152"/>
      <c r="E4492" s="154" t="s">
        <v>232</v>
      </c>
      <c r="F4492" s="180"/>
    </row>
    <row r="4493" customHeight="1" spans="1:6">
      <c r="A4493" s="9" t="s">
        <v>15349</v>
      </c>
      <c r="B4493" s="200" t="s">
        <v>15350</v>
      </c>
      <c r="C4493" s="192" t="s">
        <v>15351</v>
      </c>
      <c r="D4493" s="194" t="s">
        <v>15352</v>
      </c>
      <c r="E4493" s="194" t="s">
        <v>104</v>
      </c>
      <c r="F4493" s="194"/>
    </row>
    <row r="4494" customHeight="1" spans="1:6">
      <c r="A4494" s="9" t="s">
        <v>15353</v>
      </c>
      <c r="B4494" s="222" t="str">
        <f>IFERROR(__xludf.DUMMYFUNCTION("""COMPUTED_VALUE"""),"Bin Murid Hasen")</f>
        <v>Bin Murid Hasen</v>
      </c>
      <c r="C4494" s="222" t="str">
        <f>IFERROR(__xludf.DUMMYFUNCTION("""COMPUTED_VALUE"""),"ቢን ሙሪድ ሃሰን")</f>
        <v>ቢን ሙሪድ ሃሰን</v>
      </c>
      <c r="D4494" s="222" t="str">
        <f>IFERROR(__xludf.DUMMYFUNCTION("""COMPUTED_VALUE"""),"0953-949494")</f>
        <v>0953-949494</v>
      </c>
      <c r="E4494" s="222" t="str">
        <f>IFERROR(__xludf.DUMMYFUNCTION("""COMPUTED_VALUE"""),"Addis Ababa")</f>
        <v>Addis Ababa</v>
      </c>
      <c r="F4494" s="222" t="str">
        <f>IFERROR(__xludf.DUMMYFUNCTION("""COMPUTED_VALUE"""),"muridbin085@gmail.com")</f>
        <v>muridbin085@gmail.com</v>
      </c>
    </row>
    <row r="4495" customHeight="1" spans="1:6">
      <c r="A4495" s="9" t="s">
        <v>15354</v>
      </c>
      <c r="B4495" s="200" t="s">
        <v>15355</v>
      </c>
      <c r="C4495" s="202" t="s">
        <v>15356</v>
      </c>
      <c r="D4495" s="152" t="s">
        <v>15357</v>
      </c>
      <c r="E4495" s="154" t="s">
        <v>232</v>
      </c>
      <c r="F4495" s="180"/>
    </row>
    <row r="4496" customHeight="1" spans="1:6">
      <c r="A4496" s="9" t="s">
        <v>15358</v>
      </c>
      <c r="B4496" s="200" t="s">
        <v>15359</v>
      </c>
      <c r="C4496" s="202" t="s">
        <v>15360</v>
      </c>
      <c r="D4496" s="152"/>
      <c r="E4496" s="154"/>
      <c r="F4496" s="180"/>
    </row>
    <row r="4497" customHeight="1" spans="1:6">
      <c r="A4497" s="9" t="s">
        <v>15361</v>
      </c>
      <c r="B4497" s="160" t="s">
        <v>15362</v>
      </c>
      <c r="C4497" s="160" t="s">
        <v>15363</v>
      </c>
      <c r="D4497" s="204" t="s">
        <v>15364</v>
      </c>
      <c r="E4497" s="204" t="s">
        <v>92</v>
      </c>
      <c r="F4497" s="204"/>
    </row>
    <row r="4498" customHeight="1" spans="1:6">
      <c r="A4498" s="9" t="s">
        <v>15365</v>
      </c>
      <c r="B4498" s="215" t="s">
        <v>15366</v>
      </c>
      <c r="C4498" s="205" t="s">
        <v>15367</v>
      </c>
      <c r="D4498" s="342" t="s">
        <v>15368</v>
      </c>
      <c r="E4498" s="193" t="s">
        <v>120</v>
      </c>
      <c r="F4498" s="216"/>
    </row>
    <row r="4499" customHeight="1" spans="1:6">
      <c r="A4499" s="9" t="s">
        <v>15369</v>
      </c>
      <c r="B4499" s="215" t="s">
        <v>15370</v>
      </c>
      <c r="C4499" s="205" t="s">
        <v>15371</v>
      </c>
      <c r="D4499" s="227" t="s">
        <v>15372</v>
      </c>
      <c r="E4499" s="193" t="s">
        <v>120</v>
      </c>
      <c r="F4499" s="221" t="s">
        <v>15373</v>
      </c>
    </row>
    <row r="4500" customHeight="1" spans="1:6">
      <c r="A4500" s="9" t="s">
        <v>15374</v>
      </c>
      <c r="B4500" s="214" t="s">
        <v>15375</v>
      </c>
      <c r="C4500" s="214" t="s">
        <v>15376</v>
      </c>
      <c r="D4500" s="194"/>
      <c r="E4500" s="204" t="s">
        <v>92</v>
      </c>
      <c r="F4500" s="204"/>
    </row>
    <row r="4501" customHeight="1" spans="1:6">
      <c r="A4501" s="9" t="s">
        <v>15377</v>
      </c>
      <c r="B4501" s="220" t="str">
        <f>IFERROR(__xludf.DUMMYFUNCTION("""COMPUTED_VALUE"""),"Bini Abdureshid Dini")</f>
        <v>Bini Abdureshid Dini</v>
      </c>
      <c r="C4501" s="220" t="str">
        <f>IFERROR(__xludf.DUMMYFUNCTION("""COMPUTED_VALUE"""),"ቢኒ አ/ረሺድ ዲኒ")</f>
        <v>ቢኒ አ/ረሺድ ዲኒ</v>
      </c>
      <c r="D4501" s="220" t="str">
        <f>IFERROR(__xludf.DUMMYFUNCTION("""COMPUTED_VALUE"""),"915766029")</f>
        <v>915766029</v>
      </c>
      <c r="E4501" s="220" t="str">
        <f>IFERROR(__xludf.DUMMYFUNCTION("""COMPUTED_VALUE"""),"Harer")</f>
        <v>Harer</v>
      </c>
      <c r="F4501" s="220"/>
    </row>
    <row r="4502" customHeight="1" spans="1:6">
      <c r="A4502" s="9" t="s">
        <v>15378</v>
      </c>
      <c r="B4502" s="214" t="s">
        <v>15379</v>
      </c>
      <c r="C4502" s="214" t="s">
        <v>15380</v>
      </c>
      <c r="D4502" s="194"/>
      <c r="E4502" s="204" t="s">
        <v>92</v>
      </c>
      <c r="F4502" s="204"/>
    </row>
    <row r="4503" customHeight="1" spans="1:6">
      <c r="A4503" s="9" t="s">
        <v>15381</v>
      </c>
      <c r="B4503" s="223" t="s">
        <v>15382</v>
      </c>
      <c r="C4503" s="223" t="s">
        <v>15383</v>
      </c>
      <c r="D4503" s="204" t="s">
        <v>15384</v>
      </c>
      <c r="E4503" s="204" t="s">
        <v>92</v>
      </c>
      <c r="F4503" s="204"/>
    </row>
    <row r="4504" customHeight="1" spans="1:6">
      <c r="A4504" s="9" t="s">
        <v>15385</v>
      </c>
      <c r="B4504" s="222" t="str">
        <f>IFERROR(__xludf.DUMMYFUNCTION("""COMPUTED_VALUE"""),"Biniam Bekele Demmo")</f>
        <v>Biniam Bekele Demmo</v>
      </c>
      <c r="C4504" s="222" t="str">
        <f>IFERROR(__xludf.DUMMYFUNCTION("""COMPUTED_VALUE"""),"ቢኒያም በቀለ ደሞ")</f>
        <v>ቢኒያም በቀለ ደሞ</v>
      </c>
      <c r="D4504" s="222" t="str">
        <f>IFERROR(__xludf.DUMMYFUNCTION("""COMPUTED_VALUE"""),"911186880")</f>
        <v>911186880</v>
      </c>
      <c r="E4504" s="222" t="str">
        <f>IFERROR(__xludf.DUMMYFUNCTION("""COMPUTED_VALUE"""),"Addis Ababa")</f>
        <v>Addis Ababa</v>
      </c>
      <c r="F4504" s="222"/>
    </row>
    <row r="4505" customHeight="1" spans="1:6">
      <c r="A4505" s="9" t="s">
        <v>15386</v>
      </c>
      <c r="B4505" s="205" t="s">
        <v>15387</v>
      </c>
      <c r="C4505" s="205" t="s">
        <v>15388</v>
      </c>
      <c r="D4505" s="206" t="s">
        <v>15389</v>
      </c>
      <c r="E4505" s="193" t="s">
        <v>120</v>
      </c>
      <c r="F4505" s="221" t="s">
        <v>15390</v>
      </c>
    </row>
    <row r="4506" customHeight="1" spans="1:6">
      <c r="A4506" s="9" t="s">
        <v>15391</v>
      </c>
      <c r="B4506" s="241" t="s">
        <v>15392</v>
      </c>
      <c r="C4506" s="242" t="s">
        <v>15393</v>
      </c>
      <c r="D4506" s="38">
        <v>960028676</v>
      </c>
      <c r="E4506" s="37"/>
      <c r="F4506" s="308" t="s">
        <v>15394</v>
      </c>
    </row>
    <row r="4507" customHeight="1" spans="1:6">
      <c r="A4507" s="9" t="s">
        <v>15395</v>
      </c>
      <c r="B4507" s="160" t="s">
        <v>15396</v>
      </c>
      <c r="C4507" s="160" t="s">
        <v>15397</v>
      </c>
      <c r="D4507" s="204" t="s">
        <v>15398</v>
      </c>
      <c r="E4507" s="204" t="s">
        <v>92</v>
      </c>
      <c r="F4507" s="204"/>
    </row>
    <row r="4508" customHeight="1" spans="1:6">
      <c r="A4508" s="9" t="s">
        <v>15399</v>
      </c>
      <c r="B4508" s="255" t="s">
        <v>15400</v>
      </c>
      <c r="C4508" s="255" t="s">
        <v>15401</v>
      </c>
      <c r="D4508" s="256" t="s">
        <v>15402</v>
      </c>
      <c r="E4508" s="26" t="s">
        <v>1701</v>
      </c>
      <c r="F4508" s="257" t="s">
        <v>15403</v>
      </c>
    </row>
    <row r="4509" customHeight="1" spans="1:6">
      <c r="A4509" s="9" t="s">
        <v>15404</v>
      </c>
      <c r="B4509" s="205" t="s">
        <v>15405</v>
      </c>
      <c r="C4509" s="205" t="s">
        <v>15406</v>
      </c>
      <c r="D4509" s="206" t="s">
        <v>15407</v>
      </c>
      <c r="E4509" s="193" t="s">
        <v>120</v>
      </c>
      <c r="F4509" s="221"/>
    </row>
    <row r="4510" customHeight="1" spans="1:6">
      <c r="A4510" s="9" t="s">
        <v>15408</v>
      </c>
      <c r="B4510" s="223" t="s">
        <v>15409</v>
      </c>
      <c r="C4510" s="223" t="s">
        <v>15410</v>
      </c>
      <c r="D4510" s="204" t="s">
        <v>15411</v>
      </c>
      <c r="E4510" s="204" t="s">
        <v>92</v>
      </c>
      <c r="F4510" s="204"/>
    </row>
    <row r="4511" customHeight="1" spans="1:6">
      <c r="A4511" s="9" t="s">
        <v>15412</v>
      </c>
      <c r="B4511" s="219" t="s">
        <v>15413</v>
      </c>
      <c r="C4511" s="219" t="s">
        <v>15414</v>
      </c>
      <c r="D4511" s="194"/>
      <c r="E4511" s="204" t="s">
        <v>92</v>
      </c>
      <c r="F4511" s="204"/>
    </row>
    <row r="4512" customHeight="1" spans="1:6">
      <c r="A4512" s="9" t="s">
        <v>15415</v>
      </c>
      <c r="B4512" s="223" t="s">
        <v>15416</v>
      </c>
      <c r="C4512" s="223" t="s">
        <v>15417</v>
      </c>
      <c r="D4512" s="204" t="s">
        <v>15418</v>
      </c>
      <c r="E4512" s="204" t="s">
        <v>92</v>
      </c>
      <c r="F4512" s="204"/>
    </row>
    <row r="4513" customHeight="1" spans="1:6">
      <c r="A4513" s="9" t="s">
        <v>15419</v>
      </c>
      <c r="B4513" s="205" t="s">
        <v>15420</v>
      </c>
      <c r="C4513" s="205" t="s">
        <v>13904</v>
      </c>
      <c r="D4513" s="206" t="s">
        <v>15421</v>
      </c>
      <c r="E4513" s="193" t="s">
        <v>120</v>
      </c>
      <c r="F4513" s="207" t="s">
        <v>15422</v>
      </c>
    </row>
    <row r="4514" customHeight="1" spans="1:6">
      <c r="A4514" s="9" t="s">
        <v>15423</v>
      </c>
      <c r="B4514" s="255" t="s">
        <v>15424</v>
      </c>
      <c r="C4514" s="255" t="s">
        <v>15425</v>
      </c>
      <c r="D4514" s="256" t="s">
        <v>15426</v>
      </c>
      <c r="E4514" s="26" t="s">
        <v>1701</v>
      </c>
      <c r="F4514" s="290" t="s">
        <v>15427</v>
      </c>
    </row>
    <row r="4515" customHeight="1" spans="1:6">
      <c r="A4515" s="9" t="s">
        <v>15428</v>
      </c>
      <c r="B4515" s="214" t="s">
        <v>15429</v>
      </c>
      <c r="C4515" s="214" t="s">
        <v>15430</v>
      </c>
      <c r="D4515" s="194"/>
      <c r="E4515" s="204" t="s">
        <v>92</v>
      </c>
      <c r="F4515" s="204"/>
    </row>
    <row r="4516" customHeight="1" spans="1:6">
      <c r="A4516" s="9" t="s">
        <v>15431</v>
      </c>
      <c r="B4516" s="255" t="s">
        <v>15432</v>
      </c>
      <c r="C4516" s="255" t="s">
        <v>15433</v>
      </c>
      <c r="D4516" s="256" t="s">
        <v>15434</v>
      </c>
      <c r="E4516" s="26" t="s">
        <v>1701</v>
      </c>
      <c r="F4516" s="290" t="s">
        <v>15435</v>
      </c>
    </row>
    <row r="4517" customHeight="1" spans="1:6">
      <c r="A4517" s="9" t="s">
        <v>15436</v>
      </c>
      <c r="B4517" s="222" t="str">
        <f>IFERROR(__xludf.DUMMYFUNCTION("""COMPUTED_VALUE"""),"Biniam Sine Teshome")</f>
        <v>Biniam Sine Teshome</v>
      </c>
      <c r="C4517" s="222" t="str">
        <f>IFERROR(__xludf.DUMMYFUNCTION("""COMPUTED_VALUE"""),"ቢኒያም ስነ ተሾመ")</f>
        <v>ቢኒያም ስነ ተሾመ</v>
      </c>
      <c r="D4517" s="222" t="str">
        <f>IFERROR(__xludf.DUMMYFUNCTION("""COMPUTED_VALUE"""),"911317568")</f>
        <v>911317568</v>
      </c>
      <c r="E4517" s="222" t="str">
        <f>IFERROR(__xludf.DUMMYFUNCTION("""COMPUTED_VALUE"""),"asela (oromia)")</f>
        <v>asela (oromia)</v>
      </c>
      <c r="F4517" s="222"/>
    </row>
    <row r="4518" customHeight="1" spans="1:6">
      <c r="A4518" s="9" t="s">
        <v>15437</v>
      </c>
      <c r="B4518" s="223" t="s">
        <v>15438</v>
      </c>
      <c r="C4518" s="223" t="s">
        <v>15439</v>
      </c>
      <c r="D4518" s="204" t="s">
        <v>15440</v>
      </c>
      <c r="E4518" s="204" t="s">
        <v>92</v>
      </c>
      <c r="F4518" s="204"/>
    </row>
    <row r="4519" customHeight="1" spans="1:6">
      <c r="A4519" s="9" t="s">
        <v>15441</v>
      </c>
      <c r="B4519" s="214" t="s">
        <v>15442</v>
      </c>
      <c r="C4519" s="214" t="s">
        <v>15443</v>
      </c>
      <c r="D4519" s="194"/>
      <c r="E4519" s="204" t="s">
        <v>92</v>
      </c>
      <c r="F4519" s="204"/>
    </row>
    <row r="4520" customHeight="1" spans="1:6">
      <c r="A4520" s="9" t="s">
        <v>15444</v>
      </c>
      <c r="B4520" s="214" t="s">
        <v>15445</v>
      </c>
      <c r="C4520" s="214" t="s">
        <v>15446</v>
      </c>
      <c r="D4520" s="194"/>
      <c r="E4520" s="204" t="s">
        <v>92</v>
      </c>
      <c r="F4520" s="204"/>
    </row>
    <row r="4521" customHeight="1" spans="1:6">
      <c r="A4521" s="9" t="s">
        <v>15447</v>
      </c>
      <c r="B4521" s="214" t="s">
        <v>15448</v>
      </c>
      <c r="C4521" s="214" t="s">
        <v>15449</v>
      </c>
      <c r="D4521" s="194"/>
      <c r="E4521" s="204" t="s">
        <v>92</v>
      </c>
      <c r="F4521" s="204"/>
    </row>
    <row r="4522" customHeight="1" spans="1:6">
      <c r="A4522" s="9" t="s">
        <v>15450</v>
      </c>
      <c r="B4522" s="214" t="s">
        <v>15451</v>
      </c>
      <c r="C4522" s="214" t="s">
        <v>15452</v>
      </c>
      <c r="D4522" s="194"/>
      <c r="E4522" s="204" t="s">
        <v>92</v>
      </c>
      <c r="F4522" s="204"/>
    </row>
    <row r="4523" customHeight="1" spans="1:6">
      <c r="A4523" s="9" t="s">
        <v>15453</v>
      </c>
      <c r="B4523" s="225" t="s">
        <v>15454</v>
      </c>
      <c r="C4523" s="225" t="s">
        <v>15455</v>
      </c>
      <c r="D4523" s="228" t="s">
        <v>15456</v>
      </c>
      <c r="E4523" s="229" t="s">
        <v>120</v>
      </c>
      <c r="F4523" s="230"/>
    </row>
    <row r="4524" customHeight="1" spans="1:6">
      <c r="A4524" s="9" t="s">
        <v>15457</v>
      </c>
      <c r="B4524" s="222" t="str">
        <f>IFERROR(__xludf.DUMMYFUNCTION("""COMPUTED_VALUE"""),"Biniyam Ambelu")</f>
        <v>Biniyam Ambelu</v>
      </c>
      <c r="C4524" s="222" t="str">
        <f>IFERROR(__xludf.DUMMYFUNCTION("""COMPUTED_VALUE"""),"ቢኒያም አምበሉ በላቸው /አቶ/")</f>
        <v>ቢኒያም አምበሉ በላቸው /አቶ/</v>
      </c>
      <c r="D4524" s="222" t="str">
        <f>IFERROR(__xludf.DUMMYFUNCTION("""COMPUTED_VALUE"""),"0913111142
0911822623")</f>
        <v>0913111142
0911822623</v>
      </c>
      <c r="E4524" s="222" t="str">
        <f>IFERROR(__xludf.DUMMYFUNCTION("""COMPUTED_VALUE"""),"addis abeba")</f>
        <v>addis abeba</v>
      </c>
      <c r="F4524" s="222" t="str">
        <f>IFERROR(__xludf.DUMMYFUNCTION("""COMPUTED_VALUE"""),"binijesus207@gmail.com")</f>
        <v>binijesus207@gmail.com</v>
      </c>
    </row>
    <row r="4525" customHeight="1" spans="1:6">
      <c r="A4525" s="9" t="s">
        <v>15458</v>
      </c>
      <c r="B4525" s="276" t="str">
        <f>IFERROR(__xludf.DUMMYFUNCTION("""COMPUTED_VALUE"""),"Biniyam Anteneh Yemane /Ato")</f>
        <v>Biniyam Anteneh Yemane /Ato</v>
      </c>
      <c r="C4525" s="276" t="str">
        <f>IFERROR(__xludf.DUMMYFUNCTION("""COMPUTED_VALUE"""),"ቢኒያም አንተነህ የማነ /አቶ")</f>
        <v>ቢኒያም አንተነህ የማነ /አቶ</v>
      </c>
      <c r="D4525" s="276" t="str">
        <f>IFERROR(__xludf.DUMMYFUNCTION("""COMPUTED_VALUE"""),"0911-627364")</f>
        <v>0911-627364</v>
      </c>
      <c r="E4525" s="276" t="str">
        <f>IFERROR(__xludf.DUMMYFUNCTION("""COMPUTED_VALUE"""),"Addis Ababa")</f>
        <v>Addis Ababa</v>
      </c>
      <c r="F4525" s="276"/>
    </row>
    <row r="4526" customHeight="1" spans="1:6">
      <c r="A4526" s="9" t="s">
        <v>15459</v>
      </c>
      <c r="B4526" s="214" t="s">
        <v>15460</v>
      </c>
      <c r="C4526" s="214" t="s">
        <v>15461</v>
      </c>
      <c r="D4526" s="194"/>
      <c r="E4526" s="204" t="s">
        <v>92</v>
      </c>
      <c r="F4526" s="204"/>
    </row>
    <row r="4527" customHeight="1" spans="1:6">
      <c r="A4527" s="9" t="s">
        <v>15462</v>
      </c>
      <c r="B4527" s="201" t="s">
        <v>15463</v>
      </c>
      <c r="C4527" s="202" t="s">
        <v>15464</v>
      </c>
      <c r="D4527" s="154"/>
      <c r="E4527" s="154" t="s">
        <v>243</v>
      </c>
      <c r="F4527" s="180"/>
    </row>
    <row r="4528" customHeight="1" spans="1:6">
      <c r="A4528" s="9" t="s">
        <v>15465</v>
      </c>
      <c r="B4528" s="222" t="str">
        <f>IFERROR(__xludf.DUMMYFUNCTION("""COMPUTED_VALUE"""),"Biniyam Bekele Demo")</f>
        <v>Biniyam Bekele Demo</v>
      </c>
      <c r="C4528" s="222" t="str">
        <f>IFERROR(__xludf.DUMMYFUNCTION("""COMPUTED_VALUE"""),"ቢኒያም በቀለ ደሞ")</f>
        <v>ቢኒያም በቀለ ደሞ</v>
      </c>
      <c r="D4528" s="222" t="str">
        <f>IFERROR(__xludf.DUMMYFUNCTION("""COMPUTED_VALUE"""),"911-186880")</f>
        <v>911-186880</v>
      </c>
      <c r="E4528" s="222" t="str">
        <f>IFERROR(__xludf.DUMMYFUNCTION("""COMPUTED_VALUE"""),"Addis Ababa")</f>
        <v>Addis Ababa</v>
      </c>
      <c r="F4528" s="222"/>
    </row>
    <row r="4529" customHeight="1" spans="1:6">
      <c r="A4529" s="9" t="s">
        <v>15466</v>
      </c>
      <c r="B4529" s="214" t="s">
        <v>15467</v>
      </c>
      <c r="C4529" s="214" t="s">
        <v>15468</v>
      </c>
      <c r="D4529" s="194"/>
      <c r="E4529" s="204" t="s">
        <v>92</v>
      </c>
      <c r="F4529" s="204"/>
    </row>
    <row r="4530" customHeight="1" spans="1:6">
      <c r="A4530" s="9" t="s">
        <v>15469</v>
      </c>
      <c r="B4530" s="256" t="s">
        <v>15470</v>
      </c>
      <c r="C4530" s="256" t="s">
        <v>15471</v>
      </c>
      <c r="D4530" s="194"/>
      <c r="E4530" s="204" t="s">
        <v>92</v>
      </c>
      <c r="F4530" s="204"/>
    </row>
    <row r="4531" customHeight="1" spans="1:6">
      <c r="A4531" s="9" t="s">
        <v>15472</v>
      </c>
      <c r="B4531" s="253" t="s">
        <v>15473</v>
      </c>
      <c r="C4531" s="253" t="s">
        <v>15474</v>
      </c>
      <c r="D4531" s="240">
        <v>913486998</v>
      </c>
      <c r="E4531" s="240" t="s">
        <v>92</v>
      </c>
      <c r="F4531" s="240"/>
    </row>
    <row r="4532" customHeight="1" spans="1:6">
      <c r="A4532" s="9" t="s">
        <v>15475</v>
      </c>
      <c r="B4532" s="255" t="s">
        <v>15476</v>
      </c>
      <c r="C4532" s="255" t="s">
        <v>15477</v>
      </c>
      <c r="D4532" s="256" t="s">
        <v>15478</v>
      </c>
      <c r="E4532" s="26" t="s">
        <v>1701</v>
      </c>
      <c r="F4532" s="263"/>
    </row>
    <row r="4533" customHeight="1" spans="1:6">
      <c r="A4533" s="9" t="s">
        <v>15479</v>
      </c>
      <c r="B4533" s="201" t="s">
        <v>15480</v>
      </c>
      <c r="C4533" s="202" t="s">
        <v>15481</v>
      </c>
      <c r="D4533" s="154" t="s">
        <v>15482</v>
      </c>
      <c r="E4533" s="154"/>
      <c r="F4533" s="180"/>
    </row>
    <row r="4534" customHeight="1" spans="1:6">
      <c r="A4534" s="9" t="s">
        <v>15483</v>
      </c>
      <c r="B4534" s="160" t="s">
        <v>15484</v>
      </c>
      <c r="C4534" s="160" t="s">
        <v>15485</v>
      </c>
      <c r="D4534" s="204" t="s">
        <v>15486</v>
      </c>
      <c r="E4534" s="204" t="s">
        <v>92</v>
      </c>
      <c r="F4534" s="204"/>
    </row>
    <row r="4535" customHeight="1" spans="1:6">
      <c r="A4535" s="9" t="s">
        <v>15487</v>
      </c>
      <c r="B4535" s="200" t="s">
        <v>15488</v>
      </c>
      <c r="C4535" s="202" t="s">
        <v>15489</v>
      </c>
      <c r="D4535" s="152" t="s">
        <v>1143</v>
      </c>
      <c r="E4535" s="154" t="s">
        <v>479</v>
      </c>
      <c r="F4535" s="180"/>
    </row>
    <row r="4536" customHeight="1" spans="1:6">
      <c r="A4536" s="9" t="s">
        <v>15490</v>
      </c>
      <c r="B4536" s="160" t="s">
        <v>15491</v>
      </c>
      <c r="C4536" s="160" t="s">
        <v>15492</v>
      </c>
      <c r="D4536" s="204" t="s">
        <v>15493</v>
      </c>
      <c r="E4536" s="204" t="s">
        <v>92</v>
      </c>
      <c r="F4536" s="204"/>
    </row>
    <row r="4537" customHeight="1" spans="1:6">
      <c r="A4537" s="9" t="s">
        <v>15494</v>
      </c>
      <c r="B4537" s="215" t="s">
        <v>15495</v>
      </c>
      <c r="C4537" s="205" t="s">
        <v>15496</v>
      </c>
      <c r="D4537" s="342" t="s">
        <v>15497</v>
      </c>
      <c r="E4537" s="193" t="s">
        <v>120</v>
      </c>
      <c r="F4537" s="216"/>
    </row>
    <row r="4538" customHeight="1" spans="1:6">
      <c r="A4538" s="9" t="s">
        <v>15498</v>
      </c>
      <c r="B4538" s="214" t="s">
        <v>15499</v>
      </c>
      <c r="C4538" s="214" t="s">
        <v>15500</v>
      </c>
      <c r="D4538" s="194"/>
      <c r="E4538" s="204" t="s">
        <v>92</v>
      </c>
      <c r="F4538" s="204"/>
    </row>
    <row r="4539" customHeight="1" spans="1:6">
      <c r="A4539" s="9" t="s">
        <v>15501</v>
      </c>
      <c r="B4539" s="214" t="s">
        <v>15502</v>
      </c>
      <c r="C4539" s="214" t="s">
        <v>15503</v>
      </c>
      <c r="D4539" s="194"/>
      <c r="E4539" s="204" t="s">
        <v>92</v>
      </c>
      <c r="F4539" s="204"/>
    </row>
    <row r="4540" customHeight="1" spans="1:6">
      <c r="A4540" s="9" t="s">
        <v>15504</v>
      </c>
      <c r="B4540" s="233" t="s">
        <v>15505</v>
      </c>
      <c r="C4540" s="233" t="s">
        <v>15506</v>
      </c>
      <c r="D4540" s="204" t="s">
        <v>15507</v>
      </c>
      <c r="E4540" s="204" t="s">
        <v>92</v>
      </c>
      <c r="F4540" s="204" t="s">
        <v>15508</v>
      </c>
    </row>
    <row r="4541" customHeight="1" spans="1:6">
      <c r="A4541" s="9" t="s">
        <v>15509</v>
      </c>
      <c r="B4541" s="214" t="s">
        <v>15510</v>
      </c>
      <c r="C4541" s="214" t="s">
        <v>15511</v>
      </c>
      <c r="D4541" s="194"/>
      <c r="E4541" s="204" t="s">
        <v>92</v>
      </c>
      <c r="F4541" s="204"/>
    </row>
    <row r="4542" customHeight="1" spans="1:6">
      <c r="A4542" s="9" t="s">
        <v>15512</v>
      </c>
      <c r="B4542" s="222" t="str">
        <f>IFERROR(__xludf.DUMMYFUNCTION("""COMPUTED_VALUE"""),"Biniyam Teka Kebede /Ato")</f>
        <v>Biniyam Teka Kebede /Ato</v>
      </c>
      <c r="C4542" s="222" t="str">
        <f>IFERROR(__xludf.DUMMYFUNCTION("""COMPUTED_VALUE"""),"ቢኒያም ተካ ከበደ /አቶ")</f>
        <v>ቢኒያም ተካ ከበደ /አቶ</v>
      </c>
      <c r="D4542" s="222" t="str">
        <f>IFERROR(__xludf.DUMMYFUNCTION("""COMPUTED_VALUE"""),"0913-293585")</f>
        <v>0913-293585</v>
      </c>
      <c r="E4542" s="222" t="str">
        <f>IFERROR(__xludf.DUMMYFUNCTION("""COMPUTED_VALUE"""),"addis abeba")</f>
        <v>addis abeba</v>
      </c>
      <c r="F4542" s="222" t="str">
        <f>IFERROR(__xludf.DUMMYFUNCTION("""COMPUTED_VALUE"""),"vitviabin2013@gmail.com")</f>
        <v>vitviabin2013@gmail.com</v>
      </c>
    </row>
    <row r="4543" customHeight="1" spans="1:6">
      <c r="A4543" s="9" t="s">
        <v>15513</v>
      </c>
      <c r="B4543" s="205" t="s">
        <v>15514</v>
      </c>
      <c r="C4543" s="205" t="s">
        <v>15515</v>
      </c>
      <c r="D4543" s="206" t="s">
        <v>15516</v>
      </c>
      <c r="E4543" s="193" t="s">
        <v>120</v>
      </c>
      <c r="F4543" s="221" t="s">
        <v>15517</v>
      </c>
    </row>
    <row r="4544" customHeight="1" spans="1:6">
      <c r="A4544" s="9" t="s">
        <v>15518</v>
      </c>
      <c r="B4544" s="223" t="s">
        <v>15519</v>
      </c>
      <c r="C4544" s="223" t="s">
        <v>15520</v>
      </c>
      <c r="D4544" s="204" t="s">
        <v>15521</v>
      </c>
      <c r="E4544" s="204" t="s">
        <v>92</v>
      </c>
      <c r="F4544" s="204"/>
    </row>
    <row r="4545" customHeight="1" spans="1:6">
      <c r="A4545" s="9" t="s">
        <v>15522</v>
      </c>
      <c r="B4545" s="205" t="s">
        <v>15523</v>
      </c>
      <c r="C4545" s="205" t="s">
        <v>15524</v>
      </c>
      <c r="D4545" s="206" t="s">
        <v>15525</v>
      </c>
      <c r="E4545" s="193" t="s">
        <v>120</v>
      </c>
      <c r="F4545" s="239"/>
    </row>
    <row r="4546" customHeight="1" spans="1:6">
      <c r="A4546" s="9" t="s">
        <v>15526</v>
      </c>
      <c r="B4546" s="219" t="s">
        <v>15527</v>
      </c>
      <c r="C4546" s="219" t="s">
        <v>15528</v>
      </c>
      <c r="D4546" s="194"/>
      <c r="E4546" s="204" t="s">
        <v>92</v>
      </c>
      <c r="F4546" s="204"/>
    </row>
    <row r="4547" customHeight="1" spans="1:6">
      <c r="A4547" s="9" t="s">
        <v>15529</v>
      </c>
      <c r="B4547" s="195" t="s">
        <v>15530</v>
      </c>
      <c r="C4547" s="202" t="s">
        <v>15531</v>
      </c>
      <c r="D4547" s="341" t="s">
        <v>15532</v>
      </c>
      <c r="E4547" s="154" t="s">
        <v>1218</v>
      </c>
      <c r="F4547" s="180"/>
    </row>
    <row r="4548" customHeight="1" spans="1:6">
      <c r="A4548" s="9" t="s">
        <v>15533</v>
      </c>
      <c r="B4548" s="214" t="s">
        <v>15534</v>
      </c>
      <c r="C4548" s="214" t="s">
        <v>15535</v>
      </c>
      <c r="D4548" s="223" t="s">
        <v>15536</v>
      </c>
      <c r="E4548" s="204" t="s">
        <v>92</v>
      </c>
      <c r="F4548" s="204"/>
    </row>
    <row r="4549" customHeight="1" spans="1:6">
      <c r="A4549" s="9" t="s">
        <v>15537</v>
      </c>
      <c r="B4549" s="233" t="s">
        <v>15538</v>
      </c>
      <c r="C4549" s="233" t="s">
        <v>15539</v>
      </c>
      <c r="D4549" s="204" t="s">
        <v>15540</v>
      </c>
      <c r="E4549" s="204" t="s">
        <v>92</v>
      </c>
      <c r="F4549" s="204" t="s">
        <v>15541</v>
      </c>
    </row>
    <row r="4550" customHeight="1" spans="1:6">
      <c r="A4550" s="9" t="s">
        <v>15542</v>
      </c>
      <c r="B4550" s="195" t="s">
        <v>15543</v>
      </c>
      <c r="C4550" s="202" t="s">
        <v>15544</v>
      </c>
      <c r="D4550" s="152"/>
      <c r="E4550" s="154" t="s">
        <v>232</v>
      </c>
      <c r="F4550" s="180"/>
    </row>
    <row r="4551" customHeight="1" spans="1:6">
      <c r="A4551" s="9" t="s">
        <v>15545</v>
      </c>
      <c r="B4551" s="214" t="s">
        <v>15546</v>
      </c>
      <c r="C4551" s="214" t="s">
        <v>15547</v>
      </c>
      <c r="D4551" s="194"/>
      <c r="E4551" s="204" t="s">
        <v>92</v>
      </c>
      <c r="F4551" s="204"/>
    </row>
    <row r="4552" customHeight="1" spans="1:6">
      <c r="A4552" s="9" t="s">
        <v>15548</v>
      </c>
      <c r="B4552" s="231" t="str">
        <f>IFERROR(__xludf.DUMMYFUNCTION("""COMPUTED_VALUE"""),"Binyam Andarge Guangul /Ato")</f>
        <v>Binyam Andarge Guangul /Ato</v>
      </c>
      <c r="C4552" s="231" t="str">
        <f>IFERROR(__xludf.DUMMYFUNCTION("""COMPUTED_VALUE"""),"ቢኒያም አንዳርጌ ጓንጉል /አቶ")</f>
        <v>ቢኒያም አንዳርጌ ጓንጉል /አቶ</v>
      </c>
      <c r="D4552" s="231" t="str">
        <f>IFERROR(__xludf.DUMMYFUNCTION("""COMPUTED_VALUE"""),"911363649")</f>
        <v>911363649</v>
      </c>
      <c r="E4552" s="231" t="str">
        <f>IFERROR(__xludf.DUMMYFUNCTION("""COMPUTED_VALUE"""),"Addis Ababa")</f>
        <v>Addis Ababa</v>
      </c>
      <c r="F4552" s="231"/>
    </row>
    <row r="4553" customHeight="1" spans="1:6">
      <c r="A4553" s="9" t="s">
        <v>15549</v>
      </c>
      <c r="B4553" s="215" t="s">
        <v>15550</v>
      </c>
      <c r="C4553" s="205" t="s">
        <v>15551</v>
      </c>
      <c r="D4553" s="227" t="s">
        <v>13887</v>
      </c>
      <c r="E4553" s="193" t="s">
        <v>120</v>
      </c>
      <c r="F4553" s="216" t="s">
        <v>15552</v>
      </c>
    </row>
    <row r="4554" customHeight="1" spans="1:6">
      <c r="A4554" s="9" t="s">
        <v>15553</v>
      </c>
      <c r="B4554" s="214" t="s">
        <v>15554</v>
      </c>
      <c r="C4554" s="214" t="s">
        <v>15555</v>
      </c>
      <c r="D4554" s="194"/>
      <c r="E4554" s="204" t="s">
        <v>92</v>
      </c>
      <c r="F4554" s="204"/>
    </row>
    <row r="4555" customHeight="1" spans="1:6">
      <c r="A4555" s="9" t="s">
        <v>15556</v>
      </c>
      <c r="B4555" s="205" t="s">
        <v>15557</v>
      </c>
      <c r="C4555" s="205" t="s">
        <v>15558</v>
      </c>
      <c r="D4555" s="206" t="s">
        <v>15559</v>
      </c>
      <c r="E4555" s="193" t="s">
        <v>120</v>
      </c>
      <c r="F4555" s="239"/>
    </row>
    <row r="4556" customHeight="1" spans="1:6">
      <c r="A4556" s="9" t="s">
        <v>15560</v>
      </c>
      <c r="B4556" s="222" t="str">
        <f>IFERROR(__xludf.DUMMYFUNCTION("""COMPUTED_VALUE"""),"Binyam Girma Weldemariam")</f>
        <v>Binyam Girma Weldemariam</v>
      </c>
      <c r="C4556" s="222" t="str">
        <f>IFERROR(__xludf.DUMMYFUNCTION("""COMPUTED_VALUE"""),"ቢኒያም ግርማ ወልደማሪያም")</f>
        <v>ቢኒያም ግርማ ወልደማሪያም</v>
      </c>
      <c r="D4556" s="222" t="str">
        <f>IFERROR(__xludf.DUMMYFUNCTION("""COMPUTED_VALUE"""),"0911-228646")</f>
        <v>0911-228646</v>
      </c>
      <c r="E4556" s="222" t="str">
        <f>IFERROR(__xludf.DUMMYFUNCTION("""COMPUTED_VALUE"""),"Adiss Abeba")</f>
        <v>Adiss Abeba</v>
      </c>
      <c r="F4556" s="222" t="str">
        <f>IFERROR(__xludf.DUMMYFUNCTION("""COMPUTED_VALUE"""),"bgirma62@Yahoo.com")</f>
        <v>bgirma62@Yahoo.com</v>
      </c>
    </row>
    <row r="4557" customHeight="1" spans="1:6">
      <c r="A4557" s="9" t="s">
        <v>15561</v>
      </c>
      <c r="B4557" s="195" t="s">
        <v>15562</v>
      </c>
      <c r="C4557" s="202" t="s">
        <v>15563</v>
      </c>
      <c r="D4557" s="152"/>
      <c r="E4557" s="154" t="s">
        <v>232</v>
      </c>
      <c r="F4557" s="180"/>
    </row>
    <row r="4558" customHeight="1" spans="1:6">
      <c r="A4558" s="9" t="s">
        <v>15564</v>
      </c>
      <c r="B4558" s="160" t="s">
        <v>15565</v>
      </c>
      <c r="C4558" s="160" t="s">
        <v>15566</v>
      </c>
      <c r="D4558" s="204" t="s">
        <v>15567</v>
      </c>
      <c r="E4558" s="204" t="s">
        <v>92</v>
      </c>
      <c r="F4558" s="204"/>
    </row>
    <row r="4559" customHeight="1" spans="1:6">
      <c r="A4559" s="9" t="s">
        <v>15568</v>
      </c>
      <c r="B4559" s="205" t="s">
        <v>15569</v>
      </c>
      <c r="C4559" s="205" t="s">
        <v>15570</v>
      </c>
      <c r="D4559" s="206" t="s">
        <v>15571</v>
      </c>
      <c r="E4559" s="193" t="s">
        <v>120</v>
      </c>
      <c r="F4559" s="267"/>
    </row>
    <row r="4560" customHeight="1" spans="1:6">
      <c r="A4560" s="9" t="s">
        <v>15572</v>
      </c>
      <c r="B4560" s="160" t="s">
        <v>15573</v>
      </c>
      <c r="C4560" s="160" t="s">
        <v>15574</v>
      </c>
      <c r="D4560" s="204" t="s">
        <v>15575</v>
      </c>
      <c r="E4560" s="204" t="s">
        <v>92</v>
      </c>
      <c r="F4560" s="204"/>
    </row>
    <row r="4561" customHeight="1" spans="1:6">
      <c r="A4561" s="9" t="s">
        <v>15576</v>
      </c>
      <c r="B4561" s="214" t="s">
        <v>15577</v>
      </c>
      <c r="C4561" s="214" t="s">
        <v>15578</v>
      </c>
      <c r="D4561" s="194"/>
      <c r="E4561" s="204" t="s">
        <v>92</v>
      </c>
      <c r="F4561" s="204"/>
    </row>
    <row r="4562" customHeight="1" spans="1:6">
      <c r="A4562" s="9" t="s">
        <v>15579</v>
      </c>
      <c r="B4562" s="214" t="s">
        <v>15580</v>
      </c>
      <c r="C4562" s="214" t="s">
        <v>15581</v>
      </c>
      <c r="D4562" s="194"/>
      <c r="E4562" s="204" t="s">
        <v>92</v>
      </c>
      <c r="F4562" s="204"/>
    </row>
    <row r="4563" customHeight="1" spans="1:6">
      <c r="A4563" s="9" t="s">
        <v>15582</v>
      </c>
      <c r="B4563" s="215" t="s">
        <v>15583</v>
      </c>
      <c r="C4563" s="205" t="s">
        <v>15584</v>
      </c>
      <c r="D4563" s="206" t="s">
        <v>15585</v>
      </c>
      <c r="E4563" s="193" t="s">
        <v>120</v>
      </c>
      <c r="F4563" s="221" t="s">
        <v>15586</v>
      </c>
    </row>
    <row r="4564" customHeight="1" spans="1:6">
      <c r="A4564" s="9" t="s">
        <v>15587</v>
      </c>
      <c r="B4564" s="223" t="s">
        <v>15588</v>
      </c>
      <c r="C4564" s="223" t="s">
        <v>15589</v>
      </c>
      <c r="D4564" s="194"/>
      <c r="E4564" s="204" t="s">
        <v>92</v>
      </c>
      <c r="F4564" s="204"/>
    </row>
    <row r="4565" customHeight="1" spans="1:6">
      <c r="A4565" s="9" t="s">
        <v>15590</v>
      </c>
      <c r="B4565" s="204" t="s">
        <v>15591</v>
      </c>
      <c r="C4565" s="204" t="s">
        <v>15592</v>
      </c>
      <c r="D4565" s="194"/>
      <c r="E4565" s="204" t="s">
        <v>92</v>
      </c>
      <c r="F4565" s="204"/>
    </row>
    <row r="4566" customHeight="1" spans="1:6">
      <c r="A4566" s="9" t="s">
        <v>15593</v>
      </c>
      <c r="B4566" s="201" t="s">
        <v>15594</v>
      </c>
      <c r="C4566" s="202" t="s">
        <v>15595</v>
      </c>
      <c r="D4566" s="153"/>
      <c r="E4566" s="180" t="s">
        <v>104</v>
      </c>
      <c r="F4566" s="180"/>
    </row>
    <row r="4567" customHeight="1" spans="1:6">
      <c r="A4567" s="9" t="s">
        <v>15596</v>
      </c>
      <c r="B4567" s="201" t="s">
        <v>15597</v>
      </c>
      <c r="C4567" s="202" t="s">
        <v>15598</v>
      </c>
      <c r="D4567" s="154"/>
      <c r="E4567" s="154"/>
      <c r="F4567" s="180"/>
    </row>
    <row r="4568" customHeight="1" spans="1:6">
      <c r="A4568" s="9" t="s">
        <v>15599</v>
      </c>
      <c r="B4568" s="194" t="s">
        <v>15600</v>
      </c>
      <c r="C4568" s="192" t="s">
        <v>15601</v>
      </c>
      <c r="D4568" s="194"/>
      <c r="E4568" s="194" t="s">
        <v>15602</v>
      </c>
      <c r="F4568" s="194"/>
    </row>
    <row r="4569" customHeight="1" spans="1:6">
      <c r="A4569" s="9" t="s">
        <v>15603</v>
      </c>
      <c r="B4569" s="153" t="s">
        <v>15604</v>
      </c>
      <c r="C4569" s="202" t="s">
        <v>15605</v>
      </c>
      <c r="D4569" s="154"/>
      <c r="E4569" s="154" t="s">
        <v>1218</v>
      </c>
      <c r="F4569" s="180"/>
    </row>
    <row r="4570" customHeight="1" spans="1:6">
      <c r="A4570" s="9" t="s">
        <v>15606</v>
      </c>
      <c r="B4570" s="195" t="s">
        <v>15607</v>
      </c>
      <c r="C4570" s="202" t="s">
        <v>15608</v>
      </c>
      <c r="D4570" s="152"/>
      <c r="E4570" s="154" t="s">
        <v>104</v>
      </c>
      <c r="F4570" s="180"/>
    </row>
    <row r="4571" customHeight="1" spans="1:6">
      <c r="A4571" s="9" t="s">
        <v>15609</v>
      </c>
      <c r="B4571" s="195" t="s">
        <v>15610</v>
      </c>
      <c r="C4571" s="202" t="s">
        <v>15611</v>
      </c>
      <c r="D4571" s="152"/>
      <c r="E4571" s="154"/>
      <c r="F4571" s="180"/>
    </row>
    <row r="4572" customHeight="1" spans="1:6">
      <c r="A4572" s="9" t="s">
        <v>15612</v>
      </c>
      <c r="B4572" s="201" t="s">
        <v>15613</v>
      </c>
      <c r="C4572" s="202" t="s">
        <v>15614</v>
      </c>
      <c r="D4572" s="153"/>
      <c r="E4572" s="180" t="s">
        <v>104</v>
      </c>
      <c r="F4572" s="180"/>
    </row>
    <row r="4573" customHeight="1" spans="1:6">
      <c r="A4573" s="9" t="s">
        <v>15615</v>
      </c>
      <c r="B4573" s="195" t="s">
        <v>15616</v>
      </c>
      <c r="C4573" s="202" t="s">
        <v>15617</v>
      </c>
      <c r="D4573" s="152"/>
      <c r="E4573" s="154" t="s">
        <v>232</v>
      </c>
      <c r="F4573" s="180"/>
    </row>
    <row r="4574" customHeight="1" spans="1:6">
      <c r="A4574" s="9" t="s">
        <v>15618</v>
      </c>
      <c r="B4574" s="200" t="s">
        <v>15619</v>
      </c>
      <c r="C4574" s="203" t="s">
        <v>15620</v>
      </c>
      <c r="D4574" s="194"/>
      <c r="E4574" s="194" t="s">
        <v>273</v>
      </c>
      <c r="F4574" s="194"/>
    </row>
    <row r="4575" customHeight="1" spans="1:6">
      <c r="A4575" s="9" t="s">
        <v>15621</v>
      </c>
      <c r="B4575" s="195" t="s">
        <v>15622</v>
      </c>
      <c r="C4575" s="202" t="s">
        <v>15623</v>
      </c>
      <c r="D4575" s="152"/>
      <c r="E4575" s="154" t="s">
        <v>232</v>
      </c>
      <c r="F4575" s="180"/>
    </row>
    <row r="4576" customHeight="1" spans="1:6">
      <c r="A4576" s="9" t="s">
        <v>15624</v>
      </c>
      <c r="B4576" s="195" t="s">
        <v>15625</v>
      </c>
      <c r="C4576" s="202" t="s">
        <v>15626</v>
      </c>
      <c r="D4576" s="152"/>
      <c r="E4576" s="154" t="s">
        <v>232</v>
      </c>
      <c r="F4576" s="180"/>
    </row>
    <row r="4577" customHeight="1" spans="1:6">
      <c r="A4577" s="9" t="s">
        <v>15627</v>
      </c>
      <c r="B4577" s="200" t="s">
        <v>15628</v>
      </c>
      <c r="C4577" s="202" t="s">
        <v>15629</v>
      </c>
      <c r="D4577" s="154">
        <v>985965327</v>
      </c>
      <c r="E4577" s="154" t="s">
        <v>104</v>
      </c>
      <c r="F4577" s="180"/>
    </row>
    <row r="4578" customHeight="1" spans="1:6">
      <c r="A4578" s="9" t="s">
        <v>15630</v>
      </c>
      <c r="B4578" s="194" t="s">
        <v>15631</v>
      </c>
      <c r="C4578" s="203" t="s">
        <v>15632</v>
      </c>
      <c r="D4578" s="194"/>
      <c r="E4578" s="194" t="s">
        <v>273</v>
      </c>
      <c r="F4578" s="194"/>
    </row>
    <row r="4579" customHeight="1" spans="1:6">
      <c r="A4579" s="9" t="s">
        <v>15633</v>
      </c>
      <c r="B4579" s="195" t="s">
        <v>15634</v>
      </c>
      <c r="C4579" s="202" t="s">
        <v>15635</v>
      </c>
      <c r="D4579" s="152"/>
      <c r="E4579" s="154" t="s">
        <v>232</v>
      </c>
      <c r="F4579" s="180"/>
    </row>
    <row r="4580" customHeight="1" spans="1:6">
      <c r="A4580" s="9" t="s">
        <v>15636</v>
      </c>
      <c r="B4580" s="317" t="s">
        <v>15637</v>
      </c>
      <c r="C4580" s="202" t="s">
        <v>15638</v>
      </c>
      <c r="D4580" s="152"/>
      <c r="E4580" s="154" t="s">
        <v>232</v>
      </c>
      <c r="F4580" s="180"/>
    </row>
    <row r="4581" customHeight="1" spans="1:6">
      <c r="A4581" s="9" t="s">
        <v>15639</v>
      </c>
      <c r="B4581" s="201" t="s">
        <v>15640</v>
      </c>
      <c r="C4581" s="202" t="s">
        <v>15641</v>
      </c>
      <c r="D4581" s="154"/>
      <c r="E4581" s="154"/>
      <c r="F4581" s="180"/>
    </row>
    <row r="4582" customHeight="1" spans="1:6">
      <c r="A4582" s="9" t="s">
        <v>15642</v>
      </c>
      <c r="B4582" s="195" t="s">
        <v>15643</v>
      </c>
      <c r="C4582" s="213" t="s">
        <v>15644</v>
      </c>
      <c r="D4582" s="197"/>
      <c r="E4582" s="197" t="s">
        <v>202</v>
      </c>
      <c r="F4582" s="197"/>
    </row>
    <row r="4583" customHeight="1" spans="1:6">
      <c r="A4583" s="9" t="s">
        <v>15645</v>
      </c>
      <c r="B4583" s="153" t="s">
        <v>15646</v>
      </c>
      <c r="C4583" s="202" t="s">
        <v>15647</v>
      </c>
      <c r="D4583" s="154">
        <v>918332590</v>
      </c>
      <c r="E4583" s="154" t="s">
        <v>104</v>
      </c>
      <c r="F4583" s="180"/>
    </row>
    <row r="4584" customHeight="1" spans="1:6">
      <c r="A4584" s="9" t="s">
        <v>15648</v>
      </c>
      <c r="B4584" s="200" t="s">
        <v>15649</v>
      </c>
      <c r="C4584" s="301" t="s">
        <v>15650</v>
      </c>
      <c r="D4584" s="194">
        <v>962987626</v>
      </c>
      <c r="E4584" s="194" t="s">
        <v>202</v>
      </c>
      <c r="F4584" s="194"/>
    </row>
    <row r="4585" customHeight="1" spans="1:6">
      <c r="A4585" s="9" t="s">
        <v>15651</v>
      </c>
      <c r="B4585" s="214" t="s">
        <v>15652</v>
      </c>
      <c r="C4585" s="249" t="s">
        <v>15653</v>
      </c>
      <c r="D4585" s="194"/>
      <c r="E4585" s="204" t="s">
        <v>92</v>
      </c>
      <c r="F4585" s="204"/>
    </row>
    <row r="4586" customHeight="1" spans="1:6">
      <c r="A4586" s="9" t="s">
        <v>15654</v>
      </c>
      <c r="B4586" s="195" t="s">
        <v>15655</v>
      </c>
      <c r="C4586" s="212" t="s">
        <v>15656</v>
      </c>
      <c r="D4586" s="197"/>
      <c r="E4586" s="197" t="s">
        <v>2783</v>
      </c>
      <c r="F4586" s="197"/>
    </row>
    <row r="4587" customHeight="1" spans="1:6">
      <c r="A4587" s="9" t="s">
        <v>15657</v>
      </c>
      <c r="B4587" s="201" t="s">
        <v>15658</v>
      </c>
      <c r="C4587" s="202" t="s">
        <v>15659</v>
      </c>
      <c r="D4587" s="154"/>
      <c r="E4587" s="154"/>
      <c r="F4587" s="180"/>
    </row>
    <row r="4588" customHeight="1" spans="1:6">
      <c r="A4588" s="9" t="s">
        <v>15660</v>
      </c>
      <c r="B4588" s="195" t="s">
        <v>15661</v>
      </c>
      <c r="C4588" s="196" t="s">
        <v>15662</v>
      </c>
      <c r="D4588" s="197" t="s">
        <v>15663</v>
      </c>
      <c r="E4588" s="197" t="s">
        <v>273</v>
      </c>
      <c r="F4588" s="197"/>
    </row>
    <row r="4589" customHeight="1" spans="1:6">
      <c r="A4589" s="9" t="s">
        <v>15664</v>
      </c>
      <c r="B4589" s="153" t="s">
        <v>15665</v>
      </c>
      <c r="C4589" s="202" t="s">
        <v>15666</v>
      </c>
      <c r="D4589" s="341" t="s">
        <v>15667</v>
      </c>
      <c r="E4589" s="154" t="s">
        <v>253</v>
      </c>
      <c r="F4589" s="180"/>
    </row>
    <row r="4590" customHeight="1" spans="1:6">
      <c r="A4590" s="9" t="s">
        <v>15668</v>
      </c>
      <c r="B4590" s="214" t="s">
        <v>15669</v>
      </c>
      <c r="C4590" s="214" t="s">
        <v>15670</v>
      </c>
      <c r="D4590" s="194"/>
      <c r="E4590" s="204" t="s">
        <v>92</v>
      </c>
      <c r="F4590" s="204"/>
    </row>
    <row r="4591" customHeight="1" spans="1:6">
      <c r="A4591" s="9" t="s">
        <v>15671</v>
      </c>
      <c r="B4591" s="200" t="s">
        <v>15672</v>
      </c>
      <c r="C4591" s="202" t="s">
        <v>15673</v>
      </c>
      <c r="D4591" s="152"/>
      <c r="E4591" s="154" t="s">
        <v>232</v>
      </c>
      <c r="F4591" s="180"/>
    </row>
    <row r="4592" customHeight="1" spans="1:6">
      <c r="A4592" s="9" t="s">
        <v>15674</v>
      </c>
      <c r="B4592" s="197" t="s">
        <v>15675</v>
      </c>
      <c r="C4592" s="202" t="s">
        <v>15676</v>
      </c>
      <c r="D4592" s="153"/>
      <c r="E4592" s="180" t="s">
        <v>216</v>
      </c>
      <c r="F4592" s="180"/>
    </row>
    <row r="4593" customHeight="1" spans="1:6">
      <c r="A4593" s="9" t="s">
        <v>15677</v>
      </c>
      <c r="B4593" s="200" t="s">
        <v>15678</v>
      </c>
      <c r="C4593" s="246" t="s">
        <v>15679</v>
      </c>
      <c r="D4593" s="194"/>
      <c r="E4593" s="194" t="s">
        <v>202</v>
      </c>
      <c r="F4593" s="194"/>
    </row>
    <row r="4594" customHeight="1" spans="1:6">
      <c r="A4594" s="9" t="s">
        <v>15680</v>
      </c>
      <c r="B4594" s="201" t="s">
        <v>15681</v>
      </c>
      <c r="C4594" s="202" t="s">
        <v>15682</v>
      </c>
      <c r="D4594" s="154">
        <v>985334989</v>
      </c>
      <c r="E4594" s="154" t="s">
        <v>211</v>
      </c>
      <c r="F4594" s="180"/>
    </row>
    <row r="4595" customHeight="1" spans="1:6">
      <c r="A4595" s="9" t="s">
        <v>15683</v>
      </c>
      <c r="B4595" s="195" t="s">
        <v>15684</v>
      </c>
      <c r="C4595" s="202" t="s">
        <v>15685</v>
      </c>
      <c r="D4595" s="341" t="s">
        <v>15686</v>
      </c>
      <c r="E4595" s="154" t="s">
        <v>9</v>
      </c>
      <c r="F4595" s="180"/>
    </row>
    <row r="4596" customHeight="1" spans="1:6">
      <c r="A4596" s="9" t="s">
        <v>15687</v>
      </c>
      <c r="B4596" s="200" t="s">
        <v>15688</v>
      </c>
      <c r="C4596" s="203" t="s">
        <v>15689</v>
      </c>
      <c r="D4596" s="194"/>
      <c r="E4596" s="194" t="s">
        <v>253</v>
      </c>
      <c r="F4596" s="194"/>
    </row>
    <row r="4597" customHeight="1" spans="1:6">
      <c r="A4597" s="9" t="s">
        <v>15690</v>
      </c>
      <c r="B4597" s="195" t="s">
        <v>15691</v>
      </c>
      <c r="C4597" s="196" t="s">
        <v>15692</v>
      </c>
      <c r="D4597" s="197"/>
      <c r="E4597" s="197" t="s">
        <v>125</v>
      </c>
      <c r="F4597" s="197"/>
    </row>
    <row r="4598" customHeight="1" spans="1:6">
      <c r="A4598" s="9" t="s">
        <v>15693</v>
      </c>
      <c r="B4598" s="200" t="s">
        <v>15694</v>
      </c>
      <c r="C4598" s="202" t="s">
        <v>15695</v>
      </c>
      <c r="D4598" s="152" t="s">
        <v>15696</v>
      </c>
      <c r="E4598" s="154"/>
      <c r="F4598" s="180"/>
    </row>
    <row r="4599" customHeight="1" spans="1:6">
      <c r="A4599" s="9" t="s">
        <v>15697</v>
      </c>
      <c r="B4599" s="160" t="s">
        <v>15698</v>
      </c>
      <c r="C4599" s="160" t="s">
        <v>15699</v>
      </c>
      <c r="D4599" s="204" t="s">
        <v>15700</v>
      </c>
      <c r="E4599" s="204" t="s">
        <v>92</v>
      </c>
      <c r="F4599" s="204"/>
    </row>
    <row r="4600" customHeight="1" spans="1:6">
      <c r="A4600" s="9" t="s">
        <v>15701</v>
      </c>
      <c r="B4600" s="200" t="s">
        <v>15702</v>
      </c>
      <c r="C4600" s="203" t="s">
        <v>15703</v>
      </c>
      <c r="D4600" s="194"/>
      <c r="E4600" s="194" t="s">
        <v>253</v>
      </c>
      <c r="F4600" s="194"/>
    </row>
    <row r="4601" customHeight="1" spans="1:6">
      <c r="A4601" s="9" t="s">
        <v>15704</v>
      </c>
      <c r="B4601" s="201" t="s">
        <v>15705</v>
      </c>
      <c r="C4601" s="202" t="s">
        <v>15706</v>
      </c>
      <c r="D4601" s="154" t="s">
        <v>15707</v>
      </c>
      <c r="E4601" s="154" t="s">
        <v>3349</v>
      </c>
      <c r="F4601" s="180"/>
    </row>
    <row r="4602" customHeight="1" spans="1:6">
      <c r="A4602" s="9" t="s">
        <v>15708</v>
      </c>
      <c r="B4602" s="214" t="s">
        <v>15709</v>
      </c>
      <c r="C4602" s="214" t="s">
        <v>15710</v>
      </c>
      <c r="D4602" s="194"/>
      <c r="E4602" s="204" t="s">
        <v>92</v>
      </c>
      <c r="F4602" s="204"/>
    </row>
    <row r="4603" customHeight="1" spans="1:6">
      <c r="A4603" s="9" t="s">
        <v>15711</v>
      </c>
      <c r="B4603" s="195" t="s">
        <v>15712</v>
      </c>
      <c r="C4603" s="202" t="s">
        <v>15713</v>
      </c>
      <c r="D4603" s="152"/>
      <c r="E4603" s="154" t="s">
        <v>232</v>
      </c>
      <c r="F4603" s="180"/>
    </row>
    <row r="4604" customHeight="1" spans="1:6">
      <c r="A4604" s="9" t="s">
        <v>15714</v>
      </c>
      <c r="B4604" s="201" t="s">
        <v>15715</v>
      </c>
      <c r="C4604" s="202" t="s">
        <v>15716</v>
      </c>
      <c r="D4604" s="154" t="s">
        <v>15717</v>
      </c>
      <c r="E4604" s="154" t="s">
        <v>1395</v>
      </c>
      <c r="F4604" s="180"/>
    </row>
    <row r="4605" customHeight="1" spans="1:6">
      <c r="A4605" s="9" t="s">
        <v>15718</v>
      </c>
      <c r="B4605" s="160" t="s">
        <v>15719</v>
      </c>
      <c r="C4605" s="160" t="s">
        <v>15720</v>
      </c>
      <c r="D4605" s="204" t="s">
        <v>15721</v>
      </c>
      <c r="E4605" s="204" t="s">
        <v>92</v>
      </c>
      <c r="F4605" s="204"/>
    </row>
    <row r="4606" customHeight="1" spans="1:6">
      <c r="A4606" s="9" t="s">
        <v>15722</v>
      </c>
      <c r="B4606" s="194" t="s">
        <v>15723</v>
      </c>
      <c r="C4606" s="192" t="s">
        <v>15724</v>
      </c>
      <c r="D4606" s="194" t="s">
        <v>15725</v>
      </c>
      <c r="E4606" s="194" t="s">
        <v>7153</v>
      </c>
      <c r="F4606" s="194"/>
    </row>
    <row r="4607" customHeight="1" spans="1:6">
      <c r="A4607" s="9" t="s">
        <v>15726</v>
      </c>
      <c r="B4607" s="195" t="s">
        <v>15727</v>
      </c>
      <c r="C4607" s="212" t="s">
        <v>15728</v>
      </c>
      <c r="D4607" s="197" t="s">
        <v>15729</v>
      </c>
      <c r="E4607" s="154" t="s">
        <v>104</v>
      </c>
      <c r="F4607" s="199"/>
    </row>
    <row r="4608" customHeight="1" spans="1:6">
      <c r="A4608" s="9" t="s">
        <v>15730</v>
      </c>
      <c r="B4608" s="195" t="s">
        <v>15731</v>
      </c>
      <c r="C4608" s="202" t="s">
        <v>15732</v>
      </c>
      <c r="D4608" s="152" t="s">
        <v>15733</v>
      </c>
      <c r="E4608" s="154" t="s">
        <v>9</v>
      </c>
      <c r="F4608" s="180"/>
    </row>
    <row r="4609" customHeight="1" spans="1:6">
      <c r="A4609" s="9" t="s">
        <v>15734</v>
      </c>
      <c r="B4609" s="214" t="s">
        <v>15735</v>
      </c>
      <c r="C4609" s="214" t="s">
        <v>15736</v>
      </c>
      <c r="D4609" s="194"/>
      <c r="E4609" s="204" t="s">
        <v>92</v>
      </c>
      <c r="F4609" s="204"/>
    </row>
    <row r="4610" customHeight="1" spans="1:6">
      <c r="A4610" s="9" t="s">
        <v>15737</v>
      </c>
      <c r="B4610" s="200" t="s">
        <v>15738</v>
      </c>
      <c r="C4610" s="202" t="s">
        <v>15739</v>
      </c>
      <c r="D4610" s="158"/>
      <c r="E4610" s="154"/>
      <c r="F4610" s="180"/>
    </row>
    <row r="4611" customHeight="1" spans="1:6">
      <c r="A4611" s="9" t="s">
        <v>15740</v>
      </c>
      <c r="B4611" s="258" t="s">
        <v>15741</v>
      </c>
      <c r="C4611" s="258" t="s">
        <v>15742</v>
      </c>
      <c r="D4611" s="240" t="s">
        <v>15743</v>
      </c>
      <c r="E4611" s="240" t="s">
        <v>92</v>
      </c>
      <c r="F4611" s="240"/>
    </row>
    <row r="4612" customHeight="1" spans="1:6">
      <c r="A4612" s="9" t="s">
        <v>15744</v>
      </c>
      <c r="B4612" s="205" t="s">
        <v>15745</v>
      </c>
      <c r="C4612" s="205" t="s">
        <v>15746</v>
      </c>
      <c r="D4612" s="206" t="s">
        <v>15747</v>
      </c>
      <c r="E4612" s="193" t="s">
        <v>120</v>
      </c>
      <c r="F4612" s="221"/>
    </row>
    <row r="4613" customHeight="1" spans="1:6">
      <c r="A4613" s="9" t="s">
        <v>15748</v>
      </c>
      <c r="B4613" s="200" t="s">
        <v>15749</v>
      </c>
      <c r="C4613" s="202" t="s">
        <v>15750</v>
      </c>
      <c r="D4613" s="152"/>
      <c r="E4613" s="154" t="s">
        <v>232</v>
      </c>
      <c r="F4613" s="180"/>
    </row>
    <row r="4614" customHeight="1" spans="1:6">
      <c r="A4614" s="9" t="s">
        <v>15751</v>
      </c>
      <c r="B4614" s="195" t="s">
        <v>15752</v>
      </c>
      <c r="C4614" s="202" t="s">
        <v>15753</v>
      </c>
      <c r="D4614" s="152"/>
      <c r="E4614" s="154" t="s">
        <v>232</v>
      </c>
      <c r="F4614" s="180"/>
    </row>
    <row r="4615" customHeight="1" spans="1:6">
      <c r="A4615" s="9" t="s">
        <v>15754</v>
      </c>
      <c r="B4615" s="195" t="s">
        <v>15755</v>
      </c>
      <c r="C4615" s="202" t="s">
        <v>15756</v>
      </c>
      <c r="D4615" s="152"/>
      <c r="E4615" s="154" t="s">
        <v>104</v>
      </c>
      <c r="F4615" s="180"/>
    </row>
    <row r="4616" customHeight="1" spans="1:6">
      <c r="A4616" s="9" t="s">
        <v>15757</v>
      </c>
      <c r="B4616" s="215" t="s">
        <v>15758</v>
      </c>
      <c r="C4616" s="205" t="s">
        <v>15759</v>
      </c>
      <c r="D4616" s="206" t="s">
        <v>15760</v>
      </c>
      <c r="E4616" s="193" t="s">
        <v>120</v>
      </c>
      <c r="F4616" s="216" t="s">
        <v>15761</v>
      </c>
    </row>
    <row r="4617" customHeight="1" spans="1:6">
      <c r="A4617" s="9" t="s">
        <v>15762</v>
      </c>
      <c r="B4617" s="195" t="s">
        <v>15763</v>
      </c>
      <c r="C4617" s="202" t="s">
        <v>15764</v>
      </c>
      <c r="D4617" s="152"/>
      <c r="E4617" s="154" t="s">
        <v>232</v>
      </c>
      <c r="F4617" s="180"/>
    </row>
    <row r="4618" customHeight="1" spans="1:6">
      <c r="A4618" s="9" t="s">
        <v>15765</v>
      </c>
      <c r="B4618" s="222" t="str">
        <f>IFERROR(__xludf.DUMMYFUNCTION("""COMPUTED_VALUE"""),"Birhane Andualem Fetene")</f>
        <v>Birhane Andualem Fetene</v>
      </c>
      <c r="C4618" s="222" t="str">
        <f>IFERROR(__xludf.DUMMYFUNCTION("""COMPUTED_VALUE"""),"ብርሃኔ አንዱአለም ፈጠነ")</f>
        <v>ብርሃኔ አንዱአለም ፈጠነ</v>
      </c>
      <c r="D4618" s="222" t="str">
        <f>IFERROR(__xludf.DUMMYFUNCTION("""COMPUTED_VALUE"""),"0911-250903")</f>
        <v>0911-250903</v>
      </c>
      <c r="E4618" s="222" t="str">
        <f>IFERROR(__xludf.DUMMYFUNCTION("""COMPUTED_VALUE"""),"Addis Abeba")</f>
        <v>Addis Abeba</v>
      </c>
      <c r="F4618" s="222" t="str">
        <f>IFERROR(__xludf.DUMMYFUNCTION("""COMPUTED_VALUE"""),"birhanie21@gmail.com")</f>
        <v>birhanie21@gmail.com</v>
      </c>
    </row>
    <row r="4619" customHeight="1" spans="1:6">
      <c r="A4619" s="9" t="s">
        <v>15766</v>
      </c>
      <c r="B4619" s="255" t="s">
        <v>15767</v>
      </c>
      <c r="C4619" s="255" t="s">
        <v>15768</v>
      </c>
      <c r="D4619" s="256" t="s">
        <v>15769</v>
      </c>
      <c r="E4619" s="26" t="s">
        <v>1701</v>
      </c>
      <c r="F4619" s="263"/>
    </row>
    <row r="4620" customHeight="1" spans="1:6">
      <c r="A4620" s="9" t="s">
        <v>15770</v>
      </c>
      <c r="B4620" s="194" t="s">
        <v>15771</v>
      </c>
      <c r="C4620" s="203" t="s">
        <v>15772</v>
      </c>
      <c r="D4620" s="197"/>
      <c r="E4620" s="197" t="s">
        <v>253</v>
      </c>
      <c r="F4620" s="197"/>
    </row>
    <row r="4621" customHeight="1" spans="1:6">
      <c r="A4621" s="9" t="s">
        <v>15773</v>
      </c>
      <c r="B4621" s="233" t="s">
        <v>15774</v>
      </c>
      <c r="C4621" s="233" t="s">
        <v>15775</v>
      </c>
      <c r="D4621" s="204" t="s">
        <v>15776</v>
      </c>
      <c r="E4621" s="204" t="s">
        <v>605</v>
      </c>
      <c r="F4621" s="204" t="s">
        <v>15777</v>
      </c>
    </row>
    <row r="4622" customHeight="1" spans="1:6">
      <c r="A4622" s="9" t="s">
        <v>15778</v>
      </c>
      <c r="B4622" s="201" t="s">
        <v>15779</v>
      </c>
      <c r="C4622" s="202" t="s">
        <v>15780</v>
      </c>
      <c r="D4622" s="154" t="s">
        <v>15781</v>
      </c>
      <c r="E4622" s="154" t="s">
        <v>58</v>
      </c>
      <c r="F4622" s="180"/>
    </row>
    <row r="4623" customHeight="1" spans="1:6">
      <c r="A4623" s="9" t="s">
        <v>15782</v>
      </c>
      <c r="B4623" s="234" t="s">
        <v>15783</v>
      </c>
      <c r="C4623" s="235" t="s">
        <v>15784</v>
      </c>
      <c r="D4623" s="36" t="s">
        <v>15785</v>
      </c>
      <c r="E4623" s="45" t="s">
        <v>691</v>
      </c>
      <c r="F4623" s="45"/>
    </row>
    <row r="4624" customHeight="1" spans="1:6">
      <c r="A4624" s="9" t="s">
        <v>15786</v>
      </c>
      <c r="B4624" s="195" t="s">
        <v>15787</v>
      </c>
      <c r="C4624" s="202" t="s">
        <v>15788</v>
      </c>
      <c r="D4624" s="158"/>
      <c r="E4624" s="154" t="s">
        <v>104</v>
      </c>
      <c r="F4624" s="180"/>
    </row>
    <row r="4625" customHeight="1" spans="1:6">
      <c r="A4625" s="9" t="s">
        <v>15789</v>
      </c>
      <c r="B4625" s="195" t="s">
        <v>15790</v>
      </c>
      <c r="C4625" s="202" t="s">
        <v>15791</v>
      </c>
      <c r="D4625" s="152"/>
      <c r="E4625" s="154"/>
      <c r="F4625" s="180"/>
    </row>
    <row r="4626" customHeight="1" spans="1:6">
      <c r="A4626" s="9" t="s">
        <v>15792</v>
      </c>
      <c r="B4626" s="200" t="s">
        <v>15793</v>
      </c>
      <c r="C4626" s="246" t="s">
        <v>15794</v>
      </c>
      <c r="D4626" s="194"/>
      <c r="E4626" s="194" t="s">
        <v>243</v>
      </c>
      <c r="F4626" s="194"/>
    </row>
    <row r="4627" customHeight="1" spans="1:6">
      <c r="A4627" s="9" t="s">
        <v>15795</v>
      </c>
      <c r="B4627" s="200" t="s">
        <v>15796</v>
      </c>
      <c r="C4627" s="192" t="s">
        <v>15797</v>
      </c>
      <c r="D4627" s="274"/>
      <c r="E4627" s="193" t="s">
        <v>1395</v>
      </c>
      <c r="F4627" s="191"/>
    </row>
    <row r="4628" customHeight="1" spans="1:6">
      <c r="A4628" s="9" t="s">
        <v>15798</v>
      </c>
      <c r="B4628" s="160" t="s">
        <v>15799</v>
      </c>
      <c r="C4628" s="160" t="s">
        <v>15800</v>
      </c>
      <c r="D4628" s="204" t="s">
        <v>15801</v>
      </c>
      <c r="E4628" s="204" t="s">
        <v>92</v>
      </c>
      <c r="F4628" s="204"/>
    </row>
    <row r="4629" customHeight="1" spans="1:6">
      <c r="A4629" s="9" t="s">
        <v>15802</v>
      </c>
      <c r="B4629" s="223" t="s">
        <v>15803</v>
      </c>
      <c r="C4629" s="235" t="s">
        <v>15804</v>
      </c>
      <c r="D4629" s="223" t="s">
        <v>15805</v>
      </c>
      <c r="E4629" s="204" t="s">
        <v>701</v>
      </c>
      <c r="F4629" s="26"/>
    </row>
    <row r="4630" customHeight="1" spans="1:6">
      <c r="A4630" s="9" t="s">
        <v>15806</v>
      </c>
      <c r="B4630" s="200" t="s">
        <v>15807</v>
      </c>
      <c r="C4630" s="202" t="s">
        <v>15808</v>
      </c>
      <c r="D4630" s="152"/>
      <c r="E4630" s="154" t="s">
        <v>104</v>
      </c>
      <c r="F4630" s="180"/>
    </row>
    <row r="4631" customHeight="1" spans="1:6">
      <c r="A4631" s="9" t="s">
        <v>15809</v>
      </c>
      <c r="B4631" s="180" t="s">
        <v>15810</v>
      </c>
      <c r="C4631" s="243" t="s">
        <v>15811</v>
      </c>
      <c r="D4631" s="154"/>
      <c r="E4631" s="158" t="s">
        <v>243</v>
      </c>
      <c r="F4631" s="153"/>
    </row>
    <row r="4632" customHeight="1" spans="1:6">
      <c r="A4632" s="9" t="s">
        <v>15812</v>
      </c>
      <c r="B4632" s="223" t="s">
        <v>15813</v>
      </c>
      <c r="C4632" s="223" t="s">
        <v>15814</v>
      </c>
      <c r="D4632" s="223" t="s">
        <v>15815</v>
      </c>
      <c r="E4632" s="204" t="s">
        <v>92</v>
      </c>
      <c r="F4632" s="204"/>
    </row>
    <row r="4633" customHeight="1" spans="1:6">
      <c r="A4633" s="9" t="s">
        <v>15816</v>
      </c>
      <c r="B4633" s="194" t="s">
        <v>15817</v>
      </c>
      <c r="C4633" s="203" t="s">
        <v>15818</v>
      </c>
      <c r="D4633" s="197"/>
      <c r="E4633" s="197" t="s">
        <v>253</v>
      </c>
      <c r="F4633" s="197"/>
    </row>
    <row r="4634" customHeight="1" spans="1:6">
      <c r="A4634" s="9" t="s">
        <v>15819</v>
      </c>
      <c r="B4634" s="200" t="s">
        <v>15820</v>
      </c>
      <c r="C4634" s="202" t="s">
        <v>15821</v>
      </c>
      <c r="D4634" s="152"/>
      <c r="E4634" s="154" t="s">
        <v>232</v>
      </c>
      <c r="F4634" s="180"/>
    </row>
    <row r="4635" customHeight="1" spans="1:6">
      <c r="A4635" s="9" t="s">
        <v>15822</v>
      </c>
      <c r="B4635" s="200" t="s">
        <v>15823</v>
      </c>
      <c r="C4635" s="236" t="s">
        <v>15824</v>
      </c>
      <c r="D4635" s="194" t="s">
        <v>15825</v>
      </c>
      <c r="E4635" s="193" t="s">
        <v>216</v>
      </c>
      <c r="F4635" s="191"/>
    </row>
    <row r="4636" customHeight="1" spans="1:6">
      <c r="A4636" s="9" t="s">
        <v>15826</v>
      </c>
      <c r="B4636" s="153" t="s">
        <v>15827</v>
      </c>
      <c r="C4636" s="202" t="s">
        <v>15828</v>
      </c>
      <c r="D4636" s="154"/>
      <c r="E4636" s="154" t="s">
        <v>310</v>
      </c>
      <c r="F4636" s="153"/>
    </row>
    <row r="4637" customHeight="1" spans="1:6">
      <c r="A4637" s="9" t="s">
        <v>15829</v>
      </c>
      <c r="B4637" s="195" t="s">
        <v>15830</v>
      </c>
      <c r="C4637" s="202" t="s">
        <v>15831</v>
      </c>
      <c r="D4637" s="152"/>
      <c r="E4637" s="154" t="s">
        <v>232</v>
      </c>
      <c r="F4637" s="180"/>
    </row>
    <row r="4638" customHeight="1" spans="1:6">
      <c r="A4638" s="9" t="s">
        <v>15832</v>
      </c>
      <c r="B4638" s="153" t="s">
        <v>15833</v>
      </c>
      <c r="C4638" s="202" t="s">
        <v>15834</v>
      </c>
      <c r="D4638" s="154" t="s">
        <v>15835</v>
      </c>
      <c r="E4638" s="154" t="s">
        <v>202</v>
      </c>
      <c r="F4638" s="180"/>
    </row>
    <row r="4639" customHeight="1" spans="1:6">
      <c r="A4639" s="9" t="s">
        <v>15836</v>
      </c>
      <c r="B4639" s="205" t="s">
        <v>15837</v>
      </c>
      <c r="C4639" s="205" t="s">
        <v>15838</v>
      </c>
      <c r="D4639" s="206" t="s">
        <v>15839</v>
      </c>
      <c r="E4639" s="193" t="s">
        <v>120</v>
      </c>
      <c r="F4639" s="239" t="s">
        <v>15840</v>
      </c>
    </row>
    <row r="4640" customHeight="1" spans="1:6">
      <c r="A4640" s="9" t="s">
        <v>15841</v>
      </c>
      <c r="B4640" s="195" t="s">
        <v>15842</v>
      </c>
      <c r="C4640" s="202" t="s">
        <v>15843</v>
      </c>
      <c r="D4640" s="152"/>
      <c r="E4640" s="154"/>
      <c r="F4640" s="180"/>
    </row>
    <row r="4641" customHeight="1" spans="1:6">
      <c r="A4641" s="9" t="s">
        <v>15844</v>
      </c>
      <c r="B4641" s="200" t="s">
        <v>15845</v>
      </c>
      <c r="C4641" s="202" t="s">
        <v>15846</v>
      </c>
      <c r="D4641" s="158" t="s">
        <v>15847</v>
      </c>
      <c r="E4641" s="154" t="s">
        <v>202</v>
      </c>
      <c r="F4641" s="180"/>
    </row>
    <row r="4642" customHeight="1" spans="1:6">
      <c r="A4642" s="9" t="s">
        <v>15848</v>
      </c>
      <c r="B4642" s="200" t="s">
        <v>15849</v>
      </c>
      <c r="C4642" s="202" t="s">
        <v>15850</v>
      </c>
      <c r="D4642" s="152"/>
      <c r="E4642" s="154" t="s">
        <v>232</v>
      </c>
      <c r="F4642" s="180"/>
    </row>
    <row r="4643" customHeight="1" spans="1:6">
      <c r="A4643" s="9" t="s">
        <v>15851</v>
      </c>
      <c r="B4643" s="160" t="s">
        <v>15852</v>
      </c>
      <c r="C4643" s="160" t="s">
        <v>15853</v>
      </c>
      <c r="D4643" s="204" t="s">
        <v>15854</v>
      </c>
      <c r="E4643" s="204" t="s">
        <v>92</v>
      </c>
      <c r="F4643" s="204"/>
    </row>
    <row r="4644" customHeight="1" spans="1:6">
      <c r="A4644" s="9" t="s">
        <v>15855</v>
      </c>
      <c r="B4644" s="201" t="s">
        <v>15856</v>
      </c>
      <c r="C4644" s="202" t="s">
        <v>15857</v>
      </c>
      <c r="D4644" s="154" t="s">
        <v>15858</v>
      </c>
      <c r="E4644" s="154" t="s">
        <v>243</v>
      </c>
      <c r="F4644" s="180"/>
    </row>
    <row r="4645" customHeight="1" spans="1:6">
      <c r="A4645" s="9" t="s">
        <v>15859</v>
      </c>
      <c r="B4645" s="200" t="s">
        <v>15860</v>
      </c>
      <c r="C4645" s="246" t="s">
        <v>15861</v>
      </c>
      <c r="D4645" s="194">
        <v>948111426</v>
      </c>
      <c r="E4645" s="194" t="s">
        <v>6935</v>
      </c>
      <c r="F4645" s="194"/>
    </row>
    <row r="4646" customHeight="1" spans="1:6">
      <c r="A4646" s="9" t="s">
        <v>15862</v>
      </c>
      <c r="B4646" s="200" t="s">
        <v>15863</v>
      </c>
      <c r="C4646" s="192" t="s">
        <v>15864</v>
      </c>
      <c r="D4646" s="194"/>
      <c r="E4646" s="194" t="s">
        <v>3119</v>
      </c>
      <c r="F4646" s="194"/>
    </row>
    <row r="4647" customHeight="1" spans="1:6">
      <c r="A4647" s="9" t="s">
        <v>15865</v>
      </c>
      <c r="B4647" s="158" t="s">
        <v>15866</v>
      </c>
      <c r="C4647" s="202" t="s">
        <v>15867</v>
      </c>
      <c r="D4647" s="158">
        <v>913155723</v>
      </c>
      <c r="E4647" s="154" t="s">
        <v>497</v>
      </c>
      <c r="F4647" s="180"/>
    </row>
    <row r="4648" customHeight="1" spans="1:6">
      <c r="A4648" s="9" t="s">
        <v>15868</v>
      </c>
      <c r="B4648" s="219" t="s">
        <v>15869</v>
      </c>
      <c r="C4648" s="219" t="s">
        <v>15870</v>
      </c>
      <c r="D4648" s="194"/>
      <c r="E4648" s="204" t="s">
        <v>92</v>
      </c>
      <c r="F4648" s="204"/>
    </row>
    <row r="4649" customHeight="1" spans="1:6">
      <c r="A4649" s="9" t="s">
        <v>15871</v>
      </c>
      <c r="B4649" s="200" t="s">
        <v>15872</v>
      </c>
      <c r="C4649" s="202" t="s">
        <v>15873</v>
      </c>
      <c r="D4649" s="152" t="s">
        <v>15874</v>
      </c>
      <c r="E4649" s="154" t="s">
        <v>211</v>
      </c>
      <c r="F4649" s="180"/>
    </row>
    <row r="4650" customHeight="1" spans="1:6">
      <c r="A4650" s="9" t="s">
        <v>15875</v>
      </c>
      <c r="B4650" s="204" t="s">
        <v>15876</v>
      </c>
      <c r="C4650" s="204" t="s">
        <v>15877</v>
      </c>
      <c r="D4650" s="194"/>
      <c r="E4650" s="204" t="s">
        <v>92</v>
      </c>
      <c r="F4650" s="204"/>
    </row>
    <row r="4651" customHeight="1" spans="1:6">
      <c r="A4651" s="9" t="s">
        <v>15878</v>
      </c>
      <c r="B4651" s="201" t="s">
        <v>15879</v>
      </c>
      <c r="C4651" s="202" t="s">
        <v>15880</v>
      </c>
      <c r="D4651" s="154"/>
      <c r="E4651" s="154" t="s">
        <v>243</v>
      </c>
      <c r="F4651" s="180"/>
    </row>
    <row r="4652" customHeight="1" spans="1:6">
      <c r="A4652" s="9" t="s">
        <v>15881</v>
      </c>
      <c r="B4652" s="200" t="s">
        <v>15882</v>
      </c>
      <c r="C4652" s="192" t="s">
        <v>15883</v>
      </c>
      <c r="D4652" s="194"/>
      <c r="E4652" s="194"/>
      <c r="F4652" s="194"/>
    </row>
    <row r="4653" customHeight="1" spans="1:6">
      <c r="A4653" s="9" t="s">
        <v>15884</v>
      </c>
      <c r="B4653" s="160" t="s">
        <v>15885</v>
      </c>
      <c r="C4653" s="160" t="s">
        <v>15886</v>
      </c>
      <c r="D4653" s="194"/>
      <c r="E4653" s="204" t="s">
        <v>92</v>
      </c>
      <c r="F4653" s="204"/>
    </row>
    <row r="4654" customHeight="1" spans="1:6">
      <c r="A4654" s="9" t="s">
        <v>15887</v>
      </c>
      <c r="B4654" s="195" t="s">
        <v>15888</v>
      </c>
      <c r="C4654" s="213" t="s">
        <v>15889</v>
      </c>
      <c r="D4654" s="197"/>
      <c r="E4654" s="197" t="s">
        <v>202</v>
      </c>
      <c r="F4654" s="197"/>
    </row>
    <row r="4655" customHeight="1" spans="1:6">
      <c r="A4655" s="9" t="s">
        <v>15890</v>
      </c>
      <c r="B4655" s="214" t="s">
        <v>15891</v>
      </c>
      <c r="C4655" s="214" t="s">
        <v>15892</v>
      </c>
      <c r="D4655" s="194"/>
      <c r="E4655" s="204" t="s">
        <v>92</v>
      </c>
      <c r="F4655" s="204"/>
    </row>
    <row r="4656" customHeight="1" spans="1:6">
      <c r="A4656" s="9" t="s">
        <v>15893</v>
      </c>
      <c r="B4656" s="201" t="s">
        <v>15894</v>
      </c>
      <c r="C4656" s="202" t="s">
        <v>15895</v>
      </c>
      <c r="D4656" s="154"/>
      <c r="E4656" s="154" t="s">
        <v>58</v>
      </c>
      <c r="F4656" s="180"/>
    </row>
    <row r="4657" customHeight="1" spans="1:6">
      <c r="A4657" s="9" t="s">
        <v>15896</v>
      </c>
      <c r="B4657" s="214" t="s">
        <v>15897</v>
      </c>
      <c r="C4657" s="214" t="s">
        <v>15898</v>
      </c>
      <c r="D4657" s="194"/>
      <c r="E4657" s="204" t="s">
        <v>92</v>
      </c>
      <c r="F4657" s="204"/>
    </row>
    <row r="4658" customHeight="1" spans="1:6">
      <c r="A4658" s="9" t="s">
        <v>15899</v>
      </c>
      <c r="B4658" s="201" t="s">
        <v>15900</v>
      </c>
      <c r="C4658" s="202" t="s">
        <v>15901</v>
      </c>
      <c r="D4658" s="154" t="s">
        <v>15902</v>
      </c>
      <c r="E4658" s="154" t="s">
        <v>243</v>
      </c>
      <c r="F4658" s="180"/>
    </row>
    <row r="4659" customHeight="1" spans="1:6">
      <c r="A4659" s="9" t="s">
        <v>15903</v>
      </c>
      <c r="B4659" s="222" t="str">
        <f>IFERROR(__xludf.DUMMYFUNCTION("""COMPUTED_VALUE"""),"Birhanu Eshete Teshal /Ato")</f>
        <v>Birhanu Eshete Teshal /Ato</v>
      </c>
      <c r="C4659" s="222" t="str">
        <f>IFERROR(__xludf.DUMMYFUNCTION("""COMPUTED_VALUE"""),"ብርሃኑ እሸቴ ተሻለ /አቶ")</f>
        <v>ብርሃኑ እሸቴ ተሻለ /አቶ</v>
      </c>
      <c r="D4659" s="222" t="str">
        <f>IFERROR(__xludf.DUMMYFUNCTION("""COMPUTED_VALUE"""),"0911-333671")</f>
        <v>0911-333671</v>
      </c>
      <c r="E4659" s="222" t="str">
        <f>IFERROR(__xludf.DUMMYFUNCTION("""COMPUTED_VALUE"""),"Addis Ababa")</f>
        <v>Addis Ababa</v>
      </c>
      <c r="F4659" s="222"/>
    </row>
    <row r="4660" customHeight="1" spans="1:6">
      <c r="A4660" s="9" t="s">
        <v>15904</v>
      </c>
      <c r="B4660" s="195" t="s">
        <v>15905</v>
      </c>
      <c r="C4660" s="202" t="s">
        <v>15906</v>
      </c>
      <c r="D4660" s="152" t="s">
        <v>15907</v>
      </c>
      <c r="E4660" s="154" t="s">
        <v>232</v>
      </c>
      <c r="F4660" s="180"/>
    </row>
    <row r="4661" customHeight="1" spans="1:6">
      <c r="A4661" s="9" t="s">
        <v>15908</v>
      </c>
      <c r="B4661" s="201" t="s">
        <v>15909</v>
      </c>
      <c r="C4661" s="202" t="s">
        <v>15910</v>
      </c>
      <c r="D4661" s="154" t="s">
        <v>15911</v>
      </c>
      <c r="E4661" s="154" t="s">
        <v>58</v>
      </c>
      <c r="F4661" s="180"/>
    </row>
    <row r="4662" customHeight="1" spans="1:6">
      <c r="A4662" s="9" t="s">
        <v>15912</v>
      </c>
      <c r="B4662" s="200" t="s">
        <v>15913</v>
      </c>
      <c r="C4662" s="192" t="s">
        <v>15914</v>
      </c>
      <c r="D4662" s="194" t="s">
        <v>15915</v>
      </c>
      <c r="E4662" s="194" t="s">
        <v>104</v>
      </c>
      <c r="F4662" s="194"/>
    </row>
    <row r="4663" customHeight="1" spans="1:6">
      <c r="A4663" s="9" t="s">
        <v>15916</v>
      </c>
      <c r="B4663" s="200" t="s">
        <v>15917</v>
      </c>
      <c r="C4663" s="202" t="s">
        <v>15918</v>
      </c>
      <c r="D4663" s="152"/>
      <c r="E4663" s="154" t="s">
        <v>232</v>
      </c>
      <c r="F4663" s="180"/>
    </row>
    <row r="4664" customHeight="1" spans="1:6">
      <c r="A4664" s="9" t="s">
        <v>15919</v>
      </c>
      <c r="B4664" s="200" t="s">
        <v>15920</v>
      </c>
      <c r="C4664" s="202" t="s">
        <v>15921</v>
      </c>
      <c r="D4664" s="152" t="s">
        <v>15922</v>
      </c>
      <c r="E4664" s="154" t="s">
        <v>104</v>
      </c>
      <c r="F4664" s="180"/>
    </row>
    <row r="4665" customHeight="1" spans="1:6">
      <c r="A4665" s="9" t="s">
        <v>15923</v>
      </c>
      <c r="B4665" s="201" t="s">
        <v>15924</v>
      </c>
      <c r="C4665" s="202" t="s">
        <v>15925</v>
      </c>
      <c r="D4665" s="154" t="s">
        <v>15926</v>
      </c>
      <c r="E4665" s="154" t="s">
        <v>211</v>
      </c>
      <c r="F4665" s="180"/>
    </row>
    <row r="4666" customHeight="1" spans="1:6">
      <c r="A4666" s="9" t="s">
        <v>15927</v>
      </c>
      <c r="B4666" s="195" t="s">
        <v>15928</v>
      </c>
      <c r="C4666" s="202" t="s">
        <v>15929</v>
      </c>
      <c r="D4666" s="152" t="s">
        <v>15930</v>
      </c>
      <c r="E4666" s="154"/>
      <c r="F4666" s="180"/>
    </row>
    <row r="4667" customHeight="1" spans="1:6">
      <c r="A4667" s="9" t="s">
        <v>15931</v>
      </c>
      <c r="B4667" s="201" t="s">
        <v>15932</v>
      </c>
      <c r="C4667" s="202" t="s">
        <v>15933</v>
      </c>
      <c r="D4667" s="154"/>
      <c r="E4667" s="154" t="s">
        <v>310</v>
      </c>
      <c r="F4667" s="180"/>
    </row>
    <row r="4668" customHeight="1" spans="1:6">
      <c r="A4668" s="9" t="s">
        <v>15934</v>
      </c>
      <c r="B4668" s="215" t="s">
        <v>15935</v>
      </c>
      <c r="C4668" s="205" t="s">
        <v>15936</v>
      </c>
      <c r="D4668" s="206" t="s">
        <v>15937</v>
      </c>
      <c r="E4668" s="193" t="s">
        <v>120</v>
      </c>
      <c r="F4668" s="221"/>
    </row>
    <row r="4669" customHeight="1" spans="1:6">
      <c r="A4669" s="9" t="s">
        <v>15938</v>
      </c>
      <c r="B4669" s="162" t="s">
        <v>15939</v>
      </c>
      <c r="C4669" s="205" t="s">
        <v>15940</v>
      </c>
      <c r="D4669" s="206" t="s">
        <v>15941</v>
      </c>
      <c r="E4669" s="193" t="s">
        <v>120</v>
      </c>
      <c r="F4669" s="221" t="s">
        <v>15942</v>
      </c>
    </row>
    <row r="4670" customHeight="1" spans="1:6">
      <c r="A4670" s="9" t="s">
        <v>15943</v>
      </c>
      <c r="B4670" s="201" t="s">
        <v>15944</v>
      </c>
      <c r="C4670" s="202" t="s">
        <v>15945</v>
      </c>
      <c r="D4670" s="154"/>
      <c r="E4670" s="154" t="s">
        <v>243</v>
      </c>
      <c r="F4670" s="180"/>
    </row>
    <row r="4671" customHeight="1" spans="1:6">
      <c r="A4671" s="9" t="s">
        <v>15946</v>
      </c>
      <c r="B4671" s="200" t="s">
        <v>15947</v>
      </c>
      <c r="C4671" s="246" t="s">
        <v>15948</v>
      </c>
      <c r="D4671" s="194"/>
      <c r="E4671" s="194" t="s">
        <v>1852</v>
      </c>
      <c r="F4671" s="194"/>
    </row>
    <row r="4672" customHeight="1" spans="1:6">
      <c r="A4672" s="9" t="s">
        <v>15949</v>
      </c>
      <c r="B4672" s="223" t="s">
        <v>15950</v>
      </c>
      <c r="C4672" s="223" t="s">
        <v>15951</v>
      </c>
      <c r="D4672" s="194"/>
      <c r="E4672" s="204" t="s">
        <v>92</v>
      </c>
      <c r="F4672" s="204"/>
    </row>
    <row r="4673" customHeight="1" spans="1:6">
      <c r="A4673" s="9" t="s">
        <v>15952</v>
      </c>
      <c r="B4673" s="205" t="s">
        <v>15953</v>
      </c>
      <c r="C4673" s="205" t="s">
        <v>15954</v>
      </c>
      <c r="D4673" s="206" t="s">
        <v>15955</v>
      </c>
      <c r="E4673" s="193" t="s">
        <v>120</v>
      </c>
      <c r="F4673" s="221"/>
    </row>
    <row r="4674" customHeight="1" spans="1:6">
      <c r="A4674" s="9" t="s">
        <v>15956</v>
      </c>
      <c r="B4674" s="200" t="s">
        <v>15957</v>
      </c>
      <c r="C4674" s="202" t="s">
        <v>15958</v>
      </c>
      <c r="D4674" s="152"/>
      <c r="E4674" s="154" t="s">
        <v>232</v>
      </c>
      <c r="F4674" s="180"/>
    </row>
    <row r="4675" customHeight="1" spans="1:6">
      <c r="A4675" s="9" t="s">
        <v>15959</v>
      </c>
      <c r="B4675" s="215" t="s">
        <v>15960</v>
      </c>
      <c r="C4675" s="205" t="s">
        <v>15961</v>
      </c>
      <c r="D4675" s="206" t="s">
        <v>15962</v>
      </c>
      <c r="E4675" s="193" t="s">
        <v>120</v>
      </c>
      <c r="F4675" s="221" t="s">
        <v>15963</v>
      </c>
    </row>
    <row r="4676" customHeight="1" spans="1:6">
      <c r="A4676" s="9" t="s">
        <v>15964</v>
      </c>
      <c r="B4676" s="195" t="s">
        <v>15965</v>
      </c>
      <c r="C4676" s="202" t="s">
        <v>15966</v>
      </c>
      <c r="D4676" s="152" t="s">
        <v>15967</v>
      </c>
      <c r="E4676" s="154"/>
      <c r="F4676" s="180"/>
    </row>
    <row r="4677" customHeight="1" spans="1:6">
      <c r="A4677" s="9" t="s">
        <v>15968</v>
      </c>
      <c r="B4677" s="195" t="s">
        <v>15969</v>
      </c>
      <c r="C4677" s="202" t="s">
        <v>15970</v>
      </c>
      <c r="D4677" s="152"/>
      <c r="E4677" s="154" t="s">
        <v>232</v>
      </c>
      <c r="F4677" s="180"/>
    </row>
    <row r="4678" customHeight="1" spans="1:6">
      <c r="A4678" s="9" t="s">
        <v>15971</v>
      </c>
      <c r="B4678" s="195" t="s">
        <v>15972</v>
      </c>
      <c r="C4678" s="202" t="s">
        <v>15973</v>
      </c>
      <c r="D4678" s="152"/>
      <c r="E4678" s="154" t="s">
        <v>232</v>
      </c>
      <c r="F4678" s="180"/>
    </row>
    <row r="4679" customHeight="1" spans="1:6">
      <c r="A4679" s="9" t="s">
        <v>15974</v>
      </c>
      <c r="B4679" s="26" t="s">
        <v>15975</v>
      </c>
      <c r="C4679" s="26" t="s">
        <v>15976</v>
      </c>
      <c r="D4679" s="194"/>
      <c r="E4679" s="220" t="s">
        <v>92</v>
      </c>
      <c r="F4679" s="220"/>
    </row>
    <row r="4680" customHeight="1" spans="1:6">
      <c r="A4680" s="9" t="s">
        <v>15977</v>
      </c>
      <c r="B4680" s="201" t="s">
        <v>15978</v>
      </c>
      <c r="C4680" s="202" t="s">
        <v>15979</v>
      </c>
      <c r="D4680" s="154"/>
      <c r="E4680" s="154" t="s">
        <v>58</v>
      </c>
      <c r="F4680" s="180"/>
    </row>
    <row r="4681" customHeight="1" spans="1:6">
      <c r="A4681" s="9" t="s">
        <v>15980</v>
      </c>
      <c r="B4681" s="200" t="s">
        <v>15981</v>
      </c>
      <c r="C4681" s="202" t="s">
        <v>15982</v>
      </c>
      <c r="D4681" s="152"/>
      <c r="E4681" s="154" t="s">
        <v>232</v>
      </c>
      <c r="F4681" s="180"/>
    </row>
    <row r="4682" customHeight="1" spans="1:6">
      <c r="A4682" s="9" t="s">
        <v>15983</v>
      </c>
      <c r="B4682" s="214" t="s">
        <v>15984</v>
      </c>
      <c r="C4682" s="214" t="s">
        <v>15985</v>
      </c>
      <c r="D4682" s="194"/>
      <c r="E4682" s="204" t="s">
        <v>92</v>
      </c>
      <c r="F4682" s="204"/>
    </row>
    <row r="4683" customHeight="1" spans="1:6">
      <c r="A4683" s="9" t="s">
        <v>15986</v>
      </c>
      <c r="B4683" s="214" t="s">
        <v>15987</v>
      </c>
      <c r="C4683" s="214" t="s">
        <v>15988</v>
      </c>
      <c r="D4683" s="194"/>
      <c r="E4683" s="204" t="s">
        <v>92</v>
      </c>
      <c r="F4683" s="204"/>
    </row>
    <row r="4684" customHeight="1" spans="1:6">
      <c r="A4684" s="9" t="s">
        <v>15989</v>
      </c>
      <c r="B4684" s="214" t="s">
        <v>15990</v>
      </c>
      <c r="C4684" s="214" t="s">
        <v>15991</v>
      </c>
      <c r="D4684" s="194"/>
      <c r="E4684" s="204" t="s">
        <v>92</v>
      </c>
      <c r="F4684" s="204"/>
    </row>
    <row r="4685" customHeight="1" spans="1:6">
      <c r="A4685" s="9" t="s">
        <v>15992</v>
      </c>
      <c r="B4685" s="200" t="s">
        <v>15993</v>
      </c>
      <c r="C4685" s="202" t="s">
        <v>15994</v>
      </c>
      <c r="D4685" s="152"/>
      <c r="E4685" s="154" t="s">
        <v>232</v>
      </c>
      <c r="F4685" s="180"/>
    </row>
    <row r="4686" customHeight="1" spans="1:6">
      <c r="A4686" s="9" t="s">
        <v>15995</v>
      </c>
      <c r="B4686" s="201" t="s">
        <v>15996</v>
      </c>
      <c r="C4686" s="202" t="s">
        <v>15997</v>
      </c>
      <c r="D4686" s="154">
        <v>968612422</v>
      </c>
      <c r="E4686" s="154" t="s">
        <v>211</v>
      </c>
      <c r="F4686" s="180"/>
    </row>
    <row r="4687" customHeight="1" spans="1:6">
      <c r="A4687" s="9" t="s">
        <v>15998</v>
      </c>
      <c r="B4687" s="214" t="s">
        <v>15999</v>
      </c>
      <c r="C4687" s="214" t="s">
        <v>16000</v>
      </c>
      <c r="D4687" s="194"/>
      <c r="E4687" s="204" t="s">
        <v>92</v>
      </c>
      <c r="F4687" s="204"/>
    </row>
    <row r="4688" customHeight="1" spans="1:6">
      <c r="A4688" s="9" t="s">
        <v>16001</v>
      </c>
      <c r="B4688" s="201" t="s">
        <v>16002</v>
      </c>
      <c r="C4688" s="202" t="s">
        <v>16003</v>
      </c>
      <c r="D4688" s="154" t="s">
        <v>16004</v>
      </c>
      <c r="E4688" s="154"/>
      <c r="F4688" s="180"/>
    </row>
    <row r="4689" customHeight="1" spans="1:6">
      <c r="A4689" s="9" t="s">
        <v>16005</v>
      </c>
      <c r="B4689" s="214" t="s">
        <v>16006</v>
      </c>
      <c r="C4689" s="214" t="s">
        <v>16007</v>
      </c>
      <c r="D4689" s="194"/>
      <c r="E4689" s="204" t="s">
        <v>92</v>
      </c>
      <c r="F4689" s="204"/>
    </row>
    <row r="4690" customHeight="1" spans="1:6">
      <c r="A4690" s="9" t="s">
        <v>16008</v>
      </c>
      <c r="B4690" s="158" t="s">
        <v>16009</v>
      </c>
      <c r="C4690" s="203" t="s">
        <v>16010</v>
      </c>
      <c r="D4690" s="158"/>
      <c r="E4690" s="158" t="s">
        <v>216</v>
      </c>
      <c r="F4690" s="158"/>
    </row>
    <row r="4691" customHeight="1" spans="1:6">
      <c r="A4691" s="9" t="s">
        <v>16011</v>
      </c>
      <c r="B4691" s="205" t="s">
        <v>16012</v>
      </c>
      <c r="C4691" s="205" t="s">
        <v>16013</v>
      </c>
      <c r="D4691" s="206" t="s">
        <v>16014</v>
      </c>
      <c r="E4691" s="193" t="s">
        <v>120</v>
      </c>
      <c r="F4691" s="237" t="s">
        <v>16015</v>
      </c>
    </row>
    <row r="4692" customHeight="1" spans="1:6">
      <c r="A4692" s="9" t="s">
        <v>16016</v>
      </c>
      <c r="B4692" s="200" t="s">
        <v>16017</v>
      </c>
      <c r="C4692" s="202" t="s">
        <v>16018</v>
      </c>
      <c r="D4692" s="152"/>
      <c r="E4692" s="154" t="s">
        <v>232</v>
      </c>
      <c r="F4692" s="180"/>
    </row>
    <row r="4693" customHeight="1" spans="1:6">
      <c r="A4693" s="9" t="s">
        <v>16019</v>
      </c>
      <c r="B4693" s="200" t="s">
        <v>16020</v>
      </c>
      <c r="C4693" s="202" t="s">
        <v>16021</v>
      </c>
      <c r="D4693" s="152"/>
      <c r="E4693" s="154" t="s">
        <v>232</v>
      </c>
      <c r="F4693" s="180"/>
    </row>
    <row r="4694" customHeight="1" spans="1:6">
      <c r="A4694" s="9" t="s">
        <v>16022</v>
      </c>
      <c r="B4694" s="160" t="s">
        <v>16023</v>
      </c>
      <c r="C4694" s="160" t="s">
        <v>16024</v>
      </c>
      <c r="D4694" s="204" t="s">
        <v>16025</v>
      </c>
      <c r="E4694" s="204" t="s">
        <v>92</v>
      </c>
      <c r="F4694" s="204"/>
    </row>
    <row r="4695" customHeight="1" spans="1:6">
      <c r="A4695" s="9" t="s">
        <v>16026</v>
      </c>
      <c r="B4695" s="214" t="s">
        <v>16027</v>
      </c>
      <c r="C4695" s="214" t="s">
        <v>16028</v>
      </c>
      <c r="D4695" s="194"/>
      <c r="E4695" s="204" t="s">
        <v>92</v>
      </c>
      <c r="F4695" s="204"/>
    </row>
    <row r="4696" customHeight="1" spans="1:6">
      <c r="A4696" s="9" t="s">
        <v>16029</v>
      </c>
      <c r="B4696" s="214" t="s">
        <v>16030</v>
      </c>
      <c r="C4696" s="214" t="s">
        <v>16031</v>
      </c>
      <c r="D4696" s="204" t="s">
        <v>16032</v>
      </c>
      <c r="E4696" s="204" t="s">
        <v>92</v>
      </c>
      <c r="F4696" s="204"/>
    </row>
    <row r="4697" customHeight="1" spans="1:6">
      <c r="A4697" s="9" t="s">
        <v>16033</v>
      </c>
      <c r="B4697" s="201" t="s">
        <v>16034</v>
      </c>
      <c r="C4697" s="202" t="s">
        <v>16035</v>
      </c>
      <c r="D4697" s="154"/>
      <c r="E4697" s="154" t="s">
        <v>58</v>
      </c>
      <c r="F4697" s="180"/>
    </row>
    <row r="4698" customHeight="1" spans="1:6">
      <c r="A4698" s="9" t="s">
        <v>16036</v>
      </c>
      <c r="B4698" s="153" t="s">
        <v>16037</v>
      </c>
      <c r="C4698" s="202" t="s">
        <v>16038</v>
      </c>
      <c r="D4698" s="152"/>
      <c r="E4698" s="154" t="s">
        <v>104</v>
      </c>
      <c r="F4698" s="180"/>
    </row>
    <row r="4699" customHeight="1" spans="1:6">
      <c r="A4699" s="9" t="s">
        <v>16039</v>
      </c>
      <c r="B4699" s="195" t="s">
        <v>16040</v>
      </c>
      <c r="C4699" s="202" t="s">
        <v>16041</v>
      </c>
      <c r="D4699" s="152" t="s">
        <v>16042</v>
      </c>
      <c r="E4699" s="154" t="s">
        <v>104</v>
      </c>
      <c r="F4699" s="180"/>
    </row>
    <row r="4700" customHeight="1" spans="1:6">
      <c r="A4700" s="9" t="s">
        <v>16043</v>
      </c>
      <c r="B4700" s="201" t="s">
        <v>16044</v>
      </c>
      <c r="C4700" s="202" t="s">
        <v>16045</v>
      </c>
      <c r="D4700" s="154"/>
      <c r="E4700" s="154" t="s">
        <v>1395</v>
      </c>
      <c r="F4700" s="180"/>
    </row>
    <row r="4701" customHeight="1" spans="1:6">
      <c r="A4701" s="9" t="s">
        <v>16046</v>
      </c>
      <c r="B4701" s="280" t="s">
        <v>16047</v>
      </c>
      <c r="C4701" s="202" t="s">
        <v>16048</v>
      </c>
      <c r="D4701" s="153"/>
      <c r="E4701" s="180" t="s">
        <v>104</v>
      </c>
      <c r="F4701" s="180"/>
    </row>
    <row r="4702" customHeight="1" spans="1:6">
      <c r="A4702" s="9" t="s">
        <v>16049</v>
      </c>
      <c r="B4702" s="195" t="s">
        <v>16050</v>
      </c>
      <c r="C4702" s="202" t="s">
        <v>16051</v>
      </c>
      <c r="D4702" s="152"/>
      <c r="E4702" s="154" t="s">
        <v>232</v>
      </c>
      <c r="F4702" s="180"/>
    </row>
    <row r="4703" customHeight="1" spans="1:6">
      <c r="A4703" s="9" t="s">
        <v>16052</v>
      </c>
      <c r="B4703" s="195" t="s">
        <v>16053</v>
      </c>
      <c r="C4703" s="202" t="s">
        <v>16054</v>
      </c>
      <c r="D4703" s="158"/>
      <c r="E4703" s="154" t="s">
        <v>202</v>
      </c>
      <c r="F4703" s="180"/>
    </row>
    <row r="4704" customHeight="1" spans="1:6">
      <c r="A4704" s="9" t="s">
        <v>16055</v>
      </c>
      <c r="B4704" s="201" t="s">
        <v>16056</v>
      </c>
      <c r="C4704" s="202" t="s">
        <v>16057</v>
      </c>
      <c r="D4704" s="154"/>
      <c r="E4704" s="154"/>
      <c r="F4704" s="180"/>
    </row>
    <row r="4705" customHeight="1" spans="1:6">
      <c r="A4705" s="9" t="s">
        <v>16058</v>
      </c>
      <c r="B4705" s="214" t="s">
        <v>16059</v>
      </c>
      <c r="C4705" s="214" t="s">
        <v>16060</v>
      </c>
      <c r="D4705" s="194"/>
      <c r="E4705" s="204" t="s">
        <v>92</v>
      </c>
      <c r="F4705" s="204"/>
    </row>
    <row r="4706" customHeight="1" spans="1:6">
      <c r="A4706" s="9" t="s">
        <v>16061</v>
      </c>
      <c r="B4706" s="215" t="s">
        <v>16062</v>
      </c>
      <c r="C4706" s="205" t="s">
        <v>16063</v>
      </c>
      <c r="D4706" s="227" t="s">
        <v>16064</v>
      </c>
      <c r="E4706" s="193" t="s">
        <v>120</v>
      </c>
      <c r="F4706" s="216"/>
    </row>
    <row r="4707" customHeight="1" spans="1:6">
      <c r="A4707" s="9" t="s">
        <v>16065</v>
      </c>
      <c r="B4707" s="160" t="s">
        <v>16066</v>
      </c>
      <c r="C4707" s="160" t="s">
        <v>16067</v>
      </c>
      <c r="D4707" s="204" t="s">
        <v>16068</v>
      </c>
      <c r="E4707" s="204" t="s">
        <v>92</v>
      </c>
      <c r="F4707" s="204"/>
    </row>
    <row r="4708" customHeight="1" spans="1:6">
      <c r="A4708" s="9" t="s">
        <v>16069</v>
      </c>
      <c r="B4708" s="160" t="s">
        <v>16070</v>
      </c>
      <c r="C4708" s="160" t="s">
        <v>16071</v>
      </c>
      <c r="D4708" s="204" t="s">
        <v>16072</v>
      </c>
      <c r="E4708" s="204" t="s">
        <v>92</v>
      </c>
      <c r="F4708" s="204"/>
    </row>
    <row r="4709" customHeight="1" spans="1:6">
      <c r="A4709" s="9" t="s">
        <v>16073</v>
      </c>
      <c r="B4709" s="195" t="s">
        <v>16074</v>
      </c>
      <c r="C4709" s="202" t="s">
        <v>16075</v>
      </c>
      <c r="D4709" s="152"/>
      <c r="E4709" s="154" t="s">
        <v>232</v>
      </c>
      <c r="F4709" s="180"/>
    </row>
    <row r="4710" customHeight="1" spans="1:6">
      <c r="A4710" s="9" t="s">
        <v>16076</v>
      </c>
      <c r="B4710" s="200" t="s">
        <v>16077</v>
      </c>
      <c r="C4710" s="202" t="s">
        <v>16078</v>
      </c>
      <c r="D4710" s="152"/>
      <c r="E4710" s="154" t="s">
        <v>232</v>
      </c>
      <c r="F4710" s="180"/>
    </row>
    <row r="4711" customHeight="1" spans="1:6">
      <c r="A4711" s="9" t="s">
        <v>16079</v>
      </c>
      <c r="B4711" s="195" t="s">
        <v>16080</v>
      </c>
      <c r="C4711" s="212" t="s">
        <v>16081</v>
      </c>
      <c r="D4711" s="197"/>
      <c r="E4711" s="198" t="s">
        <v>202</v>
      </c>
      <c r="F4711" s="199"/>
    </row>
    <row r="4712" customHeight="1" spans="1:6">
      <c r="A4712" s="9" t="s">
        <v>16082</v>
      </c>
      <c r="B4712" s="200" t="s">
        <v>16083</v>
      </c>
      <c r="C4712" s="202" t="s">
        <v>16084</v>
      </c>
      <c r="D4712" s="152" t="s">
        <v>16085</v>
      </c>
      <c r="E4712" s="154" t="s">
        <v>232</v>
      </c>
      <c r="F4712" s="180"/>
    </row>
    <row r="4713" customHeight="1" spans="1:6">
      <c r="A4713" s="9" t="s">
        <v>16086</v>
      </c>
      <c r="B4713" s="201" t="s">
        <v>16087</v>
      </c>
      <c r="C4713" s="202" t="s">
        <v>16088</v>
      </c>
      <c r="D4713" s="154" t="s">
        <v>16089</v>
      </c>
      <c r="E4713" s="154" t="s">
        <v>58</v>
      </c>
      <c r="F4713" s="180"/>
    </row>
    <row r="4714" customHeight="1" spans="1:6">
      <c r="A4714" s="9" t="s">
        <v>16090</v>
      </c>
      <c r="B4714" s="195" t="s">
        <v>16091</v>
      </c>
      <c r="C4714" s="202" t="s">
        <v>16092</v>
      </c>
      <c r="D4714" s="152" t="s">
        <v>4283</v>
      </c>
      <c r="E4714" s="154" t="s">
        <v>181</v>
      </c>
      <c r="F4714" s="180"/>
    </row>
    <row r="4715" customHeight="1" spans="1:6">
      <c r="A4715" s="9" t="s">
        <v>16093</v>
      </c>
      <c r="B4715" s="214" t="s">
        <v>16094</v>
      </c>
      <c r="C4715" s="214" t="s">
        <v>16095</v>
      </c>
      <c r="D4715" s="194"/>
      <c r="E4715" s="204" t="s">
        <v>92</v>
      </c>
      <c r="F4715" s="204"/>
    </row>
    <row r="4716" customHeight="1" spans="1:6">
      <c r="A4716" s="9" t="s">
        <v>16096</v>
      </c>
      <c r="B4716" s="158" t="s">
        <v>16097</v>
      </c>
      <c r="C4716" s="202" t="s">
        <v>16098</v>
      </c>
      <c r="D4716" s="153">
        <v>943841799</v>
      </c>
      <c r="E4716" s="180" t="s">
        <v>202</v>
      </c>
      <c r="F4716" s="180"/>
    </row>
    <row r="4717" customHeight="1" spans="1:6">
      <c r="A4717" s="9" t="s">
        <v>16099</v>
      </c>
      <c r="B4717" s="214" t="s">
        <v>16100</v>
      </c>
      <c r="C4717" s="214" t="s">
        <v>16101</v>
      </c>
      <c r="D4717" s="194"/>
      <c r="E4717" s="204" t="s">
        <v>92</v>
      </c>
      <c r="F4717" s="204"/>
    </row>
    <row r="4718" customHeight="1" spans="1:6">
      <c r="A4718" s="9" t="s">
        <v>16102</v>
      </c>
      <c r="B4718" s="160" t="s">
        <v>16103</v>
      </c>
      <c r="C4718" s="160" t="s">
        <v>16104</v>
      </c>
      <c r="D4718" s="204" t="s">
        <v>16105</v>
      </c>
      <c r="E4718" s="204" t="s">
        <v>92</v>
      </c>
      <c r="F4718" s="204"/>
    </row>
    <row r="4719" customHeight="1" spans="1:6">
      <c r="A4719" s="9" t="s">
        <v>16106</v>
      </c>
      <c r="B4719" s="222" t="str">
        <f>IFERROR(__xludf.DUMMYFUNCTION("""COMPUTED_VALUE"""),"Birkty Araya Kidane")</f>
        <v>Birkty Araya Kidane</v>
      </c>
      <c r="C4719" s="222" t="str">
        <f>IFERROR(__xludf.DUMMYFUNCTION("""COMPUTED_VALUE"""),"ብርክቲ አርአያ ኪዳነ")</f>
        <v>ብርክቲ አርአያ ኪዳነ</v>
      </c>
      <c r="D4719" s="222" t="str">
        <f>IFERROR(__xludf.DUMMYFUNCTION("""COMPUTED_VALUE"""),"911334060")</f>
        <v>911334060</v>
      </c>
      <c r="E4719" s="222" t="str">
        <f>IFERROR(__xludf.DUMMYFUNCTION("""COMPUTED_VALUE"""),"Addis Ababa")</f>
        <v>Addis Ababa</v>
      </c>
      <c r="F4719" s="222"/>
    </row>
    <row r="4720" customHeight="1" spans="1:6">
      <c r="A4720" s="9" t="s">
        <v>16107</v>
      </c>
      <c r="B4720" s="200" t="s">
        <v>16108</v>
      </c>
      <c r="C4720" s="236" t="s">
        <v>16109</v>
      </c>
      <c r="D4720" s="194" t="s">
        <v>16110</v>
      </c>
      <c r="E4720" s="193" t="s">
        <v>216</v>
      </c>
      <c r="F4720" s="191"/>
    </row>
    <row r="4721" customHeight="1" spans="1:6">
      <c r="A4721" s="9" t="s">
        <v>16111</v>
      </c>
      <c r="B4721" s="153" t="s">
        <v>16112</v>
      </c>
      <c r="C4721" s="202" t="s">
        <v>16113</v>
      </c>
      <c r="D4721" s="154"/>
      <c r="E4721" s="154" t="s">
        <v>104</v>
      </c>
      <c r="F4721" s="180"/>
    </row>
    <row r="4722" customHeight="1" spans="1:6">
      <c r="A4722" s="9" t="s">
        <v>16114</v>
      </c>
      <c r="B4722" s="200" t="s">
        <v>16115</v>
      </c>
      <c r="C4722" s="202" t="s">
        <v>16116</v>
      </c>
      <c r="D4722" s="158"/>
      <c r="E4722" s="154"/>
      <c r="F4722" s="180"/>
    </row>
    <row r="4723" customHeight="1" spans="1:6">
      <c r="A4723" s="9" t="s">
        <v>16117</v>
      </c>
      <c r="B4723" s="201" t="s">
        <v>16118</v>
      </c>
      <c r="C4723" s="202" t="s">
        <v>16119</v>
      </c>
      <c r="D4723" s="153"/>
      <c r="E4723" s="180" t="s">
        <v>202</v>
      </c>
      <c r="F4723" s="180"/>
    </row>
    <row r="4724" customHeight="1" spans="1:6">
      <c r="A4724" s="9" t="s">
        <v>16120</v>
      </c>
      <c r="B4724" s="195" t="s">
        <v>16121</v>
      </c>
      <c r="C4724" s="212" t="s">
        <v>16122</v>
      </c>
      <c r="D4724" s="197" t="s">
        <v>16123</v>
      </c>
      <c r="E4724" s="154" t="s">
        <v>104</v>
      </c>
      <c r="F4724" s="199"/>
    </row>
    <row r="4725" customHeight="1" spans="1:6">
      <c r="A4725" s="9" t="s">
        <v>16124</v>
      </c>
      <c r="B4725" s="201" t="s">
        <v>16125</v>
      </c>
      <c r="C4725" s="202" t="s">
        <v>16126</v>
      </c>
      <c r="D4725" s="154"/>
      <c r="E4725" s="154" t="s">
        <v>58</v>
      </c>
      <c r="F4725" s="180"/>
    </row>
    <row r="4726" customHeight="1" spans="1:6">
      <c r="A4726" s="9" t="s">
        <v>16127</v>
      </c>
      <c r="B4726" s="214" t="s">
        <v>16128</v>
      </c>
      <c r="C4726" s="214" t="s">
        <v>16129</v>
      </c>
      <c r="D4726" s="194"/>
      <c r="E4726" s="204" t="s">
        <v>92</v>
      </c>
      <c r="F4726" s="204"/>
    </row>
    <row r="4727" customHeight="1" spans="1:6">
      <c r="A4727" s="9" t="s">
        <v>16130</v>
      </c>
      <c r="B4727" s="195" t="s">
        <v>16131</v>
      </c>
      <c r="C4727" s="213" t="s">
        <v>16132</v>
      </c>
      <c r="D4727" s="197"/>
      <c r="E4727" s="197" t="s">
        <v>202</v>
      </c>
      <c r="F4727" s="197"/>
    </row>
    <row r="4728" customHeight="1" spans="1:6">
      <c r="A4728" s="9" t="s">
        <v>16133</v>
      </c>
      <c r="B4728" s="195" t="s">
        <v>16134</v>
      </c>
      <c r="C4728" s="202" t="s">
        <v>16135</v>
      </c>
      <c r="D4728" s="152"/>
      <c r="E4728" s="154"/>
      <c r="F4728" s="180"/>
    </row>
    <row r="4729" customHeight="1" spans="1:6">
      <c r="A4729" s="9" t="s">
        <v>16136</v>
      </c>
      <c r="B4729" s="153" t="s">
        <v>16137</v>
      </c>
      <c r="C4729" s="202" t="s">
        <v>16138</v>
      </c>
      <c r="D4729" s="158">
        <v>904470843</v>
      </c>
      <c r="E4729" s="158" t="s">
        <v>32</v>
      </c>
      <c r="F4729" s="153"/>
    </row>
    <row r="4730" customHeight="1" spans="1:6">
      <c r="A4730" s="9" t="s">
        <v>16139</v>
      </c>
      <c r="B4730" s="219" t="s">
        <v>16140</v>
      </c>
      <c r="C4730" s="219" t="s">
        <v>16141</v>
      </c>
      <c r="D4730" s="194"/>
      <c r="E4730" s="204" t="s">
        <v>92</v>
      </c>
      <c r="F4730" s="204"/>
    </row>
    <row r="4731" customHeight="1" spans="1:6">
      <c r="A4731" s="9" t="s">
        <v>16142</v>
      </c>
      <c r="B4731" s="166" t="str">
        <f>IFERROR(__xludf.DUMMYFUNCTION("""COMPUTED_VALUE"""),"Birtukan Anagaw Wondem")</f>
        <v>Birtukan Anagaw Wondem</v>
      </c>
      <c r="C4731" s="166" t="str">
        <f>IFERROR(__xludf.DUMMYFUNCTION("""COMPUTED_VALUE"""),"ብርቱካን አናጋዉ ወንድም")</f>
        <v>ብርቱካን አናጋዉ ወንድም</v>
      </c>
      <c r="D4731" s="166" t="str">
        <f>IFERROR(__xludf.DUMMYFUNCTION("""COMPUTED_VALUE"""),"911158499")</f>
        <v>911158499</v>
      </c>
      <c r="E4731" s="166" t="str">
        <f>IFERROR(__xludf.DUMMYFUNCTION("""COMPUTED_VALUE"""),"Addis Ababa")</f>
        <v>Addis Ababa</v>
      </c>
      <c r="F4731" s="166"/>
    </row>
    <row r="4732" customHeight="1" spans="1:6">
      <c r="A4732" s="9" t="s">
        <v>16143</v>
      </c>
      <c r="B4732" s="153" t="s">
        <v>16144</v>
      </c>
      <c r="C4732" s="202" t="s">
        <v>16145</v>
      </c>
      <c r="D4732" s="154">
        <v>942139195</v>
      </c>
      <c r="E4732" s="154" t="s">
        <v>104</v>
      </c>
      <c r="F4732" s="180"/>
    </row>
    <row r="4733" customHeight="1" spans="1:6">
      <c r="A4733" s="9" t="s">
        <v>16146</v>
      </c>
      <c r="B4733" s="214" t="s">
        <v>16147</v>
      </c>
      <c r="C4733" s="214" t="s">
        <v>16148</v>
      </c>
      <c r="D4733" s="194"/>
      <c r="E4733" s="204" t="s">
        <v>92</v>
      </c>
      <c r="F4733" s="204"/>
    </row>
    <row r="4734" customHeight="1" spans="1:6">
      <c r="A4734" s="9" t="s">
        <v>16149</v>
      </c>
      <c r="B4734" s="201" t="s">
        <v>16150</v>
      </c>
      <c r="C4734" s="202" t="s">
        <v>16151</v>
      </c>
      <c r="D4734" s="154"/>
      <c r="E4734" s="154" t="s">
        <v>310</v>
      </c>
      <c r="F4734" s="180"/>
    </row>
    <row r="4735" customHeight="1" spans="1:6">
      <c r="A4735" s="9" t="s">
        <v>16152</v>
      </c>
      <c r="B4735" s="158" t="s">
        <v>16153</v>
      </c>
      <c r="C4735" s="202" t="s">
        <v>16154</v>
      </c>
      <c r="D4735" s="339">
        <v>910513639</v>
      </c>
      <c r="E4735" s="154" t="s">
        <v>497</v>
      </c>
      <c r="F4735" s="180"/>
    </row>
    <row r="4736" customHeight="1" spans="1:6">
      <c r="A4736" s="9" t="s">
        <v>16155</v>
      </c>
      <c r="B4736" s="200" t="s">
        <v>16156</v>
      </c>
      <c r="C4736" s="246" t="s">
        <v>16157</v>
      </c>
      <c r="D4736" s="194"/>
      <c r="E4736" s="194" t="s">
        <v>186</v>
      </c>
      <c r="F4736" s="194"/>
    </row>
    <row r="4737" customHeight="1" spans="1:6">
      <c r="A4737" s="9" t="s">
        <v>16158</v>
      </c>
      <c r="B4737" s="194" t="s">
        <v>16159</v>
      </c>
      <c r="C4737" s="192" t="s">
        <v>16160</v>
      </c>
      <c r="D4737" s="194"/>
      <c r="E4737" s="194" t="s">
        <v>243</v>
      </c>
      <c r="F4737" s="194"/>
    </row>
    <row r="4738" customHeight="1" spans="1:6">
      <c r="A4738" s="9" t="s">
        <v>16161</v>
      </c>
      <c r="B4738" s="234" t="s">
        <v>16162</v>
      </c>
      <c r="C4738" s="235" t="s">
        <v>16163</v>
      </c>
      <c r="D4738" s="36" t="s">
        <v>16164</v>
      </c>
      <c r="E4738" s="45" t="s">
        <v>691</v>
      </c>
      <c r="F4738" s="45"/>
    </row>
    <row r="4739" customHeight="1" spans="1:6">
      <c r="A4739" s="9" t="s">
        <v>16165</v>
      </c>
      <c r="B4739" s="200" t="s">
        <v>16166</v>
      </c>
      <c r="C4739" s="192" t="s">
        <v>16167</v>
      </c>
      <c r="D4739" s="194" t="s">
        <v>16168</v>
      </c>
      <c r="E4739" s="194" t="s">
        <v>58</v>
      </c>
      <c r="F4739" s="194"/>
    </row>
    <row r="4740" customHeight="1" spans="1:6">
      <c r="A4740" s="9" t="s">
        <v>16169</v>
      </c>
      <c r="B4740" s="215" t="s">
        <v>16170</v>
      </c>
      <c r="C4740" s="205" t="s">
        <v>16171</v>
      </c>
      <c r="D4740" s="255" t="s">
        <v>16172</v>
      </c>
      <c r="E4740" s="26" t="s">
        <v>92</v>
      </c>
      <c r="F4740" s="26" t="s">
        <v>16173</v>
      </c>
    </row>
    <row r="4741" customHeight="1" spans="1:6">
      <c r="A4741" s="9" t="s">
        <v>16174</v>
      </c>
      <c r="B4741" s="201" t="s">
        <v>16175</v>
      </c>
      <c r="C4741" s="202" t="s">
        <v>16176</v>
      </c>
      <c r="D4741" s="154"/>
      <c r="E4741" s="154" t="s">
        <v>243</v>
      </c>
      <c r="F4741" s="180"/>
    </row>
    <row r="4742" customHeight="1" spans="1:6">
      <c r="A4742" s="9" t="s">
        <v>16177</v>
      </c>
      <c r="B4742" s="222" t="str">
        <f>IFERROR(__xludf.DUMMYFUNCTION("""COMPUTED_VALUE"""),"BIrtukan Hunachew Ayalew")</f>
        <v>BIrtukan Hunachew Ayalew</v>
      </c>
      <c r="C4742" s="222" t="str">
        <f>IFERROR(__xludf.DUMMYFUNCTION("""COMPUTED_VALUE"""),"ብርትኳን ሁናቸው አያሌው")</f>
        <v>ብርትኳን ሁናቸው አያሌው</v>
      </c>
      <c r="D4742" s="222" t="str">
        <f>IFERROR(__xludf.DUMMYFUNCTION("""COMPUTED_VALUE"""),"0918-762399")</f>
        <v>0918-762399</v>
      </c>
      <c r="E4742" s="222" t="str">
        <f>IFERROR(__xludf.DUMMYFUNCTION("""COMPUTED_VALUE"""),"addis abeba")</f>
        <v>addis abeba</v>
      </c>
      <c r="F4742" s="222"/>
    </row>
    <row r="4743" customHeight="1" spans="1:6">
      <c r="A4743" s="9" t="s">
        <v>16178</v>
      </c>
      <c r="B4743" s="238" t="s">
        <v>16179</v>
      </c>
      <c r="C4743" s="202" t="s">
        <v>16180</v>
      </c>
      <c r="D4743" s="154"/>
      <c r="E4743" s="154" t="s">
        <v>181</v>
      </c>
      <c r="F4743" s="180"/>
    </row>
    <row r="4744" customHeight="1" spans="1:6">
      <c r="A4744" s="9" t="s">
        <v>16181</v>
      </c>
      <c r="B4744" s="220" t="str">
        <f>IFERROR(__xludf.DUMMYFUNCTION("""COMPUTED_VALUE"""),"Birtukan Kedir Bahiru")</f>
        <v>Birtukan Kedir Bahiru</v>
      </c>
      <c r="C4744" s="220" t="str">
        <f>IFERROR(__xludf.DUMMYFUNCTION("""COMPUTED_VALUE"""),"ብርቱካን ከድር ባህሩ")</f>
        <v>ብርቱካን ከድር ባህሩ</v>
      </c>
      <c r="D4744" s="220" t="str">
        <f>IFERROR(__xludf.DUMMYFUNCTION("""COMPUTED_VALUE"""),"940111064")</f>
        <v>940111064</v>
      </c>
      <c r="E4744" s="220" t="str">
        <f>IFERROR(__xludf.DUMMYFUNCTION("""COMPUTED_VALUE"""),"addis abeba")</f>
        <v>addis abeba</v>
      </c>
      <c r="F4744" s="220"/>
    </row>
    <row r="4745" customHeight="1" spans="1:6">
      <c r="A4745" s="9" t="s">
        <v>16182</v>
      </c>
      <c r="B4745" s="205" t="s">
        <v>16183</v>
      </c>
      <c r="C4745" s="205" t="s">
        <v>16184</v>
      </c>
      <c r="D4745" s="206" t="s">
        <v>16185</v>
      </c>
      <c r="E4745" s="193" t="s">
        <v>120</v>
      </c>
      <c r="F4745" s="239" t="s">
        <v>16186</v>
      </c>
    </row>
    <row r="4746" customHeight="1" spans="1:6">
      <c r="A4746" s="9" t="s">
        <v>16187</v>
      </c>
      <c r="B4746" s="214" t="s">
        <v>16188</v>
      </c>
      <c r="C4746" s="214" t="s">
        <v>16189</v>
      </c>
      <c r="D4746" s="194"/>
      <c r="E4746" s="204" t="s">
        <v>92</v>
      </c>
      <c r="F4746" s="204"/>
    </row>
    <row r="4747" customHeight="1" spans="1:6">
      <c r="A4747" s="9" t="s">
        <v>16190</v>
      </c>
      <c r="B4747" s="194" t="s">
        <v>16191</v>
      </c>
      <c r="C4747" s="192" t="s">
        <v>16192</v>
      </c>
      <c r="D4747" s="194" t="s">
        <v>16193</v>
      </c>
      <c r="E4747" s="194" t="s">
        <v>561</v>
      </c>
      <c r="F4747" s="194"/>
    </row>
    <row r="4748" customHeight="1" spans="1:6">
      <c r="A4748" s="9" t="s">
        <v>16194</v>
      </c>
      <c r="B4748" s="215" t="s">
        <v>16195</v>
      </c>
      <c r="C4748" s="205" t="s">
        <v>16196</v>
      </c>
      <c r="D4748" s="244" t="s">
        <v>16197</v>
      </c>
      <c r="E4748" s="26" t="s">
        <v>92</v>
      </c>
      <c r="F4748" s="26" t="s">
        <v>16198</v>
      </c>
    </row>
    <row r="4749" customHeight="1" spans="1:6">
      <c r="A4749" s="9" t="s">
        <v>16199</v>
      </c>
      <c r="B4749" s="214" t="s">
        <v>16200</v>
      </c>
      <c r="C4749" s="214" t="s">
        <v>16201</v>
      </c>
      <c r="D4749" s="194"/>
      <c r="E4749" s="204" t="s">
        <v>92</v>
      </c>
      <c r="F4749" s="204"/>
    </row>
    <row r="4750" customHeight="1" spans="1:6">
      <c r="A4750" s="9" t="s">
        <v>16202</v>
      </c>
      <c r="B4750" s="214" t="s">
        <v>16203</v>
      </c>
      <c r="C4750" s="214" t="s">
        <v>16204</v>
      </c>
      <c r="D4750" s="194"/>
      <c r="E4750" s="204" t="s">
        <v>92</v>
      </c>
      <c r="F4750" s="204"/>
    </row>
    <row r="4751" customHeight="1" spans="1:6">
      <c r="A4751" s="9" t="s">
        <v>16205</v>
      </c>
      <c r="B4751" s="214" t="s">
        <v>16206</v>
      </c>
      <c r="C4751" s="214" t="s">
        <v>16207</v>
      </c>
      <c r="D4751" s="194"/>
      <c r="E4751" s="204" t="s">
        <v>92</v>
      </c>
      <c r="F4751" s="204"/>
    </row>
    <row r="4752" customHeight="1" spans="1:6">
      <c r="A4752" s="9" t="s">
        <v>16208</v>
      </c>
      <c r="B4752" s="162" t="s">
        <v>16209</v>
      </c>
      <c r="C4752" s="205" t="s">
        <v>16210</v>
      </c>
      <c r="D4752" s="342" t="s">
        <v>3260</v>
      </c>
      <c r="E4752" s="193" t="s">
        <v>120</v>
      </c>
      <c r="F4752" s="267"/>
    </row>
    <row r="4753" customHeight="1" spans="1:6">
      <c r="A4753" s="9" t="s">
        <v>16211</v>
      </c>
      <c r="B4753" s="223" t="s">
        <v>16212</v>
      </c>
      <c r="C4753" s="223" t="s">
        <v>16213</v>
      </c>
      <c r="D4753" s="204" t="s">
        <v>16214</v>
      </c>
      <c r="E4753" s="204" t="s">
        <v>92</v>
      </c>
      <c r="F4753" s="204"/>
    </row>
    <row r="4754" customHeight="1" spans="1:6">
      <c r="A4754" s="9" t="s">
        <v>16215</v>
      </c>
      <c r="B4754" s="214" t="s">
        <v>16216</v>
      </c>
      <c r="C4754" s="214" t="s">
        <v>16217</v>
      </c>
      <c r="D4754" s="194"/>
      <c r="E4754" s="204" t="s">
        <v>92</v>
      </c>
      <c r="F4754" s="204"/>
    </row>
    <row r="4755" customHeight="1" spans="1:6">
      <c r="A4755" s="9" t="s">
        <v>16218</v>
      </c>
      <c r="B4755" s="160" t="s">
        <v>16219</v>
      </c>
      <c r="C4755" s="160" t="s">
        <v>16220</v>
      </c>
      <c r="D4755" s="204" t="s">
        <v>16221</v>
      </c>
      <c r="E4755" s="204" t="s">
        <v>92</v>
      </c>
      <c r="F4755" s="204"/>
    </row>
    <row r="4756" customHeight="1" spans="1:6">
      <c r="A4756" s="9" t="s">
        <v>16222</v>
      </c>
      <c r="B4756" s="215" t="s">
        <v>16223</v>
      </c>
      <c r="C4756" s="205" t="s">
        <v>16224</v>
      </c>
      <c r="D4756" s="244" t="s">
        <v>16225</v>
      </c>
      <c r="E4756" s="26" t="s">
        <v>92</v>
      </c>
      <c r="F4756" s="26" t="s">
        <v>16226</v>
      </c>
    </row>
    <row r="4757" customHeight="1" spans="1:6">
      <c r="A4757" s="9" t="s">
        <v>16227</v>
      </c>
      <c r="B4757" s="200" t="s">
        <v>16228</v>
      </c>
      <c r="C4757" s="202" t="s">
        <v>16229</v>
      </c>
      <c r="D4757" s="152"/>
      <c r="E4757" s="154" t="s">
        <v>211</v>
      </c>
      <c r="F4757" s="180"/>
    </row>
    <row r="4758" customHeight="1" spans="1:6">
      <c r="A4758" s="9" t="s">
        <v>16230</v>
      </c>
      <c r="B4758" s="214" t="s">
        <v>16231</v>
      </c>
      <c r="C4758" s="214" t="s">
        <v>16232</v>
      </c>
      <c r="D4758" s="204">
        <v>972106337</v>
      </c>
      <c r="E4758" s="204" t="s">
        <v>92</v>
      </c>
      <c r="F4758" s="204"/>
    </row>
    <row r="4759" customHeight="1" spans="1:6">
      <c r="A4759" s="9" t="s">
        <v>16233</v>
      </c>
      <c r="B4759" s="201" t="s">
        <v>16234</v>
      </c>
      <c r="C4759" s="202" t="s">
        <v>16235</v>
      </c>
      <c r="D4759" s="154" t="s">
        <v>16236</v>
      </c>
      <c r="E4759" s="154" t="s">
        <v>211</v>
      </c>
      <c r="F4759" s="180"/>
    </row>
    <row r="4760" customHeight="1" spans="1:6">
      <c r="A4760" s="9" t="s">
        <v>16237</v>
      </c>
      <c r="B4760" s="201" t="s">
        <v>16238</v>
      </c>
      <c r="C4760" s="202" t="s">
        <v>16239</v>
      </c>
      <c r="D4760" s="154" t="s">
        <v>16240</v>
      </c>
      <c r="E4760" s="154" t="s">
        <v>211</v>
      </c>
      <c r="F4760" s="180"/>
    </row>
    <row r="4761" customHeight="1" spans="1:6">
      <c r="A4761" s="9" t="s">
        <v>16241</v>
      </c>
      <c r="B4761" s="158" t="s">
        <v>16242</v>
      </c>
      <c r="C4761" s="202" t="s">
        <v>16243</v>
      </c>
      <c r="D4761" s="158"/>
      <c r="E4761" s="154" t="s">
        <v>211</v>
      </c>
      <c r="F4761" s="250"/>
    </row>
    <row r="4762" customHeight="1" spans="1:6">
      <c r="A4762" s="9" t="s">
        <v>16244</v>
      </c>
      <c r="B4762" s="195" t="s">
        <v>16245</v>
      </c>
      <c r="C4762" s="196" t="s">
        <v>16246</v>
      </c>
      <c r="D4762" s="197" t="s">
        <v>16247</v>
      </c>
      <c r="E4762" s="198" t="s">
        <v>202</v>
      </c>
      <c r="F4762" s="199"/>
    </row>
    <row r="4763" customHeight="1" spans="1:6">
      <c r="A4763" s="9" t="s">
        <v>16248</v>
      </c>
      <c r="B4763" s="162" t="s">
        <v>16249</v>
      </c>
      <c r="C4763" s="205" t="s">
        <v>16250</v>
      </c>
      <c r="D4763" s="342" t="s">
        <v>16251</v>
      </c>
      <c r="E4763" s="193" t="s">
        <v>120</v>
      </c>
      <c r="F4763" s="216" t="s">
        <v>16252</v>
      </c>
    </row>
    <row r="4764" customHeight="1" spans="1:6">
      <c r="A4764" s="9" t="s">
        <v>16253</v>
      </c>
      <c r="B4764" s="223" t="s">
        <v>16254</v>
      </c>
      <c r="C4764" s="223" t="s">
        <v>16255</v>
      </c>
      <c r="D4764" s="204" t="s">
        <v>16256</v>
      </c>
      <c r="E4764" s="204" t="s">
        <v>92</v>
      </c>
      <c r="F4764" s="204"/>
    </row>
    <row r="4765" customHeight="1" spans="1:6">
      <c r="A4765" s="9" t="s">
        <v>16257</v>
      </c>
      <c r="B4765" s="225" t="s">
        <v>16258</v>
      </c>
      <c r="C4765" s="225" t="s">
        <v>16259</v>
      </c>
      <c r="D4765" s="228" t="s">
        <v>16260</v>
      </c>
      <c r="E4765" s="229" t="s">
        <v>120</v>
      </c>
      <c r="F4765" s="230" t="s">
        <v>16261</v>
      </c>
    </row>
    <row r="4766" customHeight="1" spans="1:6">
      <c r="A4766" s="9" t="s">
        <v>16262</v>
      </c>
      <c r="B4766" s="223" t="s">
        <v>16263</v>
      </c>
      <c r="C4766" s="223" t="s">
        <v>16264</v>
      </c>
      <c r="D4766" s="204" t="s">
        <v>14298</v>
      </c>
      <c r="E4766" s="204" t="s">
        <v>92</v>
      </c>
      <c r="F4766" s="204"/>
    </row>
    <row r="4767" customHeight="1" spans="1:6">
      <c r="A4767" s="9" t="s">
        <v>16265</v>
      </c>
      <c r="B4767" s="214" t="s">
        <v>16266</v>
      </c>
      <c r="C4767" s="214" t="s">
        <v>16267</v>
      </c>
      <c r="D4767" s="194"/>
      <c r="E4767" s="204" t="s">
        <v>92</v>
      </c>
      <c r="F4767" s="204"/>
    </row>
    <row r="4768" customHeight="1" spans="1:6">
      <c r="A4768" s="9" t="s">
        <v>16268</v>
      </c>
      <c r="B4768" s="160" t="s">
        <v>16269</v>
      </c>
      <c r="C4768" s="160" t="s">
        <v>16270</v>
      </c>
      <c r="D4768" s="204" t="s">
        <v>16271</v>
      </c>
      <c r="E4768" s="204" t="s">
        <v>92</v>
      </c>
      <c r="F4768" s="204"/>
    </row>
    <row r="4769" customHeight="1" spans="1:6">
      <c r="A4769" s="9" t="s">
        <v>16272</v>
      </c>
      <c r="B4769" s="205" t="s">
        <v>16273</v>
      </c>
      <c r="C4769" s="205" t="s">
        <v>16274</v>
      </c>
      <c r="D4769" s="206" t="s">
        <v>16275</v>
      </c>
      <c r="E4769" s="193" t="s">
        <v>120</v>
      </c>
      <c r="F4769" s="26"/>
    </row>
    <row r="4770" customHeight="1" spans="1:6">
      <c r="A4770" s="9" t="s">
        <v>16276</v>
      </c>
      <c r="B4770" s="233" t="s">
        <v>16277</v>
      </c>
      <c r="C4770" s="233" t="s">
        <v>16278</v>
      </c>
      <c r="D4770" s="204" t="s">
        <v>16279</v>
      </c>
      <c r="E4770" s="204" t="s">
        <v>605</v>
      </c>
      <c r="F4770" s="204" t="s">
        <v>16280</v>
      </c>
    </row>
    <row r="4771" customHeight="1" spans="1:6">
      <c r="A4771" s="9" t="s">
        <v>16281</v>
      </c>
      <c r="B4771" s="201" t="s">
        <v>16282</v>
      </c>
      <c r="C4771" s="202" t="s">
        <v>16283</v>
      </c>
      <c r="D4771" s="154" t="s">
        <v>16284</v>
      </c>
      <c r="E4771" s="154" t="s">
        <v>243</v>
      </c>
      <c r="F4771" s="180"/>
    </row>
    <row r="4772" customHeight="1" spans="1:6">
      <c r="A4772" s="9" t="s">
        <v>16285</v>
      </c>
      <c r="B4772" s="201" t="s">
        <v>16286</v>
      </c>
      <c r="C4772" s="202" t="s">
        <v>16287</v>
      </c>
      <c r="D4772" s="154"/>
      <c r="E4772" s="154" t="s">
        <v>243</v>
      </c>
      <c r="F4772" s="180"/>
    </row>
    <row r="4773" customHeight="1" spans="1:6">
      <c r="A4773" s="9" t="s">
        <v>16288</v>
      </c>
      <c r="B4773" s="214" t="s">
        <v>16289</v>
      </c>
      <c r="C4773" s="214" t="s">
        <v>16290</v>
      </c>
      <c r="D4773" s="194"/>
      <c r="E4773" s="204" t="s">
        <v>92</v>
      </c>
      <c r="F4773" s="204"/>
    </row>
    <row r="4774" customHeight="1" spans="1:6">
      <c r="A4774" s="9" t="s">
        <v>16291</v>
      </c>
      <c r="B4774" s="214" t="s">
        <v>16292</v>
      </c>
      <c r="C4774" s="214" t="s">
        <v>16293</v>
      </c>
      <c r="D4774" s="194"/>
      <c r="E4774" s="204" t="s">
        <v>92</v>
      </c>
      <c r="F4774" s="204"/>
    </row>
    <row r="4775" customHeight="1" spans="1:6">
      <c r="A4775" s="9" t="s">
        <v>16294</v>
      </c>
      <c r="B4775" s="214" t="s">
        <v>16295</v>
      </c>
      <c r="C4775" s="214" t="s">
        <v>16296</v>
      </c>
      <c r="D4775" s="194"/>
      <c r="E4775" s="204" t="s">
        <v>92</v>
      </c>
      <c r="F4775" s="204"/>
    </row>
    <row r="4776" customHeight="1" spans="1:6">
      <c r="A4776" s="9" t="s">
        <v>16297</v>
      </c>
      <c r="B4776" s="160" t="s">
        <v>16298</v>
      </c>
      <c r="C4776" s="160" t="s">
        <v>16299</v>
      </c>
      <c r="D4776" s="204" t="s">
        <v>16300</v>
      </c>
      <c r="E4776" s="204" t="s">
        <v>92</v>
      </c>
      <c r="F4776" s="204"/>
    </row>
    <row r="4777" customHeight="1" spans="1:6">
      <c r="A4777" s="9" t="s">
        <v>16301</v>
      </c>
      <c r="B4777" s="153" t="s">
        <v>16302</v>
      </c>
      <c r="C4777" s="202" t="s">
        <v>16303</v>
      </c>
      <c r="D4777" s="154" t="s">
        <v>16304</v>
      </c>
      <c r="E4777" s="154" t="s">
        <v>243</v>
      </c>
      <c r="F4777" s="180"/>
    </row>
    <row r="4778" customHeight="1" spans="1:6">
      <c r="A4778" s="9" t="s">
        <v>16305</v>
      </c>
      <c r="B4778" s="214" t="s">
        <v>16306</v>
      </c>
      <c r="C4778" s="214" t="s">
        <v>16307</v>
      </c>
      <c r="D4778" s="194"/>
      <c r="E4778" s="204" t="s">
        <v>92</v>
      </c>
      <c r="F4778" s="204"/>
    </row>
    <row r="4779" customHeight="1" spans="1:6">
      <c r="A4779" s="9" t="s">
        <v>16308</v>
      </c>
      <c r="B4779" s="162" t="s">
        <v>16309</v>
      </c>
      <c r="C4779" s="205" t="s">
        <v>16310</v>
      </c>
      <c r="D4779" s="206" t="s">
        <v>16311</v>
      </c>
      <c r="E4779" s="193" t="s">
        <v>120</v>
      </c>
      <c r="F4779" s="267" t="s">
        <v>16312</v>
      </c>
    </row>
    <row r="4780" customHeight="1" spans="1:6">
      <c r="A4780" s="9" t="s">
        <v>16313</v>
      </c>
      <c r="B4780" s="160" t="s">
        <v>16314</v>
      </c>
      <c r="C4780" s="160" t="s">
        <v>16315</v>
      </c>
      <c r="D4780" s="204" t="s">
        <v>16316</v>
      </c>
      <c r="E4780" s="204" t="s">
        <v>92</v>
      </c>
      <c r="F4780" s="204"/>
    </row>
    <row r="4781" customHeight="1" spans="1:6">
      <c r="A4781" s="9" t="s">
        <v>16317</v>
      </c>
      <c r="B4781" s="215" t="s">
        <v>16318</v>
      </c>
      <c r="C4781" s="205" t="s">
        <v>16319</v>
      </c>
      <c r="D4781" s="340" t="s">
        <v>16320</v>
      </c>
      <c r="E4781" s="193" t="s">
        <v>120</v>
      </c>
      <c r="F4781" s="216"/>
    </row>
    <row r="4782" customHeight="1" spans="1:6">
      <c r="A4782" s="9" t="s">
        <v>16321</v>
      </c>
      <c r="B4782" s="197" t="s">
        <v>16322</v>
      </c>
      <c r="C4782" s="196" t="s">
        <v>16323</v>
      </c>
      <c r="D4782" s="197"/>
      <c r="E4782" s="197" t="s">
        <v>16324</v>
      </c>
      <c r="F4782" s="197"/>
    </row>
    <row r="4783" customHeight="1" spans="1:6">
      <c r="A4783" s="9" t="s">
        <v>16325</v>
      </c>
      <c r="B4783" s="200" t="s">
        <v>16326</v>
      </c>
      <c r="C4783" s="236" t="s">
        <v>16327</v>
      </c>
      <c r="D4783" s="200" t="s">
        <v>16328</v>
      </c>
      <c r="E4783" s="193" t="s">
        <v>436</v>
      </c>
      <c r="F4783" s="191"/>
    </row>
    <row r="4784" customHeight="1" spans="1:6">
      <c r="A4784" s="9" t="s">
        <v>16329</v>
      </c>
      <c r="B4784" s="215" t="s">
        <v>16330</v>
      </c>
      <c r="C4784" s="205" t="s">
        <v>16331</v>
      </c>
      <c r="D4784" s="206" t="s">
        <v>16332</v>
      </c>
      <c r="E4784" s="193" t="s">
        <v>120</v>
      </c>
      <c r="F4784" s="221"/>
    </row>
    <row r="4785" customHeight="1" spans="1:6">
      <c r="A4785" s="9" t="s">
        <v>16333</v>
      </c>
      <c r="B4785" s="214" t="s">
        <v>16334</v>
      </c>
      <c r="C4785" s="214" t="s">
        <v>16335</v>
      </c>
      <c r="D4785" s="204" t="s">
        <v>16336</v>
      </c>
      <c r="E4785" s="204" t="s">
        <v>92</v>
      </c>
      <c r="F4785" s="204"/>
    </row>
    <row r="4786" customHeight="1" spans="1:6">
      <c r="A4786" s="9" t="s">
        <v>16337</v>
      </c>
      <c r="B4786" s="223" t="s">
        <v>16338</v>
      </c>
      <c r="C4786" s="223" t="s">
        <v>16339</v>
      </c>
      <c r="D4786" s="223" t="s">
        <v>16340</v>
      </c>
      <c r="E4786" s="204" t="s">
        <v>92</v>
      </c>
      <c r="F4786" s="204"/>
    </row>
    <row r="4787" customHeight="1" spans="1:6">
      <c r="A4787" s="9" t="s">
        <v>16341</v>
      </c>
      <c r="B4787" s="160" t="s">
        <v>16342</v>
      </c>
      <c r="C4787" s="160" t="s">
        <v>16343</v>
      </c>
      <c r="D4787" s="204"/>
      <c r="E4787" s="204" t="s">
        <v>92</v>
      </c>
      <c r="F4787" s="204"/>
    </row>
    <row r="4788" customHeight="1" spans="1:6">
      <c r="A4788" s="9" t="s">
        <v>16344</v>
      </c>
      <c r="B4788" s="205" t="s">
        <v>16345</v>
      </c>
      <c r="C4788" s="205" t="s">
        <v>16346</v>
      </c>
      <c r="D4788" s="206" t="s">
        <v>16347</v>
      </c>
      <c r="E4788" s="193" t="s">
        <v>120</v>
      </c>
      <c r="F4788" s="207" t="s">
        <v>16348</v>
      </c>
    </row>
    <row r="4789" customHeight="1" spans="1:6">
      <c r="A4789" s="9" t="s">
        <v>16349</v>
      </c>
      <c r="B4789" s="214" t="s">
        <v>16350</v>
      </c>
      <c r="C4789" s="214" t="s">
        <v>16351</v>
      </c>
      <c r="D4789" s="194"/>
      <c r="E4789" s="204" t="s">
        <v>92</v>
      </c>
      <c r="F4789" s="204"/>
    </row>
    <row r="4790" customHeight="1" spans="1:6">
      <c r="A4790" s="9" t="s">
        <v>16352</v>
      </c>
      <c r="B4790" s="205" t="s">
        <v>16353</v>
      </c>
      <c r="C4790" s="205" t="s">
        <v>16354</v>
      </c>
      <c r="D4790" s="206" t="s">
        <v>16355</v>
      </c>
      <c r="E4790" s="193" t="s">
        <v>120</v>
      </c>
      <c r="F4790" s="207"/>
    </row>
    <row r="4791" customHeight="1" spans="1:6">
      <c r="A4791" s="9" t="s">
        <v>16356</v>
      </c>
      <c r="B4791" s="214" t="s">
        <v>16357</v>
      </c>
      <c r="C4791" s="214" t="s">
        <v>16358</v>
      </c>
      <c r="D4791" s="194"/>
      <c r="E4791" s="204" t="s">
        <v>92</v>
      </c>
      <c r="F4791" s="204"/>
    </row>
    <row r="4792" customHeight="1" spans="1:6">
      <c r="A4792" s="9" t="s">
        <v>16359</v>
      </c>
      <c r="B4792" s="161" t="s">
        <v>16360</v>
      </c>
      <c r="C4792" s="161" t="s">
        <v>16361</v>
      </c>
      <c r="D4792" s="194"/>
      <c r="E4792" s="204" t="s">
        <v>92</v>
      </c>
      <c r="F4792" s="204"/>
    </row>
    <row r="4793" customHeight="1" spans="1:6">
      <c r="A4793" s="9" t="s">
        <v>16362</v>
      </c>
      <c r="B4793" s="214" t="s">
        <v>16363</v>
      </c>
      <c r="C4793" s="214" t="s">
        <v>16364</v>
      </c>
      <c r="D4793" s="194"/>
      <c r="E4793" s="204" t="s">
        <v>92</v>
      </c>
      <c r="F4793" s="204"/>
    </row>
    <row r="4794" customHeight="1" spans="1:6">
      <c r="A4794" s="9" t="s">
        <v>16365</v>
      </c>
      <c r="B4794" s="223" t="s">
        <v>16366</v>
      </c>
      <c r="C4794" s="223" t="s">
        <v>16367</v>
      </c>
      <c r="D4794" s="204" t="s">
        <v>16368</v>
      </c>
      <c r="E4794" s="204" t="s">
        <v>92</v>
      </c>
      <c r="F4794" s="204"/>
    </row>
    <row r="4795" customHeight="1" spans="1:6">
      <c r="A4795" s="9" t="s">
        <v>16369</v>
      </c>
      <c r="B4795" s="200" t="s">
        <v>16370</v>
      </c>
      <c r="C4795" s="236" t="s">
        <v>16371</v>
      </c>
      <c r="D4795" s="194"/>
      <c r="E4795" s="154" t="s">
        <v>104</v>
      </c>
      <c r="F4795" s="191"/>
    </row>
    <row r="4796" customHeight="1" spans="1:6">
      <c r="A4796" s="9" t="s">
        <v>16372</v>
      </c>
      <c r="B4796" s="205" t="s">
        <v>16373</v>
      </c>
      <c r="C4796" s="205" t="s">
        <v>16374</v>
      </c>
      <c r="D4796" s="206" t="s">
        <v>16375</v>
      </c>
      <c r="E4796" s="193" t="s">
        <v>120</v>
      </c>
      <c r="F4796" s="239"/>
    </row>
    <row r="4797" customHeight="1" spans="1:6">
      <c r="A4797" s="9" t="s">
        <v>16376</v>
      </c>
      <c r="B4797" s="214" t="s">
        <v>16377</v>
      </c>
      <c r="C4797" s="214" t="s">
        <v>16378</v>
      </c>
      <c r="D4797" s="194"/>
      <c r="E4797" s="204" t="s">
        <v>92</v>
      </c>
      <c r="F4797" s="204"/>
    </row>
    <row r="4798" customHeight="1" spans="1:6">
      <c r="A4798" s="9" t="s">
        <v>16379</v>
      </c>
      <c r="B4798" s="222" t="str">
        <f>IFERROR(__xludf.DUMMYFUNCTION("""COMPUTED_VALUE"""),"Biruk Tadsse Abera /Ato/")</f>
        <v>Biruk Tadsse Abera /Ato/</v>
      </c>
      <c r="C4798" s="222" t="str">
        <f>IFERROR(__xludf.DUMMYFUNCTION("""COMPUTED_VALUE"""),"ብሩክ ታደሰ አበራ /ወ/ት")</f>
        <v>ብሩክ ታደሰ አበራ /ወ/ት</v>
      </c>
      <c r="D4798" s="222" t="str">
        <f>IFERROR(__xludf.DUMMYFUNCTION("""COMPUTED_VALUE"""),"0913-098972")</f>
        <v>0913-098972</v>
      </c>
      <c r="E4798" s="222" t="str">
        <f>IFERROR(__xludf.DUMMYFUNCTION("""COMPUTED_VALUE"""),"Addis Ababa")</f>
        <v>Addis Ababa</v>
      </c>
      <c r="F4798" s="222" t="str">
        <f>IFERROR(__xludf.DUMMYFUNCTION("""COMPUTED_VALUE"""),"atumay833@gmail.com")</f>
        <v>atumay833@gmail.com</v>
      </c>
    </row>
    <row r="4799" customHeight="1" spans="1:6">
      <c r="A4799" s="9" t="s">
        <v>16380</v>
      </c>
      <c r="B4799" s="214" t="s">
        <v>16381</v>
      </c>
      <c r="C4799" s="214" t="s">
        <v>16382</v>
      </c>
      <c r="D4799" s="194"/>
      <c r="E4799" s="204" t="s">
        <v>92</v>
      </c>
      <c r="F4799" s="204"/>
    </row>
    <row r="4800" customHeight="1" spans="1:6">
      <c r="A4800" s="9" t="s">
        <v>16383</v>
      </c>
      <c r="B4800" s="222" t="str">
        <f>IFERROR(__xludf.DUMMYFUNCTION("""COMPUTED_VALUE"""),"Biruk Tariku Midaksa")</f>
        <v>Biruk Tariku Midaksa</v>
      </c>
      <c r="C4800" s="222" t="str">
        <f>IFERROR(__xludf.DUMMYFUNCTION("""COMPUTED_VALUE"""),"ብሩክ ታሪኩ ሚደቅሳ")</f>
        <v>ብሩክ ታሪኩ ሚደቅሳ</v>
      </c>
      <c r="D4800" s="222" t="str">
        <f>IFERROR(__xludf.DUMMYFUNCTION("""COMPUTED_VALUE"""),"0923-126630")</f>
        <v>0923-126630</v>
      </c>
      <c r="E4800" s="222" t="str">
        <f>IFERROR(__xludf.DUMMYFUNCTION("""COMPUTED_VALUE"""),"A/A")</f>
        <v>A/A</v>
      </c>
      <c r="F4800" s="222"/>
    </row>
    <row r="4801" customHeight="1" spans="1:6">
      <c r="A4801" s="9" t="s">
        <v>16384</v>
      </c>
      <c r="B4801" s="214" t="s">
        <v>16385</v>
      </c>
      <c r="C4801" s="214" t="s">
        <v>16386</v>
      </c>
      <c r="D4801" s="194"/>
      <c r="E4801" s="204" t="s">
        <v>92</v>
      </c>
      <c r="F4801" s="204"/>
    </row>
    <row r="4802" customHeight="1" spans="1:6">
      <c r="A4802" s="9" t="s">
        <v>16387</v>
      </c>
      <c r="B4802" s="214" t="s">
        <v>16388</v>
      </c>
      <c r="C4802" s="214" t="s">
        <v>16389</v>
      </c>
      <c r="D4802" s="194"/>
      <c r="E4802" s="204"/>
      <c r="F4802" s="204"/>
    </row>
    <row r="4803" customHeight="1" spans="1:6">
      <c r="A4803" s="9" t="s">
        <v>16390</v>
      </c>
      <c r="B4803" s="223" t="s">
        <v>16391</v>
      </c>
      <c r="C4803" s="223" t="s">
        <v>16392</v>
      </c>
      <c r="D4803" s="204" t="s">
        <v>16393</v>
      </c>
      <c r="E4803" s="204" t="s">
        <v>92</v>
      </c>
      <c r="F4803" s="204"/>
    </row>
    <row r="4804" customHeight="1" spans="1:6">
      <c r="A4804" s="9" t="s">
        <v>16394</v>
      </c>
      <c r="B4804" s="214" t="s">
        <v>16395</v>
      </c>
      <c r="C4804" s="214" t="s">
        <v>16396</v>
      </c>
      <c r="D4804" s="194"/>
      <c r="E4804" s="204" t="s">
        <v>92</v>
      </c>
      <c r="F4804" s="204"/>
    </row>
    <row r="4805" customHeight="1" spans="1:6">
      <c r="A4805" s="9" t="s">
        <v>16397</v>
      </c>
      <c r="B4805" s="222" t="str">
        <f>IFERROR(__xludf.DUMMYFUNCTION("""COMPUTED_VALUE"""),"Biruk Tesfaye Adale")</f>
        <v>Biruk Tesfaye Adale</v>
      </c>
      <c r="C4805" s="222" t="str">
        <f>IFERROR(__xludf.DUMMYFUNCTION("""COMPUTED_VALUE"""),"ብሩክ ተስፋዬ አዳል")</f>
        <v>ብሩክ ተስፋዬ አዳል</v>
      </c>
      <c r="D4805" s="222" t="str">
        <f>IFERROR(__xludf.DUMMYFUNCTION("""COMPUTED_VALUE"""),"911595858")</f>
        <v>911595858</v>
      </c>
      <c r="E4805" s="222" t="str">
        <f>IFERROR(__xludf.DUMMYFUNCTION("""COMPUTED_VALUE"""),"addis ababa")</f>
        <v>addis ababa</v>
      </c>
      <c r="F4805" s="222"/>
    </row>
    <row r="4806" customHeight="1" spans="1:6">
      <c r="A4806" s="9" t="s">
        <v>16398</v>
      </c>
      <c r="B4806" s="214" t="s">
        <v>16399</v>
      </c>
      <c r="C4806" s="214" t="s">
        <v>16400</v>
      </c>
      <c r="D4806" s="194"/>
      <c r="E4806" s="204" t="s">
        <v>92</v>
      </c>
      <c r="F4806" s="204"/>
    </row>
    <row r="4807" customHeight="1" spans="1:6">
      <c r="A4807" s="9" t="s">
        <v>16401</v>
      </c>
      <c r="B4807" s="160" t="s">
        <v>16402</v>
      </c>
      <c r="C4807" s="160" t="s">
        <v>16403</v>
      </c>
      <c r="D4807" s="204" t="s">
        <v>16404</v>
      </c>
      <c r="E4807" s="204" t="s">
        <v>92</v>
      </c>
      <c r="F4807" s="204"/>
    </row>
    <row r="4808" customHeight="1" spans="1:6">
      <c r="A4808" s="9" t="s">
        <v>16405</v>
      </c>
      <c r="B4808" s="223" t="s">
        <v>16406</v>
      </c>
      <c r="C4808" s="223" t="s">
        <v>16407</v>
      </c>
      <c r="D4808" s="204" t="s">
        <v>16408</v>
      </c>
      <c r="E4808" s="173" t="s">
        <v>92</v>
      </c>
      <c r="F4808" s="234" t="s">
        <v>16409</v>
      </c>
    </row>
    <row r="4809" customHeight="1" spans="1:6">
      <c r="A4809" s="9" t="s">
        <v>16410</v>
      </c>
      <c r="B4809" s="223" t="s">
        <v>16411</v>
      </c>
      <c r="C4809" s="223" t="s">
        <v>16412</v>
      </c>
      <c r="D4809" s="204" t="s">
        <v>16413</v>
      </c>
      <c r="E4809" s="204" t="s">
        <v>92</v>
      </c>
      <c r="F4809" s="204"/>
    </row>
    <row r="4810" customHeight="1" spans="1:6">
      <c r="A4810" s="9" t="s">
        <v>16414</v>
      </c>
      <c r="B4810" s="214" t="s">
        <v>16415</v>
      </c>
      <c r="C4810" s="214" t="s">
        <v>16416</v>
      </c>
      <c r="D4810" s="194"/>
      <c r="E4810" s="204" t="s">
        <v>92</v>
      </c>
      <c r="F4810" s="204"/>
    </row>
    <row r="4811" customHeight="1" spans="1:6">
      <c r="A4811" s="9" t="s">
        <v>16417</v>
      </c>
      <c r="B4811" s="214" t="s">
        <v>16418</v>
      </c>
      <c r="C4811" s="214" t="s">
        <v>16419</v>
      </c>
      <c r="D4811" s="194"/>
      <c r="E4811" s="204" t="s">
        <v>92</v>
      </c>
      <c r="F4811" s="204"/>
    </row>
    <row r="4812" customHeight="1" spans="1:6">
      <c r="A4812" s="9" t="s">
        <v>16420</v>
      </c>
      <c r="B4812" s="205" t="s">
        <v>16421</v>
      </c>
      <c r="C4812" s="205" t="s">
        <v>16422</v>
      </c>
      <c r="D4812" s="206" t="s">
        <v>16423</v>
      </c>
      <c r="E4812" s="193" t="s">
        <v>120</v>
      </c>
      <c r="F4812" s="221" t="s">
        <v>13966</v>
      </c>
    </row>
    <row r="4813" customHeight="1" spans="1:6">
      <c r="A4813" s="9" t="s">
        <v>16424</v>
      </c>
      <c r="B4813" s="222" t="str">
        <f>IFERROR(__xludf.DUMMYFUNCTION("""COMPUTED_VALUE"""),"Biruk Zena W/Gebriel /Ato/")</f>
        <v>Biruk Zena W/Gebriel /Ato/</v>
      </c>
      <c r="C4813" s="222" t="str">
        <f>IFERROR(__xludf.DUMMYFUNCTION("""COMPUTED_VALUE"""),"ብሩክ ዜና ወ/ገብርኤል /አቶ/")</f>
        <v>ብሩክ ዜና ወ/ገብርኤል /አቶ/</v>
      </c>
      <c r="D4813" s="222" t="str">
        <f>IFERROR(__xludf.DUMMYFUNCTION("""COMPUTED_VALUE"""),"0910-965276")</f>
        <v>0910-965276</v>
      </c>
      <c r="E4813" s="222" t="str">
        <f>IFERROR(__xludf.DUMMYFUNCTION("""COMPUTED_VALUE"""),"addis abeba")</f>
        <v>addis abeba</v>
      </c>
      <c r="F4813" s="222"/>
    </row>
    <row r="4814" customHeight="1" spans="1:6">
      <c r="A4814" s="9" t="s">
        <v>16425</v>
      </c>
      <c r="B4814" s="215" t="s">
        <v>16426</v>
      </c>
      <c r="C4814" s="205" t="s">
        <v>16427</v>
      </c>
      <c r="D4814" s="244" t="s">
        <v>16428</v>
      </c>
      <c r="E4814" s="26" t="s">
        <v>92</v>
      </c>
      <c r="F4814" s="26"/>
    </row>
    <row r="4815" customHeight="1" spans="1:6">
      <c r="A4815" s="9" t="s">
        <v>16429</v>
      </c>
      <c r="B4815" s="200" t="s">
        <v>16430</v>
      </c>
      <c r="C4815" s="202" t="s">
        <v>16431</v>
      </c>
      <c r="D4815" s="152" t="s">
        <v>16432</v>
      </c>
      <c r="E4815" s="154"/>
      <c r="F4815" s="180"/>
    </row>
    <row r="4816" customHeight="1" spans="1:6">
      <c r="A4816" s="9" t="s">
        <v>16433</v>
      </c>
      <c r="B4816" s="195" t="s">
        <v>16434</v>
      </c>
      <c r="C4816" s="202" t="s">
        <v>16435</v>
      </c>
      <c r="D4816" s="152" t="s">
        <v>16436</v>
      </c>
      <c r="E4816" s="154"/>
      <c r="F4816" s="180"/>
    </row>
    <row r="4817" customHeight="1" spans="1:6">
      <c r="A4817" s="9" t="s">
        <v>16437</v>
      </c>
      <c r="B4817" s="222" t="str">
        <f>IFERROR(__xludf.DUMMYFUNCTION("""COMPUTED_VALUE"""),"Biruknesh Argaw Beyene")</f>
        <v>Biruknesh Argaw Beyene</v>
      </c>
      <c r="C4817" s="222" t="str">
        <f>IFERROR(__xludf.DUMMYFUNCTION("""COMPUTED_VALUE"""),"ብሩክነሽ አርጋው በየነ")</f>
        <v>ብሩክነሽ አርጋው በየነ</v>
      </c>
      <c r="D4817" s="222" t="str">
        <f>IFERROR(__xludf.DUMMYFUNCTION("""COMPUTED_VALUE"""),"0911-108753")</f>
        <v>0911-108753</v>
      </c>
      <c r="E4817" s="222" t="str">
        <f>IFERROR(__xludf.DUMMYFUNCTION("""COMPUTED_VALUE"""),"Addis Ababa")</f>
        <v>Addis Ababa</v>
      </c>
      <c r="F4817" s="222"/>
    </row>
    <row r="4818" customHeight="1" spans="1:6">
      <c r="A4818" s="9" t="s">
        <v>16438</v>
      </c>
      <c r="B4818" s="222" t="str">
        <f>IFERROR(__xludf.DUMMYFUNCTION("""COMPUTED_VALUE"""),"Biruktawit Alemu Aragaw")</f>
        <v>Biruktawit Alemu Aragaw</v>
      </c>
      <c r="C4818" s="222" t="str">
        <f>IFERROR(__xludf.DUMMYFUNCTION("""COMPUTED_VALUE"""),"ብሩክታዊት አለሙ አራጋው")</f>
        <v>ብሩክታዊት አለሙ አራጋው</v>
      </c>
      <c r="D4818" s="222" t="str">
        <f>IFERROR(__xludf.DUMMYFUNCTION("""COMPUTED_VALUE"""),"0911-542746")</f>
        <v>0911-542746</v>
      </c>
      <c r="E4818" s="222" t="str">
        <f>IFERROR(__xludf.DUMMYFUNCTION("""COMPUTED_VALUE"""),"Addis Ababa")</f>
        <v>Addis Ababa</v>
      </c>
      <c r="F4818" s="222"/>
    </row>
    <row r="4819" customHeight="1" spans="1:6">
      <c r="A4819" s="9" t="s">
        <v>16439</v>
      </c>
      <c r="B4819" s="160" t="s">
        <v>16440</v>
      </c>
      <c r="C4819" s="160" t="s">
        <v>16441</v>
      </c>
      <c r="D4819" s="204" t="s">
        <v>16442</v>
      </c>
      <c r="E4819" s="204" t="s">
        <v>92</v>
      </c>
      <c r="F4819" s="204"/>
    </row>
    <row r="4820" customHeight="1" spans="1:6">
      <c r="A4820" s="9" t="s">
        <v>16443</v>
      </c>
      <c r="B4820" s="214" t="s">
        <v>16444</v>
      </c>
      <c r="C4820" s="214" t="s">
        <v>16445</v>
      </c>
      <c r="D4820" s="194"/>
      <c r="E4820" s="204" t="s">
        <v>92</v>
      </c>
      <c r="F4820" s="204"/>
    </row>
    <row r="4821" customHeight="1" spans="1:6">
      <c r="A4821" s="9" t="s">
        <v>16446</v>
      </c>
      <c r="B4821" s="215" t="s">
        <v>16447</v>
      </c>
      <c r="C4821" s="205" t="s">
        <v>16448</v>
      </c>
      <c r="D4821" s="255" t="s">
        <v>16449</v>
      </c>
      <c r="E4821" s="26" t="s">
        <v>92</v>
      </c>
      <c r="F4821" s="26"/>
    </row>
    <row r="4822" customHeight="1" spans="1:6">
      <c r="A4822" s="9" t="s">
        <v>16450</v>
      </c>
      <c r="B4822" s="259" t="s">
        <v>16451</v>
      </c>
      <c r="C4822" s="259" t="s">
        <v>16452</v>
      </c>
      <c r="D4822" s="204" t="s">
        <v>16453</v>
      </c>
      <c r="E4822" s="204" t="s">
        <v>92</v>
      </c>
      <c r="F4822" s="204"/>
    </row>
    <row r="4823" customHeight="1" spans="1:6">
      <c r="A4823" s="9" t="s">
        <v>16454</v>
      </c>
      <c r="B4823" s="201" t="s">
        <v>16455</v>
      </c>
      <c r="C4823" s="202" t="s">
        <v>16456</v>
      </c>
      <c r="D4823" s="341" t="s">
        <v>16457</v>
      </c>
      <c r="E4823" s="154" t="s">
        <v>104</v>
      </c>
      <c r="F4823" s="180"/>
    </row>
    <row r="4824" customHeight="1" spans="1:6">
      <c r="A4824" s="9" t="s">
        <v>16458</v>
      </c>
      <c r="B4824" s="162" t="s">
        <v>16459</v>
      </c>
      <c r="C4824" s="205" t="s">
        <v>16460</v>
      </c>
      <c r="D4824" s="342" t="s">
        <v>16461</v>
      </c>
      <c r="E4824" s="193" t="s">
        <v>120</v>
      </c>
      <c r="F4824" s="216"/>
    </row>
    <row r="4825" customHeight="1" spans="1:6">
      <c r="A4825" s="9" t="s">
        <v>16462</v>
      </c>
      <c r="B4825" s="200" t="s">
        <v>16463</v>
      </c>
      <c r="C4825" s="192" t="s">
        <v>16464</v>
      </c>
      <c r="D4825" s="194"/>
      <c r="E4825" s="194" t="s">
        <v>968</v>
      </c>
      <c r="F4825" s="194"/>
    </row>
    <row r="4826" customHeight="1" spans="1:6">
      <c r="A4826" s="9" t="s">
        <v>16465</v>
      </c>
      <c r="B4826" s="160" t="s">
        <v>16466</v>
      </c>
      <c r="C4826" s="160" t="s">
        <v>16467</v>
      </c>
      <c r="D4826" s="204" t="s">
        <v>16468</v>
      </c>
      <c r="E4826" s="204" t="s">
        <v>92</v>
      </c>
      <c r="F4826" s="204"/>
    </row>
    <row r="4827" customHeight="1" spans="1:6">
      <c r="A4827" s="9" t="s">
        <v>16469</v>
      </c>
      <c r="B4827" s="195" t="s">
        <v>16470</v>
      </c>
      <c r="C4827" s="196" t="s">
        <v>16471</v>
      </c>
      <c r="D4827" s="197"/>
      <c r="E4827" s="197"/>
      <c r="F4827" s="197"/>
    </row>
    <row r="4828" customHeight="1" spans="1:6">
      <c r="A4828" s="9" t="s">
        <v>16472</v>
      </c>
      <c r="B4828" s="201" t="s">
        <v>16473</v>
      </c>
      <c r="C4828" s="202" t="s">
        <v>16474</v>
      </c>
      <c r="D4828" s="154"/>
      <c r="E4828" s="154" t="s">
        <v>58</v>
      </c>
      <c r="F4828" s="180"/>
    </row>
    <row r="4829" customHeight="1" spans="1:6">
      <c r="A4829" s="9" t="s">
        <v>16475</v>
      </c>
      <c r="B4829" s="200" t="s">
        <v>16476</v>
      </c>
      <c r="C4829" s="246" t="s">
        <v>16477</v>
      </c>
      <c r="D4829" s="194"/>
      <c r="E4829" s="194" t="s">
        <v>202</v>
      </c>
      <c r="F4829" s="194"/>
    </row>
    <row r="4830" customHeight="1" spans="1:6">
      <c r="A4830" s="9" t="s">
        <v>16478</v>
      </c>
      <c r="B4830" s="200" t="s">
        <v>16479</v>
      </c>
      <c r="C4830" s="192" t="s">
        <v>16480</v>
      </c>
      <c r="D4830" s="194"/>
      <c r="E4830" s="193" t="s">
        <v>202</v>
      </c>
      <c r="F4830" s="191"/>
    </row>
    <row r="4831" customHeight="1" spans="1:6">
      <c r="A4831" s="9" t="s">
        <v>16481</v>
      </c>
      <c r="B4831" s="215" t="s">
        <v>16482</v>
      </c>
      <c r="C4831" s="205" t="s">
        <v>14421</v>
      </c>
      <c r="D4831" s="244" t="s">
        <v>11650</v>
      </c>
      <c r="E4831" s="26" t="s">
        <v>92</v>
      </c>
      <c r="F4831" s="26" t="s">
        <v>16483</v>
      </c>
    </row>
    <row r="4832" customHeight="1" spans="1:6">
      <c r="A4832" s="9" t="s">
        <v>16484</v>
      </c>
      <c r="B4832" s="200" t="s">
        <v>16485</v>
      </c>
      <c r="C4832" s="202" t="s">
        <v>16486</v>
      </c>
      <c r="D4832" s="152"/>
      <c r="E4832" s="154"/>
      <c r="F4832" s="180"/>
    </row>
    <row r="4833" customHeight="1" spans="1:6">
      <c r="A4833" s="9" t="s">
        <v>16487</v>
      </c>
      <c r="B4833" s="215" t="s">
        <v>16488</v>
      </c>
      <c r="C4833" s="205" t="s">
        <v>16489</v>
      </c>
      <c r="D4833" s="244" t="s">
        <v>16490</v>
      </c>
      <c r="E4833" s="26" t="s">
        <v>92</v>
      </c>
      <c r="F4833" s="26"/>
    </row>
    <row r="4834" customHeight="1" spans="1:6">
      <c r="A4834" s="9" t="s">
        <v>16491</v>
      </c>
      <c r="B4834" s="276" t="str">
        <f>IFERROR(__xludf.DUMMYFUNCTION("""COMPUTED_VALUE"""),"Biskute Fekadu Zemi")</f>
        <v>Biskute Fekadu Zemi</v>
      </c>
      <c r="C4834" s="276" t="str">
        <f>IFERROR(__xludf.DUMMYFUNCTION("""COMPUTED_VALUE"""),"ብስኩቴ ፍቃዱ ዘሜ")</f>
        <v>ብስኩቴ ፍቃዱ ዘሜ</v>
      </c>
      <c r="D4834" s="276" t="str">
        <f>IFERROR(__xludf.DUMMYFUNCTION("""COMPUTED_VALUE"""),"0910-879748
0921-05847")</f>
        <v>0910-879748
0921-05847</v>
      </c>
      <c r="E4834" s="276" t="str">
        <f>IFERROR(__xludf.DUMMYFUNCTION("""COMPUTED_VALUE"""),"Siwzrland")</f>
        <v>Siwzrland</v>
      </c>
      <c r="F4834" s="276"/>
    </row>
    <row r="4835" customHeight="1" spans="1:6">
      <c r="A4835" s="9" t="s">
        <v>16492</v>
      </c>
      <c r="B4835" s="223" t="s">
        <v>16493</v>
      </c>
      <c r="C4835" s="223" t="s">
        <v>16494</v>
      </c>
      <c r="D4835" s="204" t="s">
        <v>16495</v>
      </c>
      <c r="E4835" s="204" t="s">
        <v>92</v>
      </c>
      <c r="F4835" s="204"/>
    </row>
    <row r="4836" customHeight="1" spans="1:6">
      <c r="A4836" s="9" t="s">
        <v>16496</v>
      </c>
      <c r="B4836" s="214" t="s">
        <v>16497</v>
      </c>
      <c r="C4836" s="214" t="s">
        <v>16498</v>
      </c>
      <c r="D4836" s="194"/>
      <c r="E4836" s="204" t="s">
        <v>92</v>
      </c>
      <c r="F4836" s="204"/>
    </row>
    <row r="4837" customHeight="1" spans="1:6">
      <c r="A4837" s="9" t="s">
        <v>16499</v>
      </c>
      <c r="B4837" s="215" t="s">
        <v>16500</v>
      </c>
      <c r="C4837" s="205" t="s">
        <v>16501</v>
      </c>
      <c r="D4837" s="227">
        <v>7036087188</v>
      </c>
      <c r="E4837" s="193" t="s">
        <v>120</v>
      </c>
      <c r="F4837" s="216" t="s">
        <v>16502</v>
      </c>
    </row>
    <row r="4838" customHeight="1" spans="1:6">
      <c r="A4838" s="9" t="s">
        <v>16503</v>
      </c>
      <c r="B4838" s="214" t="s">
        <v>16504</v>
      </c>
      <c r="C4838" s="214" t="s">
        <v>16505</v>
      </c>
      <c r="D4838" s="204">
        <v>911645141</v>
      </c>
      <c r="E4838" s="204" t="s">
        <v>92</v>
      </c>
      <c r="F4838" s="204"/>
    </row>
    <row r="4839" customHeight="1" spans="1:6">
      <c r="A4839" s="9" t="s">
        <v>16506</v>
      </c>
      <c r="B4839" s="161" t="s">
        <v>16507</v>
      </c>
      <c r="C4839" s="161" t="s">
        <v>16508</v>
      </c>
      <c r="D4839" s="194"/>
      <c r="E4839" s="204" t="s">
        <v>92</v>
      </c>
      <c r="F4839" s="204"/>
    </row>
    <row r="4840" customHeight="1" spans="1:6">
      <c r="A4840" s="9" t="s">
        <v>16509</v>
      </c>
      <c r="B4840" s="234" t="s">
        <v>16510</v>
      </c>
      <c r="C4840" s="235" t="s">
        <v>16511</v>
      </c>
      <c r="D4840" s="36">
        <v>978781978</v>
      </c>
      <c r="E4840" s="45" t="s">
        <v>691</v>
      </c>
      <c r="F4840" s="288" t="s">
        <v>16512</v>
      </c>
    </row>
    <row r="4841" customHeight="1" spans="1:6">
      <c r="A4841" s="9" t="s">
        <v>16513</v>
      </c>
      <c r="B4841" s="215" t="s">
        <v>16514</v>
      </c>
      <c r="C4841" s="205" t="s">
        <v>16515</v>
      </c>
      <c r="D4841" s="227" t="s">
        <v>16516</v>
      </c>
      <c r="E4841" s="193" t="s">
        <v>120</v>
      </c>
      <c r="F4841" s="216" t="s">
        <v>16517</v>
      </c>
    </row>
    <row r="4842" customHeight="1" spans="1:6">
      <c r="A4842" s="9" t="s">
        <v>16518</v>
      </c>
      <c r="B4842" s="223" t="s">
        <v>16519</v>
      </c>
      <c r="C4842" s="223" t="s">
        <v>16520</v>
      </c>
      <c r="D4842" s="204" t="s">
        <v>16521</v>
      </c>
      <c r="E4842" s="204" t="s">
        <v>92</v>
      </c>
      <c r="F4842" s="204"/>
    </row>
    <row r="4843" customHeight="1" spans="1:6">
      <c r="A4843" s="9" t="s">
        <v>16522</v>
      </c>
      <c r="B4843" s="205" t="s">
        <v>16523</v>
      </c>
      <c r="C4843" s="205" t="s">
        <v>16524</v>
      </c>
      <c r="D4843" s="206" t="s">
        <v>16525</v>
      </c>
      <c r="E4843" s="193" t="s">
        <v>120</v>
      </c>
      <c r="F4843" s="239"/>
    </row>
    <row r="4844" customHeight="1" spans="1:6">
      <c r="A4844" s="9" t="s">
        <v>16526</v>
      </c>
      <c r="B4844" s="205" t="s">
        <v>16527</v>
      </c>
      <c r="C4844" s="205" t="s">
        <v>16528</v>
      </c>
      <c r="D4844" s="206" t="s">
        <v>16529</v>
      </c>
      <c r="E4844" s="193" t="s">
        <v>120</v>
      </c>
      <c r="F4844" s="221" t="s">
        <v>16530</v>
      </c>
    </row>
    <row r="4845" customHeight="1" spans="1:6">
      <c r="A4845" s="9" t="s">
        <v>16531</v>
      </c>
      <c r="B4845" s="214" t="s">
        <v>16532</v>
      </c>
      <c r="C4845" s="214" t="s">
        <v>16533</v>
      </c>
      <c r="D4845" s="194"/>
      <c r="E4845" s="204" t="s">
        <v>92</v>
      </c>
      <c r="F4845" s="204"/>
    </row>
    <row r="4846" customHeight="1" spans="1:6">
      <c r="A4846" s="9" t="s">
        <v>16534</v>
      </c>
      <c r="B4846" s="222" t="str">
        <f>IFERROR(__xludf.DUMMYFUNCTION("""COMPUTED_VALUE"""),"Bisrat Ketema Bekele /Ato")</f>
        <v>Bisrat Ketema Bekele /Ato</v>
      </c>
      <c r="C4846" s="222" t="str">
        <f>IFERROR(__xludf.DUMMYFUNCTION("""COMPUTED_VALUE"""),"ብስራት ከተማ በቀለ /አቶ")</f>
        <v>ብስራት ከተማ በቀለ /አቶ</v>
      </c>
      <c r="D4846" s="222" t="str">
        <f>IFERROR(__xludf.DUMMYFUNCTION("""COMPUTED_VALUE"""),"0911-209984")</f>
        <v>0911-209984</v>
      </c>
      <c r="E4846" s="222" t="str">
        <f>IFERROR(__xludf.DUMMYFUNCTION("""COMPUTED_VALUE"""),"addis abeba")</f>
        <v>addis abeba</v>
      </c>
      <c r="F4846" s="222" t="str">
        <f>IFERROR(__xludf.DUMMYFUNCTION("""COMPUTED_VALUE"""),"bisratk3@gmail.com")</f>
        <v>bisratk3@gmail.com</v>
      </c>
    </row>
    <row r="4847" customHeight="1" spans="1:6">
      <c r="A4847" s="9" t="s">
        <v>16535</v>
      </c>
      <c r="B4847" s="223" t="s">
        <v>16536</v>
      </c>
      <c r="C4847" s="223" t="s">
        <v>16537</v>
      </c>
      <c r="D4847" s="204" t="s">
        <v>16538</v>
      </c>
      <c r="E4847" s="204" t="s">
        <v>92</v>
      </c>
      <c r="F4847" s="204"/>
    </row>
    <row r="4848" customHeight="1" spans="1:6">
      <c r="A4848" s="9" t="s">
        <v>16539</v>
      </c>
      <c r="B4848" s="223" t="s">
        <v>16540</v>
      </c>
      <c r="C4848" s="223" t="s">
        <v>16541</v>
      </c>
      <c r="D4848" s="204" t="s">
        <v>16542</v>
      </c>
      <c r="E4848" s="204" t="s">
        <v>92</v>
      </c>
      <c r="F4848" s="204"/>
    </row>
    <row r="4849" customHeight="1" spans="1:6">
      <c r="A4849" s="9" t="s">
        <v>16543</v>
      </c>
      <c r="B4849" s="214" t="s">
        <v>16544</v>
      </c>
      <c r="C4849" s="214" t="s">
        <v>16545</v>
      </c>
      <c r="D4849" s="194"/>
      <c r="E4849" s="204" t="s">
        <v>92</v>
      </c>
      <c r="F4849" s="204"/>
    </row>
    <row r="4850" customHeight="1" spans="1:6">
      <c r="A4850" s="9" t="s">
        <v>16546</v>
      </c>
      <c r="B4850" s="201" t="s">
        <v>16547</v>
      </c>
      <c r="C4850" s="202" t="s">
        <v>16548</v>
      </c>
      <c r="D4850" s="154"/>
      <c r="E4850" s="154" t="s">
        <v>243</v>
      </c>
      <c r="F4850" s="180"/>
    </row>
    <row r="4851" customHeight="1" spans="1:6">
      <c r="A4851" s="9" t="s">
        <v>16549</v>
      </c>
      <c r="B4851" s="214" t="s">
        <v>16550</v>
      </c>
      <c r="C4851" s="214" t="s">
        <v>16551</v>
      </c>
      <c r="D4851" s="232">
        <v>926690634</v>
      </c>
      <c r="E4851" s="204" t="s">
        <v>92</v>
      </c>
      <c r="F4851" s="204"/>
    </row>
    <row r="4852" customHeight="1" spans="1:6">
      <c r="A4852" s="9" t="s">
        <v>16552</v>
      </c>
      <c r="B4852" s="195" t="s">
        <v>16553</v>
      </c>
      <c r="C4852" s="196" t="s">
        <v>16554</v>
      </c>
      <c r="D4852" s="197"/>
      <c r="E4852" s="197" t="s">
        <v>273</v>
      </c>
      <c r="F4852" s="197"/>
    </row>
    <row r="4853" customHeight="1" spans="1:6">
      <c r="A4853" s="9" t="s">
        <v>16555</v>
      </c>
      <c r="B4853" s="195" t="s">
        <v>16556</v>
      </c>
      <c r="C4853" s="202" t="s">
        <v>16557</v>
      </c>
      <c r="D4853" s="152"/>
      <c r="E4853" s="154" t="s">
        <v>232</v>
      </c>
      <c r="F4853" s="180"/>
    </row>
    <row r="4854" customHeight="1" spans="1:6">
      <c r="A4854" s="9" t="s">
        <v>16558</v>
      </c>
      <c r="B4854" s="195" t="s">
        <v>16559</v>
      </c>
      <c r="C4854" s="202" t="s">
        <v>16560</v>
      </c>
      <c r="D4854" s="152"/>
      <c r="E4854" s="154" t="s">
        <v>232</v>
      </c>
      <c r="F4854" s="180"/>
    </row>
    <row r="4855" customHeight="1" spans="1:6">
      <c r="A4855" s="9" t="s">
        <v>16561</v>
      </c>
      <c r="B4855" s="238" t="s">
        <v>16562</v>
      </c>
      <c r="C4855" s="202" t="s">
        <v>16563</v>
      </c>
      <c r="D4855" s="153">
        <v>928562070</v>
      </c>
      <c r="E4855" s="180" t="s">
        <v>104</v>
      </c>
      <c r="F4855" s="180"/>
    </row>
    <row r="4856" customHeight="1" spans="1:6">
      <c r="A4856" s="9" t="s">
        <v>16564</v>
      </c>
      <c r="B4856" s="201" t="s">
        <v>16565</v>
      </c>
      <c r="C4856" s="202" t="s">
        <v>16566</v>
      </c>
      <c r="D4856" s="154" t="s">
        <v>16567</v>
      </c>
      <c r="E4856" s="154" t="s">
        <v>58</v>
      </c>
      <c r="F4856" s="180"/>
    </row>
    <row r="4857" customHeight="1" spans="1:6">
      <c r="A4857" s="9" t="s">
        <v>16568</v>
      </c>
      <c r="B4857" s="200" t="s">
        <v>16569</v>
      </c>
      <c r="C4857" s="202" t="s">
        <v>16570</v>
      </c>
      <c r="D4857" s="154"/>
      <c r="E4857" s="154" t="s">
        <v>104</v>
      </c>
      <c r="F4857" s="180"/>
    </row>
    <row r="4858" customHeight="1" spans="1:6">
      <c r="A4858" s="9" t="s">
        <v>16571</v>
      </c>
      <c r="B4858" s="200" t="s">
        <v>16572</v>
      </c>
      <c r="C4858" s="202" t="s">
        <v>16573</v>
      </c>
      <c r="D4858" s="152"/>
      <c r="E4858" s="154" t="s">
        <v>232</v>
      </c>
      <c r="F4858" s="180"/>
    </row>
    <row r="4859" customHeight="1" spans="1:6">
      <c r="A4859" s="9" t="s">
        <v>16574</v>
      </c>
      <c r="B4859" s="195" t="s">
        <v>16575</v>
      </c>
      <c r="C4859" s="202" t="s">
        <v>16576</v>
      </c>
      <c r="D4859" s="152" t="s">
        <v>16577</v>
      </c>
      <c r="E4859" s="154" t="s">
        <v>104</v>
      </c>
      <c r="F4859" s="180"/>
    </row>
    <row r="4860" customHeight="1" spans="1:6">
      <c r="A4860" s="9" t="s">
        <v>16578</v>
      </c>
      <c r="B4860" s="200" t="s">
        <v>16579</v>
      </c>
      <c r="C4860" s="192" t="s">
        <v>16579</v>
      </c>
      <c r="D4860" s="194"/>
      <c r="E4860" s="194" t="s">
        <v>202</v>
      </c>
      <c r="F4860" s="194"/>
    </row>
    <row r="4861" customHeight="1" spans="1:6">
      <c r="A4861" s="9" t="s">
        <v>16580</v>
      </c>
      <c r="B4861" s="200" t="s">
        <v>16581</v>
      </c>
      <c r="C4861" s="203" t="s">
        <v>16582</v>
      </c>
      <c r="D4861" s="194"/>
      <c r="E4861" s="194" t="s">
        <v>253</v>
      </c>
      <c r="F4861" s="194"/>
    </row>
    <row r="4862" customHeight="1" spans="1:6">
      <c r="A4862" s="9" t="s">
        <v>16583</v>
      </c>
      <c r="B4862" s="201" t="s">
        <v>16584</v>
      </c>
      <c r="C4862" s="202" t="s">
        <v>16585</v>
      </c>
      <c r="D4862" s="154"/>
      <c r="E4862" s="154"/>
      <c r="F4862" s="180"/>
    </row>
    <row r="4863" customHeight="1" spans="1:6">
      <c r="A4863" s="9" t="s">
        <v>16586</v>
      </c>
      <c r="B4863" s="200" t="s">
        <v>16587</v>
      </c>
      <c r="C4863" s="202" t="s">
        <v>16588</v>
      </c>
      <c r="D4863" s="152" t="s">
        <v>16589</v>
      </c>
      <c r="E4863" s="154" t="s">
        <v>232</v>
      </c>
      <c r="F4863" s="180"/>
    </row>
    <row r="4864" customHeight="1" spans="1:6">
      <c r="A4864" s="9" t="s">
        <v>16590</v>
      </c>
      <c r="B4864" s="200" t="s">
        <v>16591</v>
      </c>
      <c r="C4864" s="202" t="s">
        <v>16592</v>
      </c>
      <c r="D4864" s="152"/>
      <c r="E4864" s="154" t="s">
        <v>232</v>
      </c>
      <c r="F4864" s="180"/>
    </row>
    <row r="4865" customHeight="1" spans="1:6">
      <c r="A4865" s="9" t="s">
        <v>16593</v>
      </c>
      <c r="B4865" s="195" t="s">
        <v>16594</v>
      </c>
      <c r="C4865" s="196" t="s">
        <v>16595</v>
      </c>
      <c r="D4865" s="197"/>
      <c r="E4865" s="198" t="s">
        <v>32</v>
      </c>
      <c r="F4865" s="199"/>
    </row>
    <row r="4866" customHeight="1" spans="1:6">
      <c r="A4866" s="9" t="s">
        <v>16596</v>
      </c>
      <c r="B4866" s="200" t="s">
        <v>16597</v>
      </c>
      <c r="C4866" s="202" t="s">
        <v>16598</v>
      </c>
      <c r="D4866" s="152" t="s">
        <v>16599</v>
      </c>
      <c r="E4866" s="154" t="s">
        <v>232</v>
      </c>
      <c r="F4866" s="180"/>
    </row>
    <row r="4867" customHeight="1" spans="1:6">
      <c r="A4867" s="9" t="s">
        <v>16600</v>
      </c>
      <c r="B4867" s="153" t="s">
        <v>16601</v>
      </c>
      <c r="C4867" s="202" t="s">
        <v>16602</v>
      </c>
      <c r="D4867" s="341" t="s">
        <v>16603</v>
      </c>
      <c r="E4867" s="154" t="s">
        <v>253</v>
      </c>
      <c r="F4867" s="180"/>
    </row>
    <row r="4868" customHeight="1" spans="1:6">
      <c r="A4868" s="9" t="s">
        <v>16604</v>
      </c>
      <c r="B4868" s="194" t="s">
        <v>16605</v>
      </c>
      <c r="C4868" s="202" t="s">
        <v>16606</v>
      </c>
      <c r="D4868" s="153"/>
      <c r="E4868" s="180" t="s">
        <v>216</v>
      </c>
      <c r="F4868" s="180"/>
    </row>
    <row r="4869" customHeight="1" spans="1:6">
      <c r="A4869" s="9" t="s">
        <v>16607</v>
      </c>
      <c r="B4869" s="200" t="s">
        <v>16608</v>
      </c>
      <c r="C4869" s="202" t="s">
        <v>16609</v>
      </c>
      <c r="D4869" s="152"/>
      <c r="E4869" s="154" t="s">
        <v>232</v>
      </c>
      <c r="F4869" s="180"/>
    </row>
    <row r="4870" customHeight="1" spans="1:6">
      <c r="A4870" s="9" t="s">
        <v>16610</v>
      </c>
      <c r="B4870" s="201" t="s">
        <v>16611</v>
      </c>
      <c r="C4870" s="202" t="s">
        <v>16612</v>
      </c>
      <c r="D4870" s="154"/>
      <c r="E4870" s="154" t="s">
        <v>58</v>
      </c>
      <c r="F4870" s="180"/>
    </row>
    <row r="4871" customHeight="1" spans="1:6">
      <c r="A4871" s="9" t="s">
        <v>16613</v>
      </c>
      <c r="B4871" s="200" t="s">
        <v>16614</v>
      </c>
      <c r="C4871" s="202" t="s">
        <v>16615</v>
      </c>
      <c r="D4871" s="152"/>
      <c r="E4871" s="154" t="s">
        <v>232</v>
      </c>
      <c r="F4871" s="180"/>
    </row>
    <row r="4872" customHeight="1" spans="1:6">
      <c r="A4872" s="9" t="s">
        <v>16616</v>
      </c>
      <c r="B4872" s="205" t="s">
        <v>16617</v>
      </c>
      <c r="C4872" s="205" t="s">
        <v>16618</v>
      </c>
      <c r="D4872" s="206" t="s">
        <v>16619</v>
      </c>
      <c r="E4872" s="193" t="s">
        <v>120</v>
      </c>
      <c r="F4872" s="221"/>
    </row>
    <row r="4873" customHeight="1" spans="1:6">
      <c r="A4873" s="9" t="s">
        <v>16620</v>
      </c>
      <c r="B4873" s="241" t="s">
        <v>16621</v>
      </c>
      <c r="C4873" s="242" t="s">
        <v>16622</v>
      </c>
      <c r="D4873" s="38" t="s">
        <v>16623</v>
      </c>
      <c r="E4873" s="37" t="s">
        <v>691</v>
      </c>
      <c r="F4873" s="37"/>
    </row>
  </sheetData>
  <hyperlinks>
    <hyperlink ref="F111" r:id="rId1" display="abaynehtemesgen17@gmail.com"/>
    <hyperlink ref="F1358" r:id="rId2" display="ajematolessa@gmail.com"/>
    <hyperlink ref="F4175" r:id="rId3" display="berhanu628871@gmail.com"/>
    <hyperlink ref="F4392" r:id="rId4" display="nebilhilina19@gmail.com"/>
    <hyperlink ref="F1374" r:id="rId5" display="akaluw@att.net"/>
    <hyperlink ref="F2046" r:id="rId6" display="ambachew.Amare@yahoo.com"/>
    <hyperlink ref="F3125" r:id="rId7" display="awraris.girma@injera.ch"/>
    <hyperlink ref="F4506" r:id="rId8" display="okabiniam@gmail.com"/>
    <hyperlink ref="F4840" r:id="rId9" display="bisratdaniel6@gmail.com"/>
    <hyperlink ref="F4097" r:id="rId10" display="bereketalemu@gmail.com"/>
    <hyperlink ref="F1807" r:id="rId11" display="alis135@"/>
    <hyperlink ref="F3415" r:id="rId12" display="azebfisehaye-gegeye@gmail.com"/>
    <hyperlink ref="F2423" r:id="rId13" display="destaaschalew@gmail.com"/>
    <hyperlink ref="F751" r:id="rId14" display="abnetsam@yahoo.com"/>
    <hyperlink ref="F2194" r:id="rId14" display="abnetsam@yahoo.com"/>
    <hyperlink ref="F3856" r:id="rId15" display="bogalebelachew51@gmail.com"/>
    <hyperlink ref="F3595" r:id="rId16" display="nigusue@crdaethiopia.org"/>
    <hyperlink ref="F3702" r:id="rId17" display="addisukm@gmail.com"/>
    <hyperlink ref="F1481" r:id="rId18" display="beimnetberhanu@yahoo.com"/>
    <hyperlink ref="F4186" r:id="rId19" display="mulerbsada@gmail.com"/>
    <hyperlink ref="F4516" r:id="rId20" display="berhanut5@gmail.com"/>
    <hyperlink ref="F1960" r:id="rId21" display="betegebriel@gmail.com"/>
    <hyperlink ref="F3896" r:id="rId22" display="hana_tesgera@yahoo.com"/>
    <hyperlink ref="F1423" r:id="rId23" display="yenenehs@yahoo.com"/>
    <hyperlink ref="F2075" r:id="rId24" display="nevay1972@gmail.com"/>
    <hyperlink ref="F1419" r:id="rId25" display="fisseha.mengistu@yahoo.com"/>
    <hyperlink ref="F1810" r:id="rId26" display="1tiggy27@gmail.com"/>
    <hyperlink ref="F2935" r:id="rId27" display="adashamen@yahoo.com"/>
    <hyperlink ref="F4235" r:id="rId28" display="abay8kassa@gmail.com"/>
    <hyperlink ref="F2651" r:id="rId29" display="gebeyehu.abebe@yahoo.com"/>
    <hyperlink ref="F2278" r:id="rId30" display="amirabom80@gmail.com"/>
    <hyperlink ref="F4224" r:id="rId31" display="mussemaabdo@gmail.com"/>
    <hyperlink ref="F4514" r:id="rId32" display="tinasharew@gmail.com"/>
    <hyperlink ref="F1339" r:id="rId33" display="natnaelw5@gmail.com"/>
    <hyperlink ref="F1411" r:id="rId34" display="gebissao@gmail.com"/>
    <hyperlink ref="F4282" r:id="rId35" display="mieraf.zebra@gmail.com"/>
    <hyperlink ref="F4404" r:id="rId36" display="lidiabelay@gmail.com"/>
    <hyperlink ref="F3042" r:id="rId37" display="awashriver@gol.com"/>
    <hyperlink ref="F4257" r:id="rId38" display="dagnachewmolla74@gmail.com"/>
    <hyperlink ref="F4063" r:id="rId39" display="senaywz2002@yahoo.com"/>
    <hyperlink ref="F967" r:id="rId40" display="bihizewge36@gmail.com"/>
    <hyperlink ref="F4508" r:id="rId41" display="yedeneknig@gmail.com"/>
    <hyperlink ref="F1712" r:id="rId42" display="biniamgirma@yahoo.com"/>
    <hyperlink ref="F3906" r:id="rId43" display="nzewdie2000@yahoo.com"/>
    <hyperlink ref="F1066" r:id="rId44" display="eyobgebre888@gmail.com"/>
    <hyperlink ref="F3174" r:id="rId45" display="solomons743@gmail.com"/>
    <hyperlink ref="F479" r:id="rId46" display="tikwfikir1@gmail.com"/>
    <hyperlink ref="F3728" r:id="rId47" display="josluth20@gmail.com"/>
    <hyperlink ref="F4779" r:id="rId48" display="tutushtutush@gmail.com"/>
    <hyperlink ref="F4669" r:id="rId49" display="Brouk.est75@gmail.com"/>
    <hyperlink ref="F3153" r:id="rId50" display="habtamewnetu7@gmail.com"/>
    <hyperlink ref="F4124" r:id="rId51" display="tadessewatola@gmail.com&#10;tadessawaro"/>
    <hyperlink ref="F3709" r:id="rId52" display="sarasanye02@gmail.com"/>
    <hyperlink ref="F1854" r:id="rId53" display="tinashka@gmail.com"/>
    <hyperlink ref="F4763" r:id="rId54" display="solomon1981teshome@gmail.com"/>
    <hyperlink ref="F1484" r:id="rId55" display="yohannesberhanu76@gmail.com"/>
    <hyperlink ref="F1240" r:id="rId56" display="yabsrataye5@gmail.com"/>
    <hyperlink ref="F2719" r:id="rId57" display="excelsourcingplc@gmail.com"/>
    <hyperlink ref="F1041" r:id="rId58" display="suraemiru@gmail.com"/>
    <hyperlink ref="F2611" r:id="rId59" display="samjointernational2@gmail.com"/>
    <hyperlink ref="F627" r:id="rId60" display="elgezmu@gmail.com&#10;telesh4578@gmail.com"/>
    <hyperlink ref="F4553" r:id="rId61" display="rojafun21@gmail.com"/>
    <hyperlink ref="F1468" r:id="rId62" display="sezyoh102@gmail.com"/>
    <hyperlink ref="F2206" r:id="rId63" display="tketsela2@aol.com"/>
    <hyperlink ref="F2642" r:id="rId64" display="Shiferawhirut@yahoo.com"/>
    <hyperlink ref="F4616" r:id="rId65" display="legessebenyam127@gmail.com"/>
    <hyperlink ref="F4837" r:id="rId66" display="eprta45@gmail.com"/>
    <hyperlink ref="F413" r:id="rId67" display="dagmawig89@gmail.com"/>
    <hyperlink ref="F962" r:id="rId68" display="kibitea@yahoo.com"/>
    <hyperlink ref="F4179" r:id="rId69" display="obsa.2004@gmail.com"/>
    <hyperlink ref="F3902" r:id="rId70" display="blackdude2@yahoo.com"/>
    <hyperlink ref="F4841" r:id="rId71" display="import617895@gmail.com"/>
    <hyperlink ref="F1704" r:id="rId72" display="ntsuh17@gmail.com"/>
    <hyperlink ref="F2037" r:id="rId73" display="shey27@yahoo.com"/>
    <hyperlink ref="F2360" r:id="rId74" display="mekuria40@gmail.com"/>
    <hyperlink ref="F927" r:id="rId75" display="ameleworktesfaye@yahoo.com"/>
    <hyperlink ref="F1342" r:id="rId76" display="sariaelsi@gmail.com"/>
    <hyperlink ref="F2071" r:id="rId77" display="ahmedkassa@gmail.com"/>
    <hyperlink ref="F1255" r:id="rId78" display="adeniyasG75@gmail.com"/>
    <hyperlink ref="F3975" r:id="rId79" display="eyobkebe@yahoo.com"/>
    <hyperlink ref="F1140" r:id="rId80" display="natan.mulugeta75@gmail.com"/>
    <hyperlink ref="F2827" r:id="rId81" display="mitikug2021@gmail.com"/>
    <hyperlink ref="F1100" r:id="rId82" display="leulmekonnen7@gmail.com"/>
    <hyperlink ref="F2001" r:id="rId83" display="jraheltarekegne@gmail.com"/>
    <hyperlink ref="F4189" r:id="rId84" display="ytohewow@gmail.com"/>
    <hyperlink ref="F4236" r:id="rId85" display="berhanu.tekle56@gmail.com"/>
    <hyperlink ref="F4499" r:id="rId86" display="fasikfifi@gmail.com"/>
    <hyperlink ref="F4675" r:id="rId87" display="Ashenafimendera1992@gmail.com"/>
    <hyperlink ref="F3406" r:id="rId88" display="Kidanu.maregn@yahoo.com"/>
    <hyperlink ref="F1462" r:id="rId89" display="birhanumelese@gmail.com"/>
    <hyperlink ref="F1117" r:id="rId90" display="weyni21@yahoo.com"/>
    <hyperlink ref="F2483" r:id="rId91" display="Yohannesk13@gmail.com"/>
    <hyperlink ref="F3162" r:id="rId92" display="Henokagerea@gamil.com"/>
    <hyperlink ref="F359" r:id="rId93" display="addisu.tiruneh@gmail.com"/>
    <hyperlink ref="F794" r:id="rId94" display="andarge.seleshi@gmail.com"/>
    <hyperlink ref="F3148" r:id="rId95" display="tsertse@gmail.com"/>
    <hyperlink ref="F4563" r:id="rId96" display="dagemfeleke2002@gmail.com"/>
    <hyperlink ref="F4283" r:id="rId97" display="musalitena@gmail.com"/>
    <hyperlink ref="F2103" r:id="rId98" display="BetelhemTegegne@gmail.com"/>
    <hyperlink ref="F2514" r:id="rId99" display="ethiobeti@yahoo.com"/>
    <hyperlink ref="F1346" r:id="rId100" display="kenhir9@gmail.com"/>
    <hyperlink ref="F206" r:id="rId101" display="afeworklove12@gmail.com"/>
    <hyperlink ref="F4137" r:id="rId102" display="fgetahun@yahoo.com"/>
    <hyperlink ref="F665" r:id="rId103" display="bekiaba@gmail.com"/>
    <hyperlink ref="F2159" r:id="rId104" display="agniagza@gmail.com"/>
    <hyperlink ref="F1328" r:id="rId105" display="yaredtekle123@gmail.com"/>
    <hyperlink ref="F496" r:id="rId106" display="wontaye@gmail.com"/>
    <hyperlink ref="F4639" r:id="rId107" display="sandraabate66@gmail.com"/>
    <hyperlink ref="F3747" r:id="rId108" display="ephraimalamerew@yahoo.com"/>
    <hyperlink ref="F2947" r:id="rId109" display="bekalu2090@gmail.com"/>
    <hyperlink ref="F1928" r:id="rId110" display="johnykebede@gmail.com"/>
    <hyperlink ref="F4078" r:id="rId111" display="tsionyared21@gmail.com"/>
    <hyperlink ref="F4745" r:id="rId112" display="girmaselamawit3@gmail.com"/>
    <hyperlink ref="F330" r:id="rId113" display="nigusezana33@gmail.com"/>
    <hyperlink ref="F4543" r:id="rId114" display="teddytg@gmail.com"/>
    <hyperlink ref="F4844" r:id="rId115" display="gebremihretinca@gmail.com"/>
    <hyperlink ref="F3161" r:id="rId116" display="zekarias.cherinet@att.net"/>
    <hyperlink ref="F4765" r:id="rId117" display="msissay@gmail.com"/>
    <hyperlink ref="F3646" r:id="rId118" display="ayalew03@yahoo.com"/>
    <hyperlink ref="F4812" r:id="rId119" display="graseyus2@gmail.com"/>
    <hyperlink ref="F3865" r:id="rId120" display="mimiteshome65@gmail.com"/>
    <hyperlink ref="F2938" r:id="rId121" display="tirihashabtegergis@gmail.com/ashu2be@gmail.com"/>
    <hyperlink ref="F2574" r:id="rId122" display="muluye22@gmail.com"/>
    <hyperlink ref="F1329" r:id="rId123" display="getawud@gmail.com"/>
    <hyperlink ref="F1627" r:id="rId124" display="rozafilimon@gmail.com"/>
    <hyperlink ref="F1701" r:id="rId125" display="yosephzethio@gmail.com"/>
    <hyperlink ref="F2995" r:id="rId126" display="alexsiswawa81@gmail.com"/>
    <hyperlink ref="F1954" r:id="rId127" display="yordi.lassooy@gmail.com"/>
    <hyperlink ref="F4271" r:id="rId128" display="shirut@yahoo.com"/>
    <hyperlink ref="F2313" r:id="rId129" display="biniyam.amanuel@yahoo.com"/>
    <hyperlink ref="F2940" r:id="rId130" display="edenhabtom85@yahoo.co.uk"/>
    <hyperlink ref="F1846" r:id="rId131" display="bireadis@gmail.com"/>
    <hyperlink ref="F120" r:id="rId132" display="hanna@haylaccountingpro.com"/>
    <hyperlink ref="F446" r:id="rId133" display="abitynaty12@gmail.com"/>
    <hyperlink ref="F3512" r:id="rId134" display="shiferawsolomon946@gmail.com"/>
    <hyperlink ref="F4253" r:id="rId135" display="fekadezikarge3799@gmail.com"/>
    <hyperlink ref="F712" r:id="rId136" display="kelemdagnie@gmail.com"/>
    <hyperlink ref="F720" r:id="rId137" display="malede777@gmail.com"/>
    <hyperlink ref="F1384" r:id="rId138" display="atg4abiy@yahoo.com"/>
    <hyperlink ref="F1472" r:id="rId139" display="aklilushewangzaw@gmail.com"/>
    <hyperlink ref="F122" r:id="rId140" display="khalidsalhe@gmail.com"/>
    <hyperlink ref="F774" r:id="rId141" display="edmia89@gmail.com"/>
    <hyperlink ref="F233" r:id="rId142" display="mdestat@gmail.com"/>
    <hyperlink ref="F4505" r:id="rId143" display="alembrook@hotmail.com"/>
    <hyperlink ref="F2129" r:id="rId144" display="cm.mueller@hotmail.com"/>
    <hyperlink ref="F770" r:id="rId145" display="mikeget9@gmail.com"/>
    <hyperlink ref="F2419" r:id="rId146" display="tes252007@gmail.com"/>
    <hyperlink ref="F3972" r:id="rId147" display="meleseyodit13@gmail.com"/>
    <hyperlink ref="F716" r:id="rId148" display="esku.adane@gmail.com"/>
    <hyperlink ref="F363" r:id="rId149" display="Abiynegussie@gmail.com"/>
    <hyperlink ref="F3537" r:id="rId150" display="yalarchint@gmail.com"/>
    <hyperlink ref="F3725" r:id="rId151" display="mamuyematiwos@gmail.com"/>
    <hyperlink ref="F1550" r:id="rId152" display="kediest.mamo@gmail.com"/>
    <hyperlink ref="F2766" r:id="rId153" display="antsinwerq@gmail.com"/>
    <hyperlink ref="F3838" r:id="rId154" display="lebor23@gmail.com"/>
    <hyperlink ref="F2322" r:id="rId155" display="abaymek2018@gmail.com"/>
    <hyperlink ref="F109" r:id="rId156" display="gugsa_cake@yahoo.com"/>
    <hyperlink ref="F3545" r:id="rId157" display="bellaemu@yahoo.com"/>
    <hyperlink ref="F1975" r:id="rId158" display="seaviewafh@yahoo.com"/>
    <hyperlink ref="F749" r:id="rId159" display="aynalem.shanka@yahoo.com"/>
    <hyperlink ref="F1651" r:id="rId160" display="tewodrosluwam@gmail.com"/>
    <hyperlink ref="F801" r:id="rId161" display="hailubirru@un.org"/>
    <hyperlink ref="F3424" r:id="rId162" display="merawitmedhin2@gmail.com"/>
    <hyperlink ref="F3348" r:id="rId163" display="samsonbekele74@gmail.com"/>
    <hyperlink ref="F4788" r:id="rId164" display="kebededawit@gmail.com"/>
    <hyperlink ref="F31" r:id="rId165" display="negashosman@gmail.com"/>
    <hyperlink ref="F3730" r:id="rId166" display="betelhemermias09@gmail.com"/>
    <hyperlink ref="F3049" r:id="rId167" display="gyisma@yahoo.com"/>
    <hyperlink ref="F811" r:id="rId168" display="amen.awaju@gmail.com"/>
    <hyperlink ref="F2116" r:id="rId168" display="amen.awaju@gmail.com"/>
    <hyperlink ref="F600" r:id="rId169" display="idelawit1997@gmail.com"/>
    <hyperlink ref="F1598" r:id="rId170" display="tilahunayalew691@gmail.com"/>
    <hyperlink ref="F4024" r:id="rId171" display="daniabate4617@gmail.com"/>
    <hyperlink ref="F4513" r:id="rId172" display="airmecho777@gmail.com"/>
    <hyperlink ref="F3041" r:id="rId173" display="betegebriel@gamil.com"/>
    <hyperlink ref="F2906" r:id="rId140" display="khalidsalhe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07"/>
  <sheetViews>
    <sheetView tabSelected="1" workbookViewId="0">
      <selection activeCell="A1" sqref="A1"/>
    </sheetView>
  </sheetViews>
  <sheetFormatPr defaultColWidth="9" defaultRowHeight="15" outlineLevelCol="4"/>
  <cols>
    <col min="1" max="1" width="15.8190476190476" customWidth="1"/>
    <col min="2" max="2" width="18.4571428571429" style="147" customWidth="1"/>
    <col min="3" max="5" width="24.6285714285714" customWidth="1"/>
  </cols>
  <sheetData>
    <row r="1" ht="15.75" spans="1:5">
      <c r="A1" s="148" t="s">
        <v>16624</v>
      </c>
      <c r="B1" s="149" t="s">
        <v>16625</v>
      </c>
      <c r="C1" s="150" t="s">
        <v>16626</v>
      </c>
      <c r="D1" s="150" t="s">
        <v>16627</v>
      </c>
      <c r="E1" s="150" t="s">
        <v>16628</v>
      </c>
    </row>
    <row r="2" ht="16.5" spans="1:5">
      <c r="A2" s="151">
        <v>1</v>
      </c>
      <c r="B2" s="152" t="s">
        <v>6</v>
      </c>
      <c r="C2" s="153" t="s">
        <v>16629</v>
      </c>
      <c r="D2" s="154">
        <v>10</v>
      </c>
      <c r="E2" s="155">
        <f>SUM(D2*100)</f>
        <v>1000</v>
      </c>
    </row>
    <row r="3" ht="16.5" spans="1:5">
      <c r="A3" s="151">
        <v>2</v>
      </c>
      <c r="B3" s="152" t="s">
        <v>10</v>
      </c>
      <c r="C3" s="156" t="s">
        <v>16629</v>
      </c>
      <c r="D3" s="157">
        <v>10</v>
      </c>
      <c r="E3" s="155">
        <f t="shared" ref="E3:E12" si="0">+D3*100</f>
        <v>1000</v>
      </c>
    </row>
    <row r="4" ht="16.5" spans="1:5">
      <c r="A4" s="151">
        <v>3</v>
      </c>
      <c r="B4" s="152" t="s">
        <v>14</v>
      </c>
      <c r="C4" s="153" t="s">
        <v>16629</v>
      </c>
      <c r="D4" s="158">
        <v>10</v>
      </c>
      <c r="E4" s="155">
        <f t="shared" si="0"/>
        <v>1000</v>
      </c>
    </row>
    <row r="5" ht="16.5" spans="1:5">
      <c r="A5" s="151">
        <v>4</v>
      </c>
      <c r="B5" s="152" t="s">
        <v>18</v>
      </c>
      <c r="C5" s="156" t="s">
        <v>16629</v>
      </c>
      <c r="D5" s="157">
        <v>10</v>
      </c>
      <c r="E5" s="155">
        <f t="shared" si="0"/>
        <v>1000</v>
      </c>
    </row>
    <row r="6" ht="16.5" spans="1:5">
      <c r="A6" s="151">
        <v>5</v>
      </c>
      <c r="B6" s="152" t="s">
        <v>21</v>
      </c>
      <c r="C6" s="153" t="s">
        <v>16629</v>
      </c>
      <c r="D6" s="154">
        <v>10</v>
      </c>
      <c r="E6" s="155">
        <f t="shared" si="0"/>
        <v>1000</v>
      </c>
    </row>
    <row r="7" ht="16.5" spans="1:5">
      <c r="A7" s="151">
        <v>6</v>
      </c>
      <c r="B7" s="152" t="s">
        <v>24</v>
      </c>
      <c r="C7" s="156" t="s">
        <v>16629</v>
      </c>
      <c r="D7" s="157">
        <v>10</v>
      </c>
      <c r="E7" s="155">
        <f t="shared" si="0"/>
        <v>1000</v>
      </c>
    </row>
    <row r="8" ht="16.5" spans="1:5">
      <c r="A8" s="151">
        <v>7</v>
      </c>
      <c r="B8" s="152" t="s">
        <v>28</v>
      </c>
      <c r="C8" s="156" t="s">
        <v>16629</v>
      </c>
      <c r="D8" s="157">
        <v>10</v>
      </c>
      <c r="E8" s="155">
        <f t="shared" si="0"/>
        <v>1000</v>
      </c>
    </row>
    <row r="9" ht="16.5" spans="1:5">
      <c r="A9" s="151">
        <v>8</v>
      </c>
      <c r="B9" s="152" t="s">
        <v>33</v>
      </c>
      <c r="C9" s="153" t="s">
        <v>16629</v>
      </c>
      <c r="D9" s="154">
        <v>10</v>
      </c>
      <c r="E9" s="155">
        <f t="shared" si="0"/>
        <v>1000</v>
      </c>
    </row>
    <row r="10" ht="16.5" spans="1:5">
      <c r="A10" s="151">
        <v>9</v>
      </c>
      <c r="B10" s="152" t="s">
        <v>37</v>
      </c>
      <c r="C10" s="156" t="s">
        <v>16629</v>
      </c>
      <c r="D10" s="159">
        <v>10</v>
      </c>
      <c r="E10" s="155">
        <f t="shared" si="0"/>
        <v>1000</v>
      </c>
    </row>
    <row r="11" ht="16.5" spans="1:5">
      <c r="A11" s="151">
        <v>10</v>
      </c>
      <c r="B11" s="152" t="s">
        <v>41</v>
      </c>
      <c r="C11" s="156" t="s">
        <v>16629</v>
      </c>
      <c r="D11" s="159">
        <v>10</v>
      </c>
      <c r="E11" s="155">
        <f t="shared" si="0"/>
        <v>1000</v>
      </c>
    </row>
    <row r="12" ht="16.5" spans="1:5">
      <c r="A12" s="151">
        <v>11</v>
      </c>
      <c r="B12" s="152" t="s">
        <v>45</v>
      </c>
      <c r="C12" s="156" t="s">
        <v>16629</v>
      </c>
      <c r="D12" s="157">
        <v>10</v>
      </c>
      <c r="E12" s="155">
        <f t="shared" si="0"/>
        <v>1000</v>
      </c>
    </row>
    <row r="13" ht="16.5" spans="1:5">
      <c r="A13" s="151">
        <v>12</v>
      </c>
      <c r="B13" s="152" t="s">
        <v>48</v>
      </c>
      <c r="C13" s="153" t="s">
        <v>16629</v>
      </c>
      <c r="D13" s="154">
        <v>10</v>
      </c>
      <c r="E13" s="155">
        <f>SUM(D13*100)</f>
        <v>1000</v>
      </c>
    </row>
    <row r="14" ht="16.5" spans="1:5">
      <c r="A14" s="151">
        <v>13</v>
      </c>
      <c r="B14" s="152" t="s">
        <v>50</v>
      </c>
      <c r="C14" s="153" t="s">
        <v>16629</v>
      </c>
      <c r="D14" s="154">
        <v>10</v>
      </c>
      <c r="E14" s="155">
        <f t="shared" ref="E14:E20" si="1">+D14*100</f>
        <v>1000</v>
      </c>
    </row>
    <row r="15" ht="16.5" spans="1:5">
      <c r="A15" s="151">
        <v>14</v>
      </c>
      <c r="B15" s="152" t="s">
        <v>54</v>
      </c>
      <c r="C15" s="153" t="s">
        <v>16629</v>
      </c>
      <c r="D15" s="154">
        <v>10</v>
      </c>
      <c r="E15" s="155">
        <f t="shared" si="1"/>
        <v>1000</v>
      </c>
    </row>
    <row r="16" ht="16.5" spans="1:5">
      <c r="A16" s="151">
        <v>15</v>
      </c>
      <c r="B16" s="152" t="s">
        <v>59</v>
      </c>
      <c r="C16" s="156" t="s">
        <v>16629</v>
      </c>
      <c r="D16" s="159">
        <v>10</v>
      </c>
      <c r="E16" s="155">
        <f t="shared" si="1"/>
        <v>1000</v>
      </c>
    </row>
    <row r="17" ht="16.5" spans="1:5">
      <c r="A17" s="151">
        <v>16</v>
      </c>
      <c r="B17" s="152" t="s">
        <v>63</v>
      </c>
      <c r="C17" s="156" t="s">
        <v>16629</v>
      </c>
      <c r="D17" s="159">
        <v>10</v>
      </c>
      <c r="E17" s="155">
        <f t="shared" si="1"/>
        <v>1000</v>
      </c>
    </row>
    <row r="18" ht="16.5" spans="1:5">
      <c r="A18" s="151">
        <v>17</v>
      </c>
      <c r="B18" s="152" t="s">
        <v>67</v>
      </c>
      <c r="C18" s="153" t="s">
        <v>16629</v>
      </c>
      <c r="D18" s="158">
        <v>10</v>
      </c>
      <c r="E18" s="155">
        <f t="shared" si="1"/>
        <v>1000</v>
      </c>
    </row>
    <row r="19" ht="16.5" spans="1:5">
      <c r="A19" s="151">
        <v>18</v>
      </c>
      <c r="B19" s="152" t="s">
        <v>70</v>
      </c>
      <c r="C19" s="153" t="s">
        <v>16629</v>
      </c>
      <c r="D19" s="158">
        <v>10</v>
      </c>
      <c r="E19" s="155">
        <f t="shared" si="1"/>
        <v>1000</v>
      </c>
    </row>
    <row r="20" ht="16.5" spans="1:5">
      <c r="A20" s="151">
        <v>19</v>
      </c>
      <c r="B20" s="152" t="s">
        <v>73</v>
      </c>
      <c r="C20" s="153" t="s">
        <v>16629</v>
      </c>
      <c r="D20" s="154">
        <v>10</v>
      </c>
      <c r="E20" s="155">
        <f t="shared" si="1"/>
        <v>1000</v>
      </c>
    </row>
    <row r="21" ht="16.5" spans="1:5">
      <c r="A21" s="151">
        <v>20</v>
      </c>
      <c r="B21" s="152" t="s">
        <v>77</v>
      </c>
      <c r="C21" s="156" t="s">
        <v>16629</v>
      </c>
      <c r="D21" s="159">
        <v>10</v>
      </c>
      <c r="E21" s="155">
        <f>SUM(D21*100)</f>
        <v>1000</v>
      </c>
    </row>
    <row r="22" ht="16.5" spans="1:5">
      <c r="A22" s="151">
        <v>21</v>
      </c>
      <c r="B22" s="152" t="s">
        <v>81</v>
      </c>
      <c r="C22" s="153" t="s">
        <v>16629</v>
      </c>
      <c r="D22" s="154">
        <v>10</v>
      </c>
      <c r="E22" s="155">
        <f>+D22*100</f>
        <v>1000</v>
      </c>
    </row>
    <row r="23" ht="16.5" spans="1:5">
      <c r="A23" s="151">
        <v>22</v>
      </c>
      <c r="B23" s="152" t="s">
        <v>85</v>
      </c>
      <c r="C23" s="153" t="s">
        <v>16629</v>
      </c>
      <c r="D23" s="154">
        <v>10</v>
      </c>
      <c r="E23" s="155">
        <f>+D23*100</f>
        <v>1000</v>
      </c>
    </row>
    <row r="24" ht="16.5" spans="1:5">
      <c r="A24" s="151">
        <v>23</v>
      </c>
      <c r="B24" s="152" t="s">
        <v>88</v>
      </c>
      <c r="C24" s="160" t="s">
        <v>16630</v>
      </c>
      <c r="D24" s="160">
        <v>100</v>
      </c>
      <c r="E24" s="161">
        <f>SUM(D24*100)</f>
        <v>10000</v>
      </c>
    </row>
    <row r="25" ht="16.5" spans="1:5">
      <c r="A25" s="151">
        <v>24</v>
      </c>
      <c r="B25" s="152" t="s">
        <v>93</v>
      </c>
      <c r="C25" s="160" t="s">
        <v>16630</v>
      </c>
      <c r="D25" s="160">
        <v>400</v>
      </c>
      <c r="E25" s="161">
        <f>SUM(D25*100)</f>
        <v>40000</v>
      </c>
    </row>
    <row r="26" ht="16.5" spans="1:5">
      <c r="A26" s="151">
        <v>25</v>
      </c>
      <c r="B26" s="152" t="s">
        <v>97</v>
      </c>
      <c r="C26" s="153" t="s">
        <v>16629</v>
      </c>
      <c r="D26" s="154">
        <v>10</v>
      </c>
      <c r="E26" s="155">
        <f>+D26*100</f>
        <v>1000</v>
      </c>
    </row>
    <row r="27" ht="16.5" spans="1:5">
      <c r="A27" s="151">
        <v>26</v>
      </c>
      <c r="B27" s="152" t="s">
        <v>101</v>
      </c>
      <c r="C27" s="153" t="s">
        <v>16629</v>
      </c>
      <c r="D27" s="154">
        <v>10</v>
      </c>
      <c r="E27" s="155">
        <f>+D27*100</f>
        <v>1000</v>
      </c>
    </row>
    <row r="28" ht="16.5" spans="1:5">
      <c r="A28" s="151">
        <v>27</v>
      </c>
      <c r="B28" s="152" t="s">
        <v>105</v>
      </c>
      <c r="C28" s="153" t="s">
        <v>16629</v>
      </c>
      <c r="D28" s="154">
        <v>10</v>
      </c>
      <c r="E28" s="155">
        <f>+D28*100</f>
        <v>1000</v>
      </c>
    </row>
    <row r="29" ht="16.5" spans="1:5">
      <c r="A29" s="151">
        <v>28</v>
      </c>
      <c r="B29" s="152" t="s">
        <v>108</v>
      </c>
      <c r="C29" s="156" t="s">
        <v>16629</v>
      </c>
      <c r="D29" s="157">
        <v>10</v>
      </c>
      <c r="E29" s="155">
        <f>+D29*100</f>
        <v>1000</v>
      </c>
    </row>
    <row r="30" ht="16.5" spans="1:5">
      <c r="A30" s="151">
        <v>29</v>
      </c>
      <c r="B30" s="152" t="s">
        <v>112</v>
      </c>
      <c r="C30" s="156" t="s">
        <v>16629</v>
      </c>
      <c r="D30" s="159">
        <v>10</v>
      </c>
      <c r="E30" s="155">
        <f>+D30*100</f>
        <v>1000</v>
      </c>
    </row>
    <row r="31" ht="16.5" spans="1:5">
      <c r="A31" s="151">
        <v>30</v>
      </c>
      <c r="B31" s="152" t="s">
        <v>116</v>
      </c>
      <c r="C31" s="162" t="s">
        <v>16631</v>
      </c>
      <c r="D31" s="163">
        <v>2000</v>
      </c>
      <c r="E31" s="163">
        <f>D31*100</f>
        <v>200000</v>
      </c>
    </row>
    <row r="32" ht="16.5" spans="1:5">
      <c r="A32" s="151">
        <v>31</v>
      </c>
      <c r="B32" s="152" t="s">
        <v>122</v>
      </c>
      <c r="C32" s="156" t="s">
        <v>16629</v>
      </c>
      <c r="D32" s="157">
        <v>10</v>
      </c>
      <c r="E32" s="155">
        <f>+D32*100</f>
        <v>1000</v>
      </c>
    </row>
    <row r="33" ht="16.5" spans="1:5">
      <c r="A33" s="151">
        <v>32</v>
      </c>
      <c r="B33" s="152" t="s">
        <v>126</v>
      </c>
      <c r="C33" s="156" t="s">
        <v>16629</v>
      </c>
      <c r="D33" s="159">
        <v>10</v>
      </c>
      <c r="E33" s="155">
        <f>+D33*100</f>
        <v>1000</v>
      </c>
    </row>
    <row r="34" ht="16.5" spans="1:5">
      <c r="A34" s="151">
        <v>33</v>
      </c>
      <c r="B34" s="152" t="s">
        <v>129</v>
      </c>
      <c r="C34" s="153" t="s">
        <v>16629</v>
      </c>
      <c r="D34" s="154">
        <v>10</v>
      </c>
      <c r="E34" s="155">
        <f>+D34*100</f>
        <v>1000</v>
      </c>
    </row>
    <row r="35" ht="16.5" spans="1:5">
      <c r="A35" s="151">
        <v>34</v>
      </c>
      <c r="B35" s="152" t="s">
        <v>132</v>
      </c>
      <c r="C35" s="160" t="s">
        <v>16630</v>
      </c>
      <c r="D35" s="41">
        <v>300</v>
      </c>
      <c r="E35" s="161">
        <f>SUM(D35*100)</f>
        <v>30000</v>
      </c>
    </row>
    <row r="36" ht="16.5" spans="1:5">
      <c r="A36" s="151">
        <v>35</v>
      </c>
      <c r="B36" s="152" t="s">
        <v>135</v>
      </c>
      <c r="C36" s="156" t="s">
        <v>16629</v>
      </c>
      <c r="D36" s="159">
        <v>10</v>
      </c>
      <c r="E36" s="155">
        <f>+D36*100</f>
        <v>1000</v>
      </c>
    </row>
    <row r="37" ht="16.5" spans="1:5">
      <c r="A37" s="151">
        <v>36</v>
      </c>
      <c r="B37" s="152" t="s">
        <v>139</v>
      </c>
      <c r="C37" s="156" t="s">
        <v>16629</v>
      </c>
      <c r="D37" s="159">
        <v>10</v>
      </c>
      <c r="E37" s="155">
        <f>+D37*100</f>
        <v>1000</v>
      </c>
    </row>
    <row r="38" ht="16.5" spans="1:5">
      <c r="A38" s="151">
        <v>37</v>
      </c>
      <c r="B38" s="152" t="s">
        <v>143</v>
      </c>
      <c r="C38" s="153" t="s">
        <v>16629</v>
      </c>
      <c r="D38" s="154">
        <v>10</v>
      </c>
      <c r="E38" s="155">
        <f>+D38*100</f>
        <v>1000</v>
      </c>
    </row>
    <row r="39" ht="16.5" spans="1:5">
      <c r="A39" s="151">
        <v>38</v>
      </c>
      <c r="B39" s="152" t="s">
        <v>147</v>
      </c>
      <c r="C39" s="153" t="s">
        <v>16629</v>
      </c>
      <c r="D39" s="154">
        <v>10</v>
      </c>
      <c r="E39" s="155">
        <f>+D39*100</f>
        <v>1000</v>
      </c>
    </row>
    <row r="40" ht="16.5" spans="1:5">
      <c r="A40" s="151">
        <v>39</v>
      </c>
      <c r="B40" s="152" t="s">
        <v>151</v>
      </c>
      <c r="C40" s="156" t="s">
        <v>16629</v>
      </c>
      <c r="D40" s="159">
        <v>10</v>
      </c>
      <c r="E40" s="155">
        <f>SUM(D40*100)</f>
        <v>1000</v>
      </c>
    </row>
    <row r="41" ht="16.5" spans="1:5">
      <c r="A41" s="151">
        <v>40</v>
      </c>
      <c r="B41" s="152" t="s">
        <v>155</v>
      </c>
      <c r="C41" s="156" t="s">
        <v>16629</v>
      </c>
      <c r="D41" s="159">
        <v>10</v>
      </c>
      <c r="E41" s="155">
        <f t="shared" ref="E41:E72" si="2">+D41*100</f>
        <v>1000</v>
      </c>
    </row>
    <row r="42" ht="16.5" spans="1:5">
      <c r="A42" s="151">
        <v>41</v>
      </c>
      <c r="B42" s="152" t="s">
        <v>158</v>
      </c>
      <c r="C42" s="156" t="s">
        <v>16629</v>
      </c>
      <c r="D42" s="154">
        <v>10</v>
      </c>
      <c r="E42" s="155">
        <f t="shared" si="2"/>
        <v>1000</v>
      </c>
    </row>
    <row r="43" ht="16.5" spans="1:5">
      <c r="A43" s="151">
        <v>42</v>
      </c>
      <c r="B43" s="152" t="s">
        <v>162</v>
      </c>
      <c r="C43" s="156" t="s">
        <v>16629</v>
      </c>
      <c r="D43" s="159">
        <v>10</v>
      </c>
      <c r="E43" s="155">
        <f t="shared" si="2"/>
        <v>1000</v>
      </c>
    </row>
    <row r="44" ht="16.5" spans="1:5">
      <c r="A44" s="151">
        <v>43</v>
      </c>
      <c r="B44" s="152" t="s">
        <v>165</v>
      </c>
      <c r="C44" s="156" t="s">
        <v>16629</v>
      </c>
      <c r="D44" s="157">
        <v>10</v>
      </c>
      <c r="E44" s="155">
        <f t="shared" si="2"/>
        <v>1000</v>
      </c>
    </row>
    <row r="45" ht="16.5" spans="1:5">
      <c r="A45" s="151">
        <v>44</v>
      </c>
      <c r="B45" s="152" t="s">
        <v>170</v>
      </c>
      <c r="C45" s="156" t="s">
        <v>16629</v>
      </c>
      <c r="D45" s="159">
        <v>10</v>
      </c>
      <c r="E45" s="155">
        <f t="shared" si="2"/>
        <v>1000</v>
      </c>
    </row>
    <row r="46" ht="16.5" spans="1:5">
      <c r="A46" s="151">
        <v>45</v>
      </c>
      <c r="B46" s="152" t="s">
        <v>174</v>
      </c>
      <c r="C46" s="153" t="s">
        <v>16629</v>
      </c>
      <c r="D46" s="154">
        <v>40</v>
      </c>
      <c r="E46" s="155">
        <f t="shared" si="2"/>
        <v>4000</v>
      </c>
    </row>
    <row r="47" ht="16.5" spans="1:5">
      <c r="A47" s="151">
        <v>46</v>
      </c>
      <c r="B47" s="152" t="s">
        <v>177</v>
      </c>
      <c r="C47" s="156" t="s">
        <v>16629</v>
      </c>
      <c r="D47" s="159">
        <v>10</v>
      </c>
      <c r="E47" s="155">
        <f t="shared" si="2"/>
        <v>1000</v>
      </c>
    </row>
    <row r="48" ht="16.5" spans="1:5">
      <c r="A48" s="151">
        <v>47</v>
      </c>
      <c r="B48" s="152" t="s">
        <v>182</v>
      </c>
      <c r="C48" s="156" t="s">
        <v>16629</v>
      </c>
      <c r="D48" s="159">
        <v>10</v>
      </c>
      <c r="E48" s="155">
        <f t="shared" si="2"/>
        <v>1000</v>
      </c>
    </row>
    <row r="49" ht="16.5" spans="1:5">
      <c r="A49" s="151">
        <v>48</v>
      </c>
      <c r="B49" s="152" t="s">
        <v>187</v>
      </c>
      <c r="C49" s="153" t="s">
        <v>16629</v>
      </c>
      <c r="D49" s="154">
        <v>10</v>
      </c>
      <c r="E49" s="155">
        <f t="shared" si="2"/>
        <v>1000</v>
      </c>
    </row>
    <row r="50" ht="16.5" spans="1:5">
      <c r="A50" s="151">
        <v>49</v>
      </c>
      <c r="B50" s="152" t="s">
        <v>191</v>
      </c>
      <c r="C50" s="156" t="s">
        <v>16629</v>
      </c>
      <c r="D50" s="159">
        <v>10</v>
      </c>
      <c r="E50" s="155">
        <f t="shared" si="2"/>
        <v>1000</v>
      </c>
    </row>
    <row r="51" ht="16.5" spans="1:5">
      <c r="A51" s="151">
        <v>50</v>
      </c>
      <c r="B51" s="152" t="s">
        <v>195</v>
      </c>
      <c r="C51" s="153" t="s">
        <v>16629</v>
      </c>
      <c r="D51" s="154">
        <v>10</v>
      </c>
      <c r="E51" s="155">
        <f t="shared" si="2"/>
        <v>1000</v>
      </c>
    </row>
    <row r="52" ht="16.5" spans="1:5">
      <c r="A52" s="151">
        <v>51</v>
      </c>
      <c r="B52" s="152" t="s">
        <v>198</v>
      </c>
      <c r="C52" s="156" t="s">
        <v>16629</v>
      </c>
      <c r="D52" s="159">
        <v>10</v>
      </c>
      <c r="E52" s="155">
        <f t="shared" si="2"/>
        <v>1000</v>
      </c>
    </row>
    <row r="53" ht="16.5" spans="1:5">
      <c r="A53" s="151">
        <v>52</v>
      </c>
      <c r="B53" s="152" t="s">
        <v>203</v>
      </c>
      <c r="C53" s="156" t="s">
        <v>16629</v>
      </c>
      <c r="D53" s="159">
        <v>10</v>
      </c>
      <c r="E53" s="155">
        <f t="shared" si="2"/>
        <v>1000</v>
      </c>
    </row>
    <row r="54" ht="16.5" spans="1:5">
      <c r="A54" s="151">
        <v>53</v>
      </c>
      <c r="B54" s="152" t="s">
        <v>207</v>
      </c>
      <c r="C54" s="153" t="s">
        <v>16629</v>
      </c>
      <c r="D54" s="158">
        <v>10</v>
      </c>
      <c r="E54" s="155">
        <f t="shared" si="2"/>
        <v>1000</v>
      </c>
    </row>
    <row r="55" ht="16.5" spans="1:5">
      <c r="A55" s="151">
        <v>54</v>
      </c>
      <c r="B55" s="152" t="s">
        <v>212</v>
      </c>
      <c r="C55" s="156" t="s">
        <v>16629</v>
      </c>
      <c r="D55" s="157">
        <v>10</v>
      </c>
      <c r="E55" s="155">
        <f t="shared" si="2"/>
        <v>1000</v>
      </c>
    </row>
    <row r="56" ht="16.5" spans="1:5">
      <c r="A56" s="151">
        <v>55</v>
      </c>
      <c r="B56" s="152" t="s">
        <v>217</v>
      </c>
      <c r="C56" s="156" t="s">
        <v>16629</v>
      </c>
      <c r="D56" s="157">
        <v>10</v>
      </c>
      <c r="E56" s="155">
        <f t="shared" si="2"/>
        <v>1000</v>
      </c>
    </row>
    <row r="57" ht="16.5" spans="1:5">
      <c r="A57" s="151">
        <v>56</v>
      </c>
      <c r="B57" s="152" t="s">
        <v>220</v>
      </c>
      <c r="C57" s="156" t="s">
        <v>16629</v>
      </c>
      <c r="D57" s="159">
        <v>10</v>
      </c>
      <c r="E57" s="155">
        <f t="shared" si="2"/>
        <v>1000</v>
      </c>
    </row>
    <row r="58" ht="16.5" spans="1:5">
      <c r="A58" s="151">
        <v>57</v>
      </c>
      <c r="B58" s="152" t="s">
        <v>223</v>
      </c>
      <c r="C58" s="153" t="s">
        <v>16629</v>
      </c>
      <c r="D58" s="154">
        <v>10</v>
      </c>
      <c r="E58" s="155">
        <f t="shared" si="2"/>
        <v>1000</v>
      </c>
    </row>
    <row r="59" ht="16.5" spans="1:5">
      <c r="A59" s="151">
        <v>58</v>
      </c>
      <c r="B59" s="152" t="s">
        <v>226</v>
      </c>
      <c r="C59" s="153" t="s">
        <v>16629</v>
      </c>
      <c r="D59" s="158">
        <v>10</v>
      </c>
      <c r="E59" s="155">
        <f t="shared" si="2"/>
        <v>1000</v>
      </c>
    </row>
    <row r="60" ht="16.5" spans="1:5">
      <c r="A60" s="151">
        <v>59</v>
      </c>
      <c r="B60" s="152" t="s">
        <v>229</v>
      </c>
      <c r="C60" s="153" t="s">
        <v>16629</v>
      </c>
      <c r="D60" s="154">
        <v>10</v>
      </c>
      <c r="E60" s="155">
        <f t="shared" si="2"/>
        <v>1000</v>
      </c>
    </row>
    <row r="61" ht="16.5" spans="1:5">
      <c r="A61" s="151">
        <v>60</v>
      </c>
      <c r="B61" s="152" t="s">
        <v>233</v>
      </c>
      <c r="C61" s="153" t="s">
        <v>16629</v>
      </c>
      <c r="D61" s="154">
        <v>10</v>
      </c>
      <c r="E61" s="155">
        <f t="shared" si="2"/>
        <v>1000</v>
      </c>
    </row>
    <row r="62" ht="16.5" spans="1:5">
      <c r="A62" s="151">
        <v>61</v>
      </c>
      <c r="B62" s="152" t="s">
        <v>236</v>
      </c>
      <c r="C62" s="156" t="s">
        <v>16629</v>
      </c>
      <c r="D62" s="159">
        <v>10</v>
      </c>
      <c r="E62" s="155">
        <f t="shared" si="2"/>
        <v>1000</v>
      </c>
    </row>
    <row r="63" ht="16.5" spans="1:5">
      <c r="A63" s="151">
        <v>62</v>
      </c>
      <c r="B63" s="152" t="s">
        <v>239</v>
      </c>
      <c r="C63" s="156" t="s">
        <v>16629</v>
      </c>
      <c r="D63" s="157">
        <v>10</v>
      </c>
      <c r="E63" s="155">
        <f t="shared" si="2"/>
        <v>1000</v>
      </c>
    </row>
    <row r="64" ht="16.5" spans="1:5">
      <c r="A64" s="151">
        <v>63</v>
      </c>
      <c r="B64" s="152" t="s">
        <v>244</v>
      </c>
      <c r="C64" s="156" t="s">
        <v>16629</v>
      </c>
      <c r="D64" s="159">
        <v>10</v>
      </c>
      <c r="E64" s="155">
        <f t="shared" si="2"/>
        <v>1000</v>
      </c>
    </row>
    <row r="65" ht="16.5" spans="1:5">
      <c r="A65" s="151">
        <v>64</v>
      </c>
      <c r="B65" s="152" t="s">
        <v>247</v>
      </c>
      <c r="C65" s="156" t="s">
        <v>16629</v>
      </c>
      <c r="D65" s="159">
        <v>100</v>
      </c>
      <c r="E65" s="155">
        <f t="shared" si="2"/>
        <v>10000</v>
      </c>
    </row>
    <row r="66" ht="16.5" spans="1:5">
      <c r="A66" s="151">
        <v>65</v>
      </c>
      <c r="B66" s="152" t="s">
        <v>250</v>
      </c>
      <c r="C66" s="156" t="s">
        <v>16629</v>
      </c>
      <c r="D66" s="157">
        <v>10</v>
      </c>
      <c r="E66" s="155">
        <f t="shared" si="2"/>
        <v>1000</v>
      </c>
    </row>
    <row r="67" ht="16.5" spans="1:5">
      <c r="A67" s="151">
        <v>66</v>
      </c>
      <c r="B67" s="152" t="s">
        <v>254</v>
      </c>
      <c r="C67" s="153" t="s">
        <v>16629</v>
      </c>
      <c r="D67" s="154">
        <v>10</v>
      </c>
      <c r="E67" s="155">
        <f t="shared" si="2"/>
        <v>1000</v>
      </c>
    </row>
    <row r="68" ht="16.5" spans="1:5">
      <c r="A68" s="151">
        <v>67</v>
      </c>
      <c r="B68" s="152" t="s">
        <v>257</v>
      </c>
      <c r="C68" s="156" t="s">
        <v>16629</v>
      </c>
      <c r="D68" s="159">
        <v>10</v>
      </c>
      <c r="E68" s="155">
        <f t="shared" si="2"/>
        <v>1000</v>
      </c>
    </row>
    <row r="69" ht="16.5" spans="1:5">
      <c r="A69" s="151">
        <v>68</v>
      </c>
      <c r="B69" s="152" t="s">
        <v>261</v>
      </c>
      <c r="C69" s="153" t="s">
        <v>16629</v>
      </c>
      <c r="D69" s="154">
        <v>10</v>
      </c>
      <c r="E69" s="155">
        <f t="shared" si="2"/>
        <v>1000</v>
      </c>
    </row>
    <row r="70" ht="16.5" spans="1:5">
      <c r="A70" s="151">
        <v>69</v>
      </c>
      <c r="B70" s="152" t="s">
        <v>264</v>
      </c>
      <c r="C70" s="156" t="s">
        <v>16629</v>
      </c>
      <c r="D70" s="159">
        <v>10</v>
      </c>
      <c r="E70" s="155">
        <f t="shared" si="2"/>
        <v>1000</v>
      </c>
    </row>
    <row r="71" ht="16.5" spans="1:5">
      <c r="A71" s="151">
        <v>70</v>
      </c>
      <c r="B71" s="152" t="s">
        <v>267</v>
      </c>
      <c r="C71" s="156" t="s">
        <v>16629</v>
      </c>
      <c r="D71" s="157">
        <v>10</v>
      </c>
      <c r="E71" s="155">
        <f t="shared" si="2"/>
        <v>1000</v>
      </c>
    </row>
    <row r="72" ht="16.5" spans="1:5">
      <c r="A72" s="151">
        <v>71</v>
      </c>
      <c r="B72" s="152" t="s">
        <v>270</v>
      </c>
      <c r="C72" s="153" t="s">
        <v>16629</v>
      </c>
      <c r="D72" s="158">
        <v>10</v>
      </c>
      <c r="E72" s="155">
        <f t="shared" si="2"/>
        <v>1000</v>
      </c>
    </row>
    <row r="73" ht="16.5" spans="1:5">
      <c r="A73" s="151">
        <v>72</v>
      </c>
      <c r="B73" s="152" t="s">
        <v>274</v>
      </c>
      <c r="C73" s="160" t="s">
        <v>16630</v>
      </c>
      <c r="D73" s="41">
        <v>10</v>
      </c>
      <c r="E73" s="161">
        <f>SUM(D73*100)</f>
        <v>1000</v>
      </c>
    </row>
    <row r="74" ht="16.5" spans="1:5">
      <c r="A74" s="151">
        <v>73</v>
      </c>
      <c r="B74" s="152" t="s">
        <v>277</v>
      </c>
      <c r="C74" s="153" t="s">
        <v>16629</v>
      </c>
      <c r="D74" s="154">
        <v>10</v>
      </c>
      <c r="E74" s="155">
        <f t="shared" ref="E74:E86" si="3">+D74*100</f>
        <v>1000</v>
      </c>
    </row>
    <row r="75" ht="16.5" spans="1:5">
      <c r="A75" s="151">
        <v>74</v>
      </c>
      <c r="B75" s="152" t="s">
        <v>280</v>
      </c>
      <c r="C75" s="153" t="s">
        <v>16629</v>
      </c>
      <c r="D75" s="154">
        <v>10</v>
      </c>
      <c r="E75" s="155">
        <f t="shared" si="3"/>
        <v>1000</v>
      </c>
    </row>
    <row r="76" ht="16.5" spans="1:5">
      <c r="A76" s="151">
        <v>75</v>
      </c>
      <c r="B76" s="152" t="s">
        <v>284</v>
      </c>
      <c r="C76" s="153" t="s">
        <v>16629</v>
      </c>
      <c r="D76" s="154">
        <v>10</v>
      </c>
      <c r="E76" s="155">
        <f t="shared" si="3"/>
        <v>1000</v>
      </c>
    </row>
    <row r="77" ht="16.5" spans="1:5">
      <c r="A77" s="151">
        <v>76</v>
      </c>
      <c r="B77" s="152" t="s">
        <v>287</v>
      </c>
      <c r="C77" s="156" t="s">
        <v>16629</v>
      </c>
      <c r="D77" s="154">
        <v>10</v>
      </c>
      <c r="E77" s="155">
        <f t="shared" si="3"/>
        <v>1000</v>
      </c>
    </row>
    <row r="78" ht="16.5" spans="1:5">
      <c r="A78" s="151">
        <v>77</v>
      </c>
      <c r="B78" s="152" t="s">
        <v>290</v>
      </c>
      <c r="C78" s="156" t="s">
        <v>16629</v>
      </c>
      <c r="D78" s="159">
        <v>10</v>
      </c>
      <c r="E78" s="155">
        <f t="shared" si="3"/>
        <v>1000</v>
      </c>
    </row>
    <row r="79" ht="16.5" spans="1:5">
      <c r="A79" s="151">
        <v>78</v>
      </c>
      <c r="B79" s="152" t="s">
        <v>293</v>
      </c>
      <c r="C79" s="156" t="s">
        <v>16629</v>
      </c>
      <c r="D79" s="154">
        <v>10</v>
      </c>
      <c r="E79" s="155">
        <f t="shared" si="3"/>
        <v>1000</v>
      </c>
    </row>
    <row r="80" ht="16.5" spans="1:5">
      <c r="A80" s="151">
        <v>79</v>
      </c>
      <c r="B80" s="152" t="s">
        <v>296</v>
      </c>
      <c r="C80" s="156" t="s">
        <v>16629</v>
      </c>
      <c r="D80" s="159">
        <v>10</v>
      </c>
      <c r="E80" s="155">
        <f t="shared" si="3"/>
        <v>1000</v>
      </c>
    </row>
    <row r="81" ht="16.5" spans="1:5">
      <c r="A81" s="151">
        <v>80</v>
      </c>
      <c r="B81" s="152" t="s">
        <v>300</v>
      </c>
      <c r="C81" s="153" t="s">
        <v>16629</v>
      </c>
      <c r="D81" s="158">
        <v>10</v>
      </c>
      <c r="E81" s="155">
        <f t="shared" si="3"/>
        <v>1000</v>
      </c>
    </row>
    <row r="82" ht="16.5" spans="1:5">
      <c r="A82" s="151">
        <v>81</v>
      </c>
      <c r="B82" s="152" t="s">
        <v>303</v>
      </c>
      <c r="C82" s="156" t="s">
        <v>16629</v>
      </c>
      <c r="D82" s="157">
        <v>10</v>
      </c>
      <c r="E82" s="155">
        <f t="shared" si="3"/>
        <v>1000</v>
      </c>
    </row>
    <row r="83" ht="16.5" spans="1:5">
      <c r="A83" s="151">
        <v>82</v>
      </c>
      <c r="B83" s="152" t="s">
        <v>306</v>
      </c>
      <c r="C83" s="153" t="s">
        <v>16629</v>
      </c>
      <c r="D83" s="158">
        <v>10</v>
      </c>
      <c r="E83" s="155">
        <f t="shared" si="3"/>
        <v>1000</v>
      </c>
    </row>
    <row r="84" ht="16.5" spans="1:5">
      <c r="A84" s="151">
        <v>83</v>
      </c>
      <c r="B84" s="152" t="s">
        <v>311</v>
      </c>
      <c r="C84" s="156" t="s">
        <v>16629</v>
      </c>
      <c r="D84" s="159">
        <v>10</v>
      </c>
      <c r="E84" s="155">
        <f t="shared" si="3"/>
        <v>1000</v>
      </c>
    </row>
    <row r="85" ht="16.5" spans="1:5">
      <c r="A85" s="151">
        <v>84</v>
      </c>
      <c r="B85" s="152" t="s">
        <v>314</v>
      </c>
      <c r="C85" s="153" t="s">
        <v>16629</v>
      </c>
      <c r="D85" s="158">
        <v>10</v>
      </c>
      <c r="E85" s="155">
        <f t="shared" si="3"/>
        <v>1000</v>
      </c>
    </row>
    <row r="86" ht="16.5" spans="1:5">
      <c r="A86" s="151">
        <v>85</v>
      </c>
      <c r="B86" s="152" t="s">
        <v>318</v>
      </c>
      <c r="C86" s="156" t="s">
        <v>16629</v>
      </c>
      <c r="D86" s="157">
        <v>10</v>
      </c>
      <c r="E86" s="155">
        <f t="shared" si="3"/>
        <v>1000</v>
      </c>
    </row>
    <row r="87" ht="16.5" spans="1:5">
      <c r="A87" s="151">
        <v>86</v>
      </c>
      <c r="B87" s="152" t="s">
        <v>321</v>
      </c>
      <c r="C87" s="162" t="s">
        <v>16631</v>
      </c>
      <c r="D87" s="163">
        <v>1000</v>
      </c>
      <c r="E87" s="163">
        <f>D87*100</f>
        <v>100000</v>
      </c>
    </row>
    <row r="88" ht="16.5" spans="1:5">
      <c r="A88" s="151">
        <v>87</v>
      </c>
      <c r="B88" s="152" t="s">
        <v>325</v>
      </c>
      <c r="C88" s="156" t="s">
        <v>16629</v>
      </c>
      <c r="D88" s="157">
        <v>10</v>
      </c>
      <c r="E88" s="155">
        <f>+D88*100</f>
        <v>1000</v>
      </c>
    </row>
    <row r="89" ht="16.5" spans="1:5">
      <c r="A89" s="151">
        <v>88</v>
      </c>
      <c r="B89" s="152" t="s">
        <v>328</v>
      </c>
      <c r="C89" s="160" t="s">
        <v>16630</v>
      </c>
      <c r="D89" s="41">
        <v>100</v>
      </c>
      <c r="E89" s="161">
        <f>SUM(D89*100)</f>
        <v>10000</v>
      </c>
    </row>
    <row r="90" ht="16.5" spans="1:5">
      <c r="A90" s="151">
        <v>89</v>
      </c>
      <c r="B90" s="152" t="s">
        <v>331</v>
      </c>
      <c r="C90" s="156" t="s">
        <v>16629</v>
      </c>
      <c r="D90" s="159">
        <v>10</v>
      </c>
      <c r="E90" s="155">
        <f t="shared" ref="E90:E98" si="4">+D90*100</f>
        <v>1000</v>
      </c>
    </row>
    <row r="91" ht="16.5" spans="1:5">
      <c r="A91" s="151">
        <v>90</v>
      </c>
      <c r="B91" s="152" t="s">
        <v>334</v>
      </c>
      <c r="C91" s="153" t="s">
        <v>16629</v>
      </c>
      <c r="D91" s="154">
        <v>10</v>
      </c>
      <c r="E91" s="155">
        <f t="shared" si="4"/>
        <v>1000</v>
      </c>
    </row>
    <row r="92" ht="16.5" spans="1:5">
      <c r="A92" s="151">
        <v>91</v>
      </c>
      <c r="B92" s="152" t="s">
        <v>338</v>
      </c>
      <c r="C92" s="156" t="s">
        <v>16629</v>
      </c>
      <c r="D92" s="159">
        <v>10</v>
      </c>
      <c r="E92" s="155">
        <f t="shared" si="4"/>
        <v>1000</v>
      </c>
    </row>
    <row r="93" ht="16.5" spans="1:5">
      <c r="A93" s="151">
        <v>92</v>
      </c>
      <c r="B93" s="152" t="s">
        <v>341</v>
      </c>
      <c r="C93" s="153" t="s">
        <v>16629</v>
      </c>
      <c r="D93" s="154">
        <v>10</v>
      </c>
      <c r="E93" s="155">
        <f t="shared" si="4"/>
        <v>1000</v>
      </c>
    </row>
    <row r="94" ht="16.5" spans="1:5">
      <c r="A94" s="151">
        <v>93</v>
      </c>
      <c r="B94" s="152" t="s">
        <v>344</v>
      </c>
      <c r="C94" s="156" t="s">
        <v>16629</v>
      </c>
      <c r="D94" s="159">
        <v>10</v>
      </c>
      <c r="E94" s="155">
        <f t="shared" si="4"/>
        <v>1000</v>
      </c>
    </row>
    <row r="95" ht="16.5" spans="1:5">
      <c r="A95" s="151">
        <v>94</v>
      </c>
      <c r="B95" s="152" t="s">
        <v>348</v>
      </c>
      <c r="C95" s="153" t="s">
        <v>16629</v>
      </c>
      <c r="D95" s="158">
        <v>10</v>
      </c>
      <c r="E95" s="155">
        <f t="shared" si="4"/>
        <v>1000</v>
      </c>
    </row>
    <row r="96" ht="16.5" spans="1:5">
      <c r="A96" s="151">
        <v>95</v>
      </c>
      <c r="B96" s="152" t="s">
        <v>352</v>
      </c>
      <c r="C96" s="153" t="s">
        <v>16629</v>
      </c>
      <c r="D96" s="158">
        <v>10</v>
      </c>
      <c r="E96" s="155">
        <f t="shared" si="4"/>
        <v>1000</v>
      </c>
    </row>
    <row r="97" ht="16.5" spans="1:5">
      <c r="A97" s="151">
        <v>96</v>
      </c>
      <c r="B97" s="152" t="s">
        <v>356</v>
      </c>
      <c r="C97" s="156" t="s">
        <v>16629</v>
      </c>
      <c r="D97" s="158">
        <v>10</v>
      </c>
      <c r="E97" s="155">
        <f t="shared" si="4"/>
        <v>1000</v>
      </c>
    </row>
    <row r="98" ht="16.5" spans="1:5">
      <c r="A98" s="151">
        <v>97</v>
      </c>
      <c r="B98" s="152" t="s">
        <v>360</v>
      </c>
      <c r="C98" s="153" t="s">
        <v>16629</v>
      </c>
      <c r="D98" s="154">
        <v>10</v>
      </c>
      <c r="E98" s="155">
        <f t="shared" si="4"/>
        <v>1000</v>
      </c>
    </row>
    <row r="99" ht="16.5" spans="1:5">
      <c r="A99" s="151">
        <v>98</v>
      </c>
      <c r="B99" s="152" t="s">
        <v>363</v>
      </c>
      <c r="C99" s="160" t="s">
        <v>16630</v>
      </c>
      <c r="D99" s="164">
        <v>200</v>
      </c>
      <c r="E99" s="161">
        <f>SUM(D99*100)</f>
        <v>20000</v>
      </c>
    </row>
    <row r="100" ht="16.5" spans="1:5">
      <c r="A100" s="151">
        <v>99</v>
      </c>
      <c r="B100" s="152" t="s">
        <v>366</v>
      </c>
      <c r="C100" s="153" t="s">
        <v>16629</v>
      </c>
      <c r="D100" s="154">
        <v>10</v>
      </c>
      <c r="E100" s="155">
        <f t="shared" ref="E100:E106" si="5">+D100*100</f>
        <v>1000</v>
      </c>
    </row>
    <row r="101" ht="16.5" spans="1:5">
      <c r="A101" s="151">
        <v>100</v>
      </c>
      <c r="B101" s="152" t="s">
        <v>370</v>
      </c>
      <c r="C101" s="153" t="s">
        <v>16629</v>
      </c>
      <c r="D101" s="154">
        <v>10</v>
      </c>
      <c r="E101" s="155">
        <f t="shared" si="5"/>
        <v>1000</v>
      </c>
    </row>
    <row r="102" ht="16.5" spans="1:5">
      <c r="A102" s="151">
        <v>101</v>
      </c>
      <c r="B102" s="152" t="s">
        <v>373</v>
      </c>
      <c r="C102" s="156" t="s">
        <v>16629</v>
      </c>
      <c r="D102" s="154">
        <v>10</v>
      </c>
      <c r="E102" s="155">
        <f t="shared" si="5"/>
        <v>1000</v>
      </c>
    </row>
    <row r="103" ht="16.5" spans="1:5">
      <c r="A103" s="151">
        <v>102</v>
      </c>
      <c r="B103" s="152" t="s">
        <v>376</v>
      </c>
      <c r="C103" s="153" t="s">
        <v>16629</v>
      </c>
      <c r="D103" s="154">
        <v>10</v>
      </c>
      <c r="E103" s="155">
        <f t="shared" si="5"/>
        <v>1000</v>
      </c>
    </row>
    <row r="104" ht="16.5" spans="1:5">
      <c r="A104" s="151">
        <v>103</v>
      </c>
      <c r="B104" s="152" t="s">
        <v>380</v>
      </c>
      <c r="C104" s="153" t="s">
        <v>16629</v>
      </c>
      <c r="D104" s="154">
        <v>10</v>
      </c>
      <c r="E104" s="155">
        <f t="shared" si="5"/>
        <v>1000</v>
      </c>
    </row>
    <row r="105" ht="16.5" spans="1:5">
      <c r="A105" s="151">
        <v>104</v>
      </c>
      <c r="B105" s="152" t="s">
        <v>383</v>
      </c>
      <c r="C105" s="153" t="s">
        <v>16629</v>
      </c>
      <c r="D105" s="154">
        <v>10</v>
      </c>
      <c r="E105" s="155">
        <f t="shared" si="5"/>
        <v>1000</v>
      </c>
    </row>
    <row r="106" ht="16.5" spans="1:5">
      <c r="A106" s="151">
        <v>105</v>
      </c>
      <c r="B106" s="152" t="s">
        <v>387</v>
      </c>
      <c r="C106" s="156" t="s">
        <v>16629</v>
      </c>
      <c r="D106" s="154">
        <v>10</v>
      </c>
      <c r="E106" s="155">
        <f t="shared" si="5"/>
        <v>1000</v>
      </c>
    </row>
    <row r="107" ht="16.5" spans="1:5">
      <c r="A107" s="151">
        <v>106</v>
      </c>
      <c r="B107" s="152" t="s">
        <v>391</v>
      </c>
      <c r="C107" s="160" t="s">
        <v>16630</v>
      </c>
      <c r="D107" s="165">
        <v>400</v>
      </c>
      <c r="E107" s="161">
        <f>SUM(D107*100)</f>
        <v>40000</v>
      </c>
    </row>
    <row r="108" ht="16.5" spans="1:5">
      <c r="A108" s="151">
        <v>107</v>
      </c>
      <c r="B108" s="152" t="s">
        <v>394</v>
      </c>
      <c r="C108" s="153" t="s">
        <v>16629</v>
      </c>
      <c r="D108" s="154">
        <v>10</v>
      </c>
      <c r="E108" s="155">
        <f>+D108*100</f>
        <v>1000</v>
      </c>
    </row>
    <row r="109" ht="16.5" spans="1:5">
      <c r="A109" s="151">
        <v>108</v>
      </c>
      <c r="B109" s="152" t="s">
        <v>397</v>
      </c>
      <c r="C109" s="162" t="s">
        <v>16631</v>
      </c>
      <c r="D109" s="163">
        <v>1000</v>
      </c>
      <c r="E109" s="163">
        <f>D109*100</f>
        <v>100000</v>
      </c>
    </row>
    <row r="110" ht="16.5" spans="1:5">
      <c r="A110" s="151">
        <v>109</v>
      </c>
      <c r="B110" s="152" t="s">
        <v>402</v>
      </c>
      <c r="C110" s="153" t="s">
        <v>16629</v>
      </c>
      <c r="D110" s="158">
        <v>10</v>
      </c>
      <c r="E110" s="155">
        <f>+D110*100</f>
        <v>1000</v>
      </c>
    </row>
    <row r="111" ht="16.5" spans="1:5">
      <c r="A111" s="151">
        <v>110</v>
      </c>
      <c r="B111" s="152" t="s">
        <v>406</v>
      </c>
      <c r="C111" s="166" t="s">
        <v>16632</v>
      </c>
      <c r="D111" s="151">
        <f>IFERROR(__xludf.DUMMYFUNCTION("""COMPUTED_VALUE"""),10000)</f>
        <v>10000</v>
      </c>
      <c r="E111" s="167">
        <f>IFERROR(__xludf.DUMMYFUNCTION("""COMPUTED_VALUE"""),1500000)</f>
        <v>1500000</v>
      </c>
    </row>
    <row r="112" ht="16.5" spans="1:5">
      <c r="A112" s="151">
        <v>111</v>
      </c>
      <c r="B112" s="152" t="s">
        <v>411</v>
      </c>
      <c r="C112" s="153" t="s">
        <v>16629</v>
      </c>
      <c r="D112" s="154">
        <v>10</v>
      </c>
      <c r="E112" s="155">
        <f>+D112*100</f>
        <v>1000</v>
      </c>
    </row>
    <row r="113" ht="16.5" spans="1:5">
      <c r="A113" s="151">
        <v>112</v>
      </c>
      <c r="B113" s="152" t="s">
        <v>415</v>
      </c>
      <c r="C113" s="166" t="s">
        <v>16632</v>
      </c>
      <c r="D113" s="166">
        <f>IFERROR(__xludf.DUMMYFUNCTION("""COMPUTED_VALUE"""),10000)</f>
        <v>10000</v>
      </c>
      <c r="E113" s="168">
        <f>IFERROR(__xludf.DUMMYFUNCTION("""COMPUTED_VALUE"""),1500000)</f>
        <v>1500000</v>
      </c>
    </row>
    <row r="114" ht="16.5" spans="1:5">
      <c r="A114" s="151">
        <v>113</v>
      </c>
      <c r="B114" s="152" t="s">
        <v>416</v>
      </c>
      <c r="C114" s="160" t="s">
        <v>16630</v>
      </c>
      <c r="D114" s="160">
        <v>500</v>
      </c>
      <c r="E114" s="161">
        <f>SUM(D114*100)</f>
        <v>50000</v>
      </c>
    </row>
    <row r="115" ht="16.5" spans="1:5">
      <c r="A115" s="151">
        <v>114</v>
      </c>
      <c r="B115" s="152" t="s">
        <v>420</v>
      </c>
      <c r="C115" s="156" t="s">
        <v>16629</v>
      </c>
      <c r="D115" s="159">
        <v>10</v>
      </c>
      <c r="E115" s="155">
        <f>+D115*100</f>
        <v>1000</v>
      </c>
    </row>
    <row r="116" ht="16.5" spans="1:5">
      <c r="A116" s="151">
        <v>115</v>
      </c>
      <c r="B116" s="152" t="s">
        <v>423</v>
      </c>
      <c r="C116" s="153" t="s">
        <v>16629</v>
      </c>
      <c r="D116" s="158">
        <v>10</v>
      </c>
      <c r="E116" s="155">
        <f>+D116*100</f>
        <v>1000</v>
      </c>
    </row>
    <row r="117" ht="16.5" spans="1:5">
      <c r="A117" s="151">
        <v>116</v>
      </c>
      <c r="B117" s="152" t="s">
        <v>427</v>
      </c>
      <c r="C117" s="153" t="s">
        <v>16629</v>
      </c>
      <c r="D117" s="154">
        <v>10</v>
      </c>
      <c r="E117" s="155">
        <f>+D117*100</f>
        <v>1000</v>
      </c>
    </row>
    <row r="118" ht="16.5" spans="1:5">
      <c r="A118" s="151">
        <v>117</v>
      </c>
      <c r="B118" s="152" t="s">
        <v>430</v>
      </c>
      <c r="C118" s="160" t="s">
        <v>16630</v>
      </c>
      <c r="D118" s="160">
        <v>100</v>
      </c>
      <c r="E118" s="161">
        <f>SUM(D118*100)</f>
        <v>10000</v>
      </c>
    </row>
    <row r="119" ht="16.5" spans="1:5">
      <c r="A119" s="151">
        <v>118</v>
      </c>
      <c r="B119" s="152" t="s">
        <v>433</v>
      </c>
      <c r="C119" s="156" t="s">
        <v>16629</v>
      </c>
      <c r="D119" s="157">
        <v>10</v>
      </c>
      <c r="E119" s="155">
        <f>+D119*100</f>
        <v>1000</v>
      </c>
    </row>
    <row r="120" ht="16.5" spans="1:5">
      <c r="A120" s="151">
        <v>119</v>
      </c>
      <c r="B120" s="152" t="s">
        <v>437</v>
      </c>
      <c r="C120" s="162" t="s">
        <v>16631</v>
      </c>
      <c r="D120" s="163">
        <v>1000</v>
      </c>
      <c r="E120" s="163">
        <f>D120*100</f>
        <v>100000</v>
      </c>
    </row>
    <row r="121" ht="16.5" spans="1:5">
      <c r="A121" s="151">
        <v>120</v>
      </c>
      <c r="B121" s="152" t="s">
        <v>442</v>
      </c>
      <c r="C121" s="160" t="s">
        <v>16630</v>
      </c>
      <c r="D121" s="160">
        <v>100</v>
      </c>
      <c r="E121" s="161">
        <f>SUM(D121*100)</f>
        <v>10000</v>
      </c>
    </row>
    <row r="122" ht="16.5" spans="1:5">
      <c r="A122" s="151">
        <v>121</v>
      </c>
      <c r="B122" s="152" t="s">
        <v>442</v>
      </c>
      <c r="C122" s="162" t="s">
        <v>16631</v>
      </c>
      <c r="D122" s="169">
        <v>1000</v>
      </c>
      <c r="E122" s="170">
        <f>D122*100</f>
        <v>100000</v>
      </c>
    </row>
    <row r="123" ht="16.5" spans="1:5">
      <c r="A123" s="151">
        <v>122</v>
      </c>
      <c r="B123" s="152" t="s">
        <v>442</v>
      </c>
      <c r="C123" s="162" t="s">
        <v>16633</v>
      </c>
      <c r="D123" s="171">
        <f>G123/100</f>
        <v>0</v>
      </c>
      <c r="E123" s="171">
        <f>G123</f>
        <v>0</v>
      </c>
    </row>
    <row r="124" ht="16.5" spans="1:5">
      <c r="A124" s="151">
        <v>123</v>
      </c>
      <c r="B124" s="152" t="s">
        <v>447</v>
      </c>
      <c r="C124" s="162" t="s">
        <v>16631</v>
      </c>
      <c r="D124" s="163">
        <v>1000</v>
      </c>
      <c r="E124" s="163">
        <f>D124*100</f>
        <v>100000</v>
      </c>
    </row>
    <row r="125" ht="16.5" spans="1:5">
      <c r="A125" s="151">
        <v>124</v>
      </c>
      <c r="B125" s="152" t="s">
        <v>452</v>
      </c>
      <c r="C125" s="156" t="s">
        <v>16629</v>
      </c>
      <c r="D125" s="159">
        <v>10</v>
      </c>
      <c r="E125" s="155">
        <f>+D125*100</f>
        <v>1000</v>
      </c>
    </row>
    <row r="126" ht="16.5" spans="1:5">
      <c r="A126" s="151">
        <v>125</v>
      </c>
      <c r="B126" s="152" t="s">
        <v>455</v>
      </c>
      <c r="C126" s="160" t="s">
        <v>16630</v>
      </c>
      <c r="D126" s="160">
        <v>500</v>
      </c>
      <c r="E126" s="161">
        <f>SUM(D126*100)</f>
        <v>50000</v>
      </c>
    </row>
    <row r="127" ht="16.5" spans="1:5">
      <c r="A127" s="151">
        <v>126</v>
      </c>
      <c r="B127" s="152" t="s">
        <v>458</v>
      </c>
      <c r="C127" s="162" t="s">
        <v>16631</v>
      </c>
      <c r="D127" s="163">
        <v>1000</v>
      </c>
      <c r="E127" s="163">
        <f>D127*100</f>
        <v>100000</v>
      </c>
    </row>
    <row r="128" ht="16.5" spans="1:5">
      <c r="A128" s="151">
        <v>127</v>
      </c>
      <c r="B128" s="152" t="s">
        <v>462</v>
      </c>
      <c r="C128" s="153" t="s">
        <v>16629</v>
      </c>
      <c r="D128" s="154">
        <v>10</v>
      </c>
      <c r="E128" s="155">
        <f t="shared" ref="E128:E134" si="6">+D128*100</f>
        <v>1000</v>
      </c>
    </row>
    <row r="129" ht="16.5" spans="1:5">
      <c r="A129" s="151">
        <v>128</v>
      </c>
      <c r="B129" s="152" t="s">
        <v>465</v>
      </c>
      <c r="C129" s="153" t="s">
        <v>16629</v>
      </c>
      <c r="D129" s="158">
        <v>10</v>
      </c>
      <c r="E129" s="155">
        <f t="shared" si="6"/>
        <v>1000</v>
      </c>
    </row>
    <row r="130" ht="16.5" spans="1:5">
      <c r="A130" s="151">
        <v>129</v>
      </c>
      <c r="B130" s="152" t="s">
        <v>469</v>
      </c>
      <c r="C130" s="156" t="s">
        <v>16629</v>
      </c>
      <c r="D130" s="157">
        <v>10</v>
      </c>
      <c r="E130" s="155">
        <f t="shared" si="6"/>
        <v>1000</v>
      </c>
    </row>
    <row r="131" ht="16.5" spans="1:5">
      <c r="A131" s="151">
        <v>130</v>
      </c>
      <c r="B131" s="152" t="s">
        <v>472</v>
      </c>
      <c r="C131" s="153" t="s">
        <v>16629</v>
      </c>
      <c r="D131" s="154">
        <v>10</v>
      </c>
      <c r="E131" s="155">
        <f t="shared" si="6"/>
        <v>1000</v>
      </c>
    </row>
    <row r="132" ht="16.5" spans="1:5">
      <c r="A132" s="151">
        <v>131</v>
      </c>
      <c r="B132" s="152" t="s">
        <v>476</v>
      </c>
      <c r="C132" s="153" t="s">
        <v>16629</v>
      </c>
      <c r="D132" s="154">
        <v>10</v>
      </c>
      <c r="E132" s="155">
        <f t="shared" si="6"/>
        <v>1000</v>
      </c>
    </row>
    <row r="133" ht="16.5" spans="1:5">
      <c r="A133" s="151">
        <v>132</v>
      </c>
      <c r="B133" s="152" t="s">
        <v>480</v>
      </c>
      <c r="C133" s="156" t="s">
        <v>16629</v>
      </c>
      <c r="D133" s="159">
        <v>20</v>
      </c>
      <c r="E133" s="155">
        <f t="shared" si="6"/>
        <v>2000</v>
      </c>
    </row>
    <row r="134" ht="16.5" spans="1:5">
      <c r="A134" s="151">
        <v>133</v>
      </c>
      <c r="B134" s="152" t="s">
        <v>484</v>
      </c>
      <c r="C134" s="156" t="s">
        <v>16629</v>
      </c>
      <c r="D134" s="157">
        <v>10</v>
      </c>
      <c r="E134" s="155">
        <f t="shared" si="6"/>
        <v>1000</v>
      </c>
    </row>
    <row r="135" ht="16.5" spans="1:5">
      <c r="A135" s="151">
        <v>134</v>
      </c>
      <c r="B135" s="152" t="s">
        <v>487</v>
      </c>
      <c r="C135" s="160" t="s">
        <v>16630</v>
      </c>
      <c r="D135" s="160">
        <v>100</v>
      </c>
      <c r="E135" s="161">
        <f>SUM(D135*100)</f>
        <v>10000</v>
      </c>
    </row>
    <row r="136" ht="16.5" spans="1:5">
      <c r="A136" s="151">
        <v>135</v>
      </c>
      <c r="B136" s="152" t="s">
        <v>491</v>
      </c>
      <c r="C136" s="160" t="s">
        <v>16630</v>
      </c>
      <c r="D136" s="164">
        <v>1000</v>
      </c>
      <c r="E136" s="161">
        <f>SUM(D136*100)</f>
        <v>100000</v>
      </c>
    </row>
    <row r="137" ht="16.5" spans="1:5">
      <c r="A137" s="151">
        <v>136</v>
      </c>
      <c r="B137" s="152" t="s">
        <v>494</v>
      </c>
      <c r="C137" s="156" t="s">
        <v>16629</v>
      </c>
      <c r="D137" s="154">
        <v>10</v>
      </c>
      <c r="E137" s="155">
        <f>+D137*100</f>
        <v>1000</v>
      </c>
    </row>
    <row r="138" ht="16.5" spans="1:5">
      <c r="A138" s="151">
        <v>137</v>
      </c>
      <c r="B138" s="152" t="s">
        <v>498</v>
      </c>
      <c r="C138" s="160" t="s">
        <v>16630</v>
      </c>
      <c r="D138" s="160">
        <v>50</v>
      </c>
      <c r="E138" s="161">
        <f>SUM(D138*100)</f>
        <v>5000</v>
      </c>
    </row>
    <row r="139" ht="16.5" spans="1:5">
      <c r="A139" s="151">
        <v>138</v>
      </c>
      <c r="B139" s="152" t="s">
        <v>504</v>
      </c>
      <c r="C139" s="160" t="s">
        <v>16630</v>
      </c>
      <c r="D139" s="160">
        <v>30</v>
      </c>
      <c r="E139" s="161">
        <f>SUM(D139*100)</f>
        <v>3000</v>
      </c>
    </row>
    <row r="140" ht="16.5" spans="1:5">
      <c r="A140" s="151">
        <v>139</v>
      </c>
      <c r="B140" s="152" t="s">
        <v>508</v>
      </c>
      <c r="C140" s="160" t="s">
        <v>16630</v>
      </c>
      <c r="D140" s="160">
        <v>20</v>
      </c>
      <c r="E140" s="161">
        <f>SUM(D140*100)</f>
        <v>2000</v>
      </c>
    </row>
    <row r="141" ht="16.5" spans="1:5">
      <c r="A141" s="151">
        <v>140</v>
      </c>
      <c r="B141" s="152" t="s">
        <v>512</v>
      </c>
      <c r="C141" s="153" t="s">
        <v>16629</v>
      </c>
      <c r="D141" s="158">
        <v>10</v>
      </c>
      <c r="E141" s="155">
        <f>+D141*100</f>
        <v>1000</v>
      </c>
    </row>
    <row r="142" ht="16.5" spans="1:5">
      <c r="A142" s="151">
        <v>141</v>
      </c>
      <c r="B142" s="152" t="s">
        <v>515</v>
      </c>
      <c r="C142" s="156" t="s">
        <v>16629</v>
      </c>
      <c r="D142" s="157">
        <v>20</v>
      </c>
      <c r="E142" s="155">
        <f>+D142*100</f>
        <v>2000</v>
      </c>
    </row>
    <row r="143" ht="16.5" spans="1:5">
      <c r="A143" s="151">
        <v>142</v>
      </c>
      <c r="B143" s="152" t="s">
        <v>518</v>
      </c>
      <c r="C143" s="153" t="s">
        <v>16629</v>
      </c>
      <c r="D143" s="154">
        <v>10</v>
      </c>
      <c r="E143" s="155">
        <f>+D143*100</f>
        <v>1000</v>
      </c>
    </row>
    <row r="144" ht="16.5" spans="1:5">
      <c r="A144" s="151">
        <v>143</v>
      </c>
      <c r="B144" s="152" t="s">
        <v>522</v>
      </c>
      <c r="C144" s="160" t="s">
        <v>16630</v>
      </c>
      <c r="D144" s="160">
        <v>40</v>
      </c>
      <c r="E144" s="161">
        <f>SUM(D144*100)</f>
        <v>4000</v>
      </c>
    </row>
    <row r="145" ht="16.5" spans="1:5">
      <c r="A145" s="151">
        <v>144</v>
      </c>
      <c r="B145" s="152" t="s">
        <v>526</v>
      </c>
      <c r="C145" s="160" t="s">
        <v>16630</v>
      </c>
      <c r="D145" s="160">
        <v>40</v>
      </c>
      <c r="E145" s="161">
        <f>SUM(D145*100)</f>
        <v>4000</v>
      </c>
    </row>
    <row r="146" ht="16.5" spans="1:5">
      <c r="A146" s="151">
        <v>145</v>
      </c>
      <c r="B146" s="152" t="s">
        <v>530</v>
      </c>
      <c r="C146" s="153" t="s">
        <v>16629</v>
      </c>
      <c r="D146" s="154">
        <v>10</v>
      </c>
      <c r="E146" s="155">
        <f>+D146*100</f>
        <v>1000</v>
      </c>
    </row>
    <row r="147" ht="16.5" spans="1:5">
      <c r="A147" s="151">
        <v>146</v>
      </c>
      <c r="B147" s="152" t="s">
        <v>533</v>
      </c>
      <c r="C147" s="166" t="s">
        <v>16632</v>
      </c>
      <c r="D147" s="166">
        <f>IFERROR(__xludf.DUMMYFUNCTION("""COMPUTED_VALUE"""),10000)</f>
        <v>10000</v>
      </c>
      <c r="E147" s="168">
        <f>IFERROR(__xludf.DUMMYFUNCTION("""COMPUTED_VALUE"""),1500000)</f>
        <v>1500000</v>
      </c>
    </row>
    <row r="148" ht="16.5" spans="1:5">
      <c r="A148" s="151">
        <v>147</v>
      </c>
      <c r="B148" s="152" t="s">
        <v>534</v>
      </c>
      <c r="C148" s="153" t="s">
        <v>16629</v>
      </c>
      <c r="D148" s="154">
        <v>10</v>
      </c>
      <c r="E148" s="155">
        <f>+D148*100</f>
        <v>1000</v>
      </c>
    </row>
    <row r="149" ht="16.5" spans="1:5">
      <c r="A149" s="151">
        <v>148</v>
      </c>
      <c r="B149" s="152" t="s">
        <v>538</v>
      </c>
      <c r="C149" s="160" t="s">
        <v>16630</v>
      </c>
      <c r="D149" s="165">
        <v>30</v>
      </c>
      <c r="E149" s="161">
        <f>SUM(D149*100)</f>
        <v>3000</v>
      </c>
    </row>
    <row r="150" ht="16.5" spans="1:5">
      <c r="A150" s="151">
        <v>149</v>
      </c>
      <c r="B150" s="152" t="s">
        <v>541</v>
      </c>
      <c r="C150" s="166" t="s">
        <v>16632</v>
      </c>
      <c r="D150" s="166">
        <f>IFERROR(__xludf.DUMMYFUNCTION("""COMPUTED_VALUE"""),10000)</f>
        <v>10000</v>
      </c>
      <c r="E150" s="168">
        <f>IFERROR(__xludf.DUMMYFUNCTION("""COMPUTED_VALUE"""),1500000)</f>
        <v>1500000</v>
      </c>
    </row>
    <row r="151" ht="16.5" spans="1:5">
      <c r="A151" s="151">
        <v>150</v>
      </c>
      <c r="B151" s="152" t="s">
        <v>542</v>
      </c>
      <c r="C151" s="162" t="s">
        <v>16631</v>
      </c>
      <c r="D151" s="163">
        <v>1000</v>
      </c>
      <c r="E151" s="163">
        <f>D151*100</f>
        <v>100000</v>
      </c>
    </row>
    <row r="152" ht="16.5" spans="1:5">
      <c r="A152" s="151">
        <v>151</v>
      </c>
      <c r="B152" s="152" t="s">
        <v>546</v>
      </c>
      <c r="C152" s="156" t="s">
        <v>16629</v>
      </c>
      <c r="D152" s="159">
        <v>10</v>
      </c>
      <c r="E152" s="155">
        <f t="shared" ref="E152:E158" si="7">+D152*100</f>
        <v>1000</v>
      </c>
    </row>
    <row r="153" ht="16.5" spans="1:5">
      <c r="A153" s="151">
        <v>152</v>
      </c>
      <c r="B153" s="152" t="s">
        <v>549</v>
      </c>
      <c r="C153" s="156" t="s">
        <v>16629</v>
      </c>
      <c r="D153" s="154">
        <v>20</v>
      </c>
      <c r="E153" s="155">
        <f t="shared" si="7"/>
        <v>2000</v>
      </c>
    </row>
    <row r="154" ht="16.5" spans="1:5">
      <c r="A154" s="151">
        <v>153</v>
      </c>
      <c r="B154" s="152" t="s">
        <v>553</v>
      </c>
      <c r="C154" s="153" t="s">
        <v>16629</v>
      </c>
      <c r="D154" s="154">
        <v>10</v>
      </c>
      <c r="E154" s="155">
        <f t="shared" si="7"/>
        <v>1000</v>
      </c>
    </row>
    <row r="155" ht="16.5" spans="1:5">
      <c r="A155" s="151">
        <v>154</v>
      </c>
      <c r="B155" s="152" t="s">
        <v>557</v>
      </c>
      <c r="C155" s="153" t="s">
        <v>16629</v>
      </c>
      <c r="D155" s="158">
        <v>10</v>
      </c>
      <c r="E155" s="155">
        <f t="shared" si="7"/>
        <v>1000</v>
      </c>
    </row>
    <row r="156" ht="16.5" spans="1:5">
      <c r="A156" s="151">
        <v>155</v>
      </c>
      <c r="B156" s="152" t="s">
        <v>562</v>
      </c>
      <c r="C156" s="153" t="s">
        <v>16629</v>
      </c>
      <c r="D156" s="158">
        <v>10</v>
      </c>
      <c r="E156" s="155">
        <f t="shared" si="7"/>
        <v>1000</v>
      </c>
    </row>
    <row r="157" ht="16.5" spans="1:5">
      <c r="A157" s="151">
        <v>156</v>
      </c>
      <c r="B157" s="152" t="s">
        <v>566</v>
      </c>
      <c r="C157" s="156" t="s">
        <v>16629</v>
      </c>
      <c r="D157" s="157">
        <v>10</v>
      </c>
      <c r="E157" s="155">
        <f t="shared" si="7"/>
        <v>1000</v>
      </c>
    </row>
    <row r="158" ht="16.5" spans="1:5">
      <c r="A158" s="151">
        <v>157</v>
      </c>
      <c r="B158" s="152" t="s">
        <v>569</v>
      </c>
      <c r="C158" s="156" t="s">
        <v>16629</v>
      </c>
      <c r="D158" s="159">
        <v>10</v>
      </c>
      <c r="E158" s="155">
        <f t="shared" si="7"/>
        <v>1000</v>
      </c>
    </row>
    <row r="159" ht="16.5" spans="1:5">
      <c r="A159" s="151">
        <v>158</v>
      </c>
      <c r="B159" s="152" t="s">
        <v>573</v>
      </c>
      <c r="C159" s="166" t="s">
        <v>16632</v>
      </c>
      <c r="D159" s="166">
        <f>IFERROR(__xludf.DUMMYFUNCTION("""COMPUTED_VALUE"""),10000)</f>
        <v>10000</v>
      </c>
      <c r="E159" s="168">
        <f>IFERROR(__xludf.DUMMYFUNCTION("""COMPUTED_VALUE"""),1500000)</f>
        <v>1500000</v>
      </c>
    </row>
    <row r="160" ht="16.5" spans="1:5">
      <c r="A160" s="151">
        <v>159</v>
      </c>
      <c r="B160" s="152" t="s">
        <v>574</v>
      </c>
      <c r="C160" s="156" t="s">
        <v>16629</v>
      </c>
      <c r="D160" s="157">
        <v>10</v>
      </c>
      <c r="E160" s="155">
        <f>+D160*100</f>
        <v>1000</v>
      </c>
    </row>
    <row r="161" ht="16.5" spans="1:5">
      <c r="A161" s="151">
        <v>160</v>
      </c>
      <c r="B161" s="152" t="s">
        <v>578</v>
      </c>
      <c r="C161" s="160" t="s">
        <v>16630</v>
      </c>
      <c r="D161" s="160">
        <v>1000</v>
      </c>
      <c r="E161" s="161">
        <f>SUM(D161*100)</f>
        <v>100000</v>
      </c>
    </row>
    <row r="162" ht="16.5" spans="1:5">
      <c r="A162" s="151">
        <v>161</v>
      </c>
      <c r="B162" s="152" t="s">
        <v>581</v>
      </c>
      <c r="C162" s="160" t="s">
        <v>16630</v>
      </c>
      <c r="D162" s="41">
        <v>400</v>
      </c>
      <c r="E162" s="161">
        <f>SUM(D162*100)</f>
        <v>40000</v>
      </c>
    </row>
    <row r="163" ht="16.5" spans="1:5">
      <c r="A163" s="151">
        <v>162</v>
      </c>
      <c r="B163" s="152" t="s">
        <v>584</v>
      </c>
      <c r="C163" s="156" t="s">
        <v>16629</v>
      </c>
      <c r="D163" s="159">
        <v>10</v>
      </c>
      <c r="E163" s="155">
        <f>+D163*100</f>
        <v>1000</v>
      </c>
    </row>
    <row r="164" ht="16.5" spans="1:5">
      <c r="A164" s="151">
        <v>163</v>
      </c>
      <c r="B164" s="152" t="s">
        <v>588</v>
      </c>
      <c r="C164" s="162" t="s">
        <v>16631</v>
      </c>
      <c r="D164" s="163">
        <v>1000</v>
      </c>
      <c r="E164" s="163">
        <f>D164*100</f>
        <v>100000</v>
      </c>
    </row>
    <row r="165" ht="16.5" spans="1:5">
      <c r="A165" s="151">
        <v>164</v>
      </c>
      <c r="B165" s="152" t="s">
        <v>588</v>
      </c>
      <c r="C165" s="162" t="s">
        <v>16633</v>
      </c>
      <c r="D165" s="171">
        <f>G165/100</f>
        <v>0</v>
      </c>
      <c r="E165" s="171">
        <f>G165</f>
        <v>0</v>
      </c>
    </row>
    <row r="166" ht="16.5" spans="1:5">
      <c r="A166" s="151">
        <v>165</v>
      </c>
      <c r="B166" s="152" t="s">
        <v>593</v>
      </c>
      <c r="C166" s="166" t="s">
        <v>16632</v>
      </c>
      <c r="D166" s="151">
        <f>IFERROR(__xludf.DUMMYFUNCTION("""COMPUTED_VALUE"""),10000)</f>
        <v>10000</v>
      </c>
      <c r="E166" s="167">
        <f>IFERROR(__xludf.DUMMYFUNCTION("""COMPUTED_VALUE"""),1500000)</f>
        <v>1500000</v>
      </c>
    </row>
    <row r="167" ht="16.5" spans="1:5">
      <c r="A167" s="151">
        <v>166</v>
      </c>
      <c r="B167" s="152" t="s">
        <v>593</v>
      </c>
      <c r="C167" s="160" t="s">
        <v>16630</v>
      </c>
      <c r="D167" s="160">
        <v>1000</v>
      </c>
      <c r="E167" s="161">
        <f>SUM(D167*100)</f>
        <v>100000</v>
      </c>
    </row>
    <row r="168" ht="16.5" spans="1:5">
      <c r="A168" s="151">
        <v>167</v>
      </c>
      <c r="B168" s="152" t="s">
        <v>593</v>
      </c>
      <c r="C168" s="162" t="s">
        <v>16631</v>
      </c>
      <c r="D168" s="163">
        <v>1000</v>
      </c>
      <c r="E168" s="163">
        <f>D168*100</f>
        <v>100000</v>
      </c>
    </row>
    <row r="169" ht="16.5" spans="1:5">
      <c r="A169" s="151">
        <v>168</v>
      </c>
      <c r="B169" s="152" t="s">
        <v>594</v>
      </c>
      <c r="C169" s="156" t="s">
        <v>16629</v>
      </c>
      <c r="D169" s="159">
        <v>100</v>
      </c>
      <c r="E169" s="155">
        <f>+D169*100</f>
        <v>10000</v>
      </c>
    </row>
    <row r="170" ht="16.5" spans="1:5">
      <c r="A170" s="151">
        <v>169</v>
      </c>
      <c r="B170" s="152" t="s">
        <v>598</v>
      </c>
      <c r="C170" s="153" t="s">
        <v>16629</v>
      </c>
      <c r="D170" s="154">
        <v>500</v>
      </c>
      <c r="E170" s="155">
        <f>+D170*100</f>
        <v>50000</v>
      </c>
    </row>
    <row r="171" ht="16.5" spans="1:5">
      <c r="A171" s="151">
        <v>170</v>
      </c>
      <c r="B171" s="152" t="s">
        <v>601</v>
      </c>
      <c r="C171" s="160" t="s">
        <v>16630</v>
      </c>
      <c r="D171" s="160">
        <v>2000</v>
      </c>
      <c r="E171" s="161">
        <f>SUM(D171*100)</f>
        <v>200000</v>
      </c>
    </row>
    <row r="172" ht="16.5" spans="1:5">
      <c r="A172" s="151">
        <v>171</v>
      </c>
      <c r="B172" s="152" t="s">
        <v>607</v>
      </c>
      <c r="C172" s="160" t="s">
        <v>16630</v>
      </c>
      <c r="D172" s="41">
        <v>750</v>
      </c>
      <c r="E172" s="161">
        <f>SUM(D172*100)</f>
        <v>75000</v>
      </c>
    </row>
    <row r="173" ht="16.5" spans="1:5">
      <c r="A173" s="151">
        <v>172</v>
      </c>
      <c r="B173" s="152" t="s">
        <v>610</v>
      </c>
      <c r="C173" s="153" t="s">
        <v>16629</v>
      </c>
      <c r="D173" s="154">
        <v>10</v>
      </c>
      <c r="E173" s="155">
        <f>+D173*100</f>
        <v>1000</v>
      </c>
    </row>
    <row r="174" ht="16.5" spans="1:5">
      <c r="A174" s="151">
        <v>173</v>
      </c>
      <c r="B174" s="152" t="s">
        <v>614</v>
      </c>
      <c r="C174" s="156" t="s">
        <v>16629</v>
      </c>
      <c r="D174" s="159">
        <v>10</v>
      </c>
      <c r="E174" s="155">
        <f>+D174*100</f>
        <v>1000</v>
      </c>
    </row>
    <row r="175" ht="16.5" spans="1:5">
      <c r="A175" s="151">
        <v>174</v>
      </c>
      <c r="B175" s="152" t="s">
        <v>618</v>
      </c>
      <c r="C175" s="153" t="s">
        <v>16629</v>
      </c>
      <c r="D175" s="158">
        <v>10</v>
      </c>
      <c r="E175" s="155">
        <f>+D175*100</f>
        <v>1000</v>
      </c>
    </row>
    <row r="176" ht="16.5" spans="1:5">
      <c r="A176" s="151">
        <v>175</v>
      </c>
      <c r="B176" s="152" t="s">
        <v>621</v>
      </c>
      <c r="C176" s="153" t="s">
        <v>16629</v>
      </c>
      <c r="D176" s="154">
        <v>10</v>
      </c>
      <c r="E176" s="155">
        <f>+D176*100</f>
        <v>1000</v>
      </c>
    </row>
    <row r="177" ht="16.5" spans="1:5">
      <c r="A177" s="151">
        <v>176</v>
      </c>
      <c r="B177" s="152" t="s">
        <v>625</v>
      </c>
      <c r="C177" s="160" t="s">
        <v>16630</v>
      </c>
      <c r="D177" s="160">
        <v>100</v>
      </c>
      <c r="E177" s="161">
        <f>SUM(D177*100)</f>
        <v>10000</v>
      </c>
    </row>
    <row r="178" ht="16.5" spans="1:5">
      <c r="A178" s="151">
        <v>177</v>
      </c>
      <c r="B178" s="152" t="s">
        <v>628</v>
      </c>
      <c r="C178" s="160" t="s">
        <v>16630</v>
      </c>
      <c r="D178" s="160">
        <v>100</v>
      </c>
      <c r="E178" s="161">
        <f>SUM(D178*100)</f>
        <v>10000</v>
      </c>
    </row>
    <row r="179" ht="16.5" spans="1:5">
      <c r="A179" s="151">
        <v>178</v>
      </c>
      <c r="B179" s="152" t="s">
        <v>634</v>
      </c>
      <c r="C179" s="156" t="s">
        <v>16629</v>
      </c>
      <c r="D179" s="157">
        <v>40</v>
      </c>
      <c r="E179" s="155">
        <f>+D179*100</f>
        <v>4000</v>
      </c>
    </row>
    <row r="180" ht="16.5" spans="1:5">
      <c r="A180" s="151">
        <v>179</v>
      </c>
      <c r="B180" s="152" t="s">
        <v>637</v>
      </c>
      <c r="C180" s="153" t="s">
        <v>16629</v>
      </c>
      <c r="D180" s="158">
        <v>10</v>
      </c>
      <c r="E180" s="155">
        <f>+D180*100</f>
        <v>1000</v>
      </c>
    </row>
    <row r="181" ht="16.5" spans="1:5">
      <c r="A181" s="151">
        <v>180</v>
      </c>
      <c r="B181" s="152" t="s">
        <v>640</v>
      </c>
      <c r="C181" s="160" t="s">
        <v>16630</v>
      </c>
      <c r="D181" s="172">
        <v>200</v>
      </c>
      <c r="E181" s="161">
        <f>+D181*100</f>
        <v>20000</v>
      </c>
    </row>
    <row r="182" ht="16.5" spans="1:5">
      <c r="A182" s="151">
        <v>181</v>
      </c>
      <c r="B182" s="152" t="s">
        <v>643</v>
      </c>
      <c r="C182" s="160" t="s">
        <v>16630</v>
      </c>
      <c r="D182" s="41">
        <v>10</v>
      </c>
      <c r="E182" s="161">
        <f>SUM(D182*100)</f>
        <v>1000</v>
      </c>
    </row>
    <row r="183" ht="16.5" spans="1:5">
      <c r="A183" s="151">
        <v>182</v>
      </c>
      <c r="B183" s="152" t="s">
        <v>646</v>
      </c>
      <c r="C183" s="153" t="s">
        <v>16629</v>
      </c>
      <c r="D183" s="158">
        <v>10</v>
      </c>
      <c r="E183" s="155">
        <f>+D183*100</f>
        <v>1000</v>
      </c>
    </row>
    <row r="184" ht="16.5" spans="1:5">
      <c r="A184" s="151">
        <v>183</v>
      </c>
      <c r="B184" s="152" t="s">
        <v>649</v>
      </c>
      <c r="C184" s="160" t="s">
        <v>16630</v>
      </c>
      <c r="D184" s="160">
        <v>50</v>
      </c>
      <c r="E184" s="161">
        <f>SUM(D184*100)</f>
        <v>5000</v>
      </c>
    </row>
    <row r="185" ht="16.5" spans="1:5">
      <c r="A185" s="151">
        <v>184</v>
      </c>
      <c r="B185" s="152" t="s">
        <v>652</v>
      </c>
      <c r="C185" s="153" t="s">
        <v>16629</v>
      </c>
      <c r="D185" s="158">
        <v>10</v>
      </c>
      <c r="E185" s="155">
        <f>+D185*100</f>
        <v>1000</v>
      </c>
    </row>
    <row r="186" ht="16.5" spans="1:5">
      <c r="A186" s="151">
        <v>185</v>
      </c>
      <c r="B186" s="152" t="s">
        <v>655</v>
      </c>
      <c r="C186" s="160" t="s">
        <v>16630</v>
      </c>
      <c r="D186" s="160">
        <v>100</v>
      </c>
      <c r="E186" s="161">
        <f>SUM(D186*100)</f>
        <v>10000</v>
      </c>
    </row>
    <row r="187" ht="16.5" spans="1:5">
      <c r="A187" s="151">
        <v>186</v>
      </c>
      <c r="B187" s="152" t="s">
        <v>659</v>
      </c>
      <c r="C187" s="160" t="s">
        <v>16630</v>
      </c>
      <c r="D187" s="160">
        <v>50</v>
      </c>
      <c r="E187" s="161">
        <f>SUM(D187*100)</f>
        <v>5000</v>
      </c>
    </row>
    <row r="188" ht="16.5" spans="1:5">
      <c r="A188" s="151">
        <v>187</v>
      </c>
      <c r="B188" s="152" t="s">
        <v>662</v>
      </c>
      <c r="C188" s="153" t="s">
        <v>16629</v>
      </c>
      <c r="D188" s="154">
        <v>10</v>
      </c>
      <c r="E188" s="155">
        <f>+D188*100</f>
        <v>1000</v>
      </c>
    </row>
    <row r="189" ht="16.5" spans="1:5">
      <c r="A189" s="151">
        <v>188</v>
      </c>
      <c r="B189" s="152" t="s">
        <v>665</v>
      </c>
      <c r="C189" s="162" t="s">
        <v>16631</v>
      </c>
      <c r="D189" s="163">
        <v>1000</v>
      </c>
      <c r="E189" s="163">
        <f>D189*100</f>
        <v>100000</v>
      </c>
    </row>
    <row r="190" ht="16.5" spans="1:5">
      <c r="A190" s="151">
        <v>189</v>
      </c>
      <c r="B190" s="152" t="s">
        <v>665</v>
      </c>
      <c r="C190" s="160" t="s">
        <v>16630</v>
      </c>
      <c r="D190" s="160">
        <v>20</v>
      </c>
      <c r="E190" s="161">
        <f>SUM(D190*100)</f>
        <v>2000</v>
      </c>
    </row>
    <row r="191" ht="16.5" spans="1:5">
      <c r="A191" s="151">
        <v>190</v>
      </c>
      <c r="B191" s="152" t="s">
        <v>669</v>
      </c>
      <c r="C191" s="160" t="s">
        <v>16630</v>
      </c>
      <c r="D191" s="160">
        <v>200</v>
      </c>
      <c r="E191" s="161">
        <f>SUM(D191*100)</f>
        <v>20000</v>
      </c>
    </row>
    <row r="192" ht="16.5" spans="1:5">
      <c r="A192" s="151">
        <v>191</v>
      </c>
      <c r="B192" s="152" t="s">
        <v>673</v>
      </c>
      <c r="C192" s="166" t="s">
        <v>16632</v>
      </c>
      <c r="D192" s="166">
        <f>IFERROR(__xludf.DUMMYFUNCTION("""COMPUTED_VALUE"""),15000)</f>
        <v>15000</v>
      </c>
      <c r="E192" s="168">
        <f>IFERROR(__xludf.DUMMYFUNCTION("""COMPUTED_VALUE"""),1500000)</f>
        <v>1500000</v>
      </c>
    </row>
    <row r="193" ht="16.5" spans="1:5">
      <c r="A193" s="151">
        <v>192</v>
      </c>
      <c r="B193" s="152" t="s">
        <v>674</v>
      </c>
      <c r="C193" s="156" t="s">
        <v>16629</v>
      </c>
      <c r="D193" s="158">
        <v>30</v>
      </c>
      <c r="E193" s="155">
        <f>+D193*100</f>
        <v>3000</v>
      </c>
    </row>
    <row r="194" ht="16.5" spans="1:5">
      <c r="A194" s="151">
        <v>193</v>
      </c>
      <c r="B194" s="152" t="s">
        <v>679</v>
      </c>
      <c r="C194" s="162" t="s">
        <v>16631</v>
      </c>
      <c r="D194" s="163">
        <v>1000</v>
      </c>
      <c r="E194" s="163">
        <f>D194*100</f>
        <v>100000</v>
      </c>
    </row>
    <row r="195" ht="16.5" spans="1:5">
      <c r="A195" s="151">
        <v>194</v>
      </c>
      <c r="B195" s="152" t="s">
        <v>679</v>
      </c>
      <c r="C195" s="160" t="s">
        <v>16630</v>
      </c>
      <c r="D195" s="160">
        <v>200</v>
      </c>
      <c r="E195" s="161">
        <f>SUM(D195*100)</f>
        <v>20000</v>
      </c>
    </row>
    <row r="196" ht="16.5" spans="1:5">
      <c r="A196" s="151">
        <v>195</v>
      </c>
      <c r="B196" s="152" t="s">
        <v>684</v>
      </c>
      <c r="C196" s="160" t="s">
        <v>16630</v>
      </c>
      <c r="D196" s="41">
        <v>100</v>
      </c>
      <c r="E196" s="161">
        <f>SUM(D196*100)</f>
        <v>10000</v>
      </c>
    </row>
    <row r="197" ht="16.5" spans="1:5">
      <c r="A197" s="151">
        <v>196</v>
      </c>
      <c r="B197" s="152" t="s">
        <v>687</v>
      </c>
      <c r="C197" s="166" t="s">
        <v>16632</v>
      </c>
      <c r="D197" s="173">
        <v>30000</v>
      </c>
      <c r="E197" s="45">
        <v>3500000</v>
      </c>
    </row>
    <row r="198" ht="16.5" spans="1:5">
      <c r="A198" s="151">
        <v>197</v>
      </c>
      <c r="B198" s="152" t="s">
        <v>692</v>
      </c>
      <c r="C198" s="166" t="s">
        <v>16632</v>
      </c>
      <c r="D198" s="166">
        <f>IFERROR(__xludf.DUMMYFUNCTION("""COMPUTED_VALUE"""),15000)</f>
        <v>15000</v>
      </c>
      <c r="E198" s="168">
        <f>IFERROR(__xludf.DUMMYFUNCTION("""COMPUTED_VALUE"""),1500000)</f>
        <v>1500000</v>
      </c>
    </row>
    <row r="199" ht="16.5" spans="1:5">
      <c r="A199" s="151">
        <v>198</v>
      </c>
      <c r="B199" s="152" t="s">
        <v>693</v>
      </c>
      <c r="C199" s="153" t="s">
        <v>16629</v>
      </c>
      <c r="D199" s="154">
        <v>10</v>
      </c>
      <c r="E199" s="155">
        <f>+D199*100</f>
        <v>1000</v>
      </c>
    </row>
    <row r="200" ht="16.5" spans="1:5">
      <c r="A200" s="151">
        <v>199</v>
      </c>
      <c r="B200" s="152" t="s">
        <v>697</v>
      </c>
      <c r="C200" s="174" t="s">
        <v>16634</v>
      </c>
      <c r="D200" s="160">
        <v>50</v>
      </c>
      <c r="E200" s="161">
        <f>SUM(D200*100)</f>
        <v>5000</v>
      </c>
    </row>
    <row r="201" ht="16.5" spans="1:5">
      <c r="A201" s="151">
        <v>200</v>
      </c>
      <c r="B201" s="152" t="s">
        <v>702</v>
      </c>
      <c r="C201" s="156" t="s">
        <v>16629</v>
      </c>
      <c r="D201" s="158">
        <v>10</v>
      </c>
      <c r="E201" s="155">
        <f>+D201*100</f>
        <v>1000</v>
      </c>
    </row>
    <row r="202" ht="16.5" spans="1:5">
      <c r="A202" s="151">
        <v>201</v>
      </c>
      <c r="B202" s="152" t="s">
        <v>707</v>
      </c>
      <c r="C202" s="162" t="s">
        <v>16631</v>
      </c>
      <c r="D202" s="163">
        <v>1000</v>
      </c>
      <c r="E202" s="163">
        <f>D202*100</f>
        <v>100000</v>
      </c>
    </row>
    <row r="203" ht="16.5" spans="1:5">
      <c r="A203" s="151">
        <v>202</v>
      </c>
      <c r="B203" s="152" t="s">
        <v>712</v>
      </c>
      <c r="C203" s="153" t="s">
        <v>16629</v>
      </c>
      <c r="D203" s="154">
        <v>10</v>
      </c>
      <c r="E203" s="155">
        <f>+D203*100</f>
        <v>1000</v>
      </c>
    </row>
    <row r="204" ht="16.5" spans="1:5">
      <c r="A204" s="151">
        <v>203</v>
      </c>
      <c r="B204" s="152" t="s">
        <v>716</v>
      </c>
      <c r="C204" s="160" t="s">
        <v>16630</v>
      </c>
      <c r="D204" s="160">
        <v>100</v>
      </c>
      <c r="E204" s="161">
        <f>SUM(D204*100)</f>
        <v>10000</v>
      </c>
    </row>
    <row r="205" ht="16.5" spans="1:5">
      <c r="A205" s="151">
        <v>204</v>
      </c>
      <c r="B205" s="152" t="s">
        <v>720</v>
      </c>
      <c r="C205" s="162" t="s">
        <v>16631</v>
      </c>
      <c r="D205" s="163">
        <v>1000</v>
      </c>
      <c r="E205" s="163">
        <f>D205*100</f>
        <v>100000</v>
      </c>
    </row>
    <row r="206" ht="16.5" spans="1:5">
      <c r="A206" s="151">
        <v>205</v>
      </c>
      <c r="B206" s="152" t="s">
        <v>724</v>
      </c>
      <c r="C206" s="153" t="s">
        <v>16629</v>
      </c>
      <c r="D206" s="158">
        <v>10</v>
      </c>
      <c r="E206" s="155">
        <f>+D206*100</f>
        <v>1000</v>
      </c>
    </row>
    <row r="207" ht="16.5" spans="1:5">
      <c r="A207" s="151">
        <v>206</v>
      </c>
      <c r="B207" s="152" t="s">
        <v>728</v>
      </c>
      <c r="C207" s="160" t="s">
        <v>16630</v>
      </c>
      <c r="D207" s="160">
        <v>250</v>
      </c>
      <c r="E207" s="161">
        <f>SUM(D207*100)</f>
        <v>25000</v>
      </c>
    </row>
    <row r="208" ht="16.5" spans="1:5">
      <c r="A208" s="151">
        <v>207</v>
      </c>
      <c r="B208" s="152" t="s">
        <v>732</v>
      </c>
      <c r="C208" s="160" t="s">
        <v>16630</v>
      </c>
      <c r="D208" s="160">
        <v>250</v>
      </c>
      <c r="E208" s="161">
        <f>SUM(D208*100)</f>
        <v>25000</v>
      </c>
    </row>
    <row r="209" ht="16.5" spans="1:5">
      <c r="A209" s="151">
        <v>208</v>
      </c>
      <c r="B209" s="152" t="s">
        <v>736</v>
      </c>
      <c r="C209" s="156" t="s">
        <v>16629</v>
      </c>
      <c r="D209" s="157">
        <v>10</v>
      </c>
      <c r="E209" s="155">
        <f>+D209*100</f>
        <v>1000</v>
      </c>
    </row>
    <row r="210" ht="16.5" spans="1:5">
      <c r="A210" s="151">
        <v>209</v>
      </c>
      <c r="B210" s="152" t="s">
        <v>739</v>
      </c>
      <c r="C210" s="160" t="s">
        <v>16630</v>
      </c>
      <c r="D210" s="160">
        <v>30</v>
      </c>
      <c r="E210" s="161">
        <f>SUM(D210*100)</f>
        <v>3000</v>
      </c>
    </row>
    <row r="211" ht="16.5" spans="1:5">
      <c r="A211" s="151">
        <v>210</v>
      </c>
      <c r="B211" s="152" t="s">
        <v>743</v>
      </c>
      <c r="C211" s="153" t="s">
        <v>16629</v>
      </c>
      <c r="D211" s="158">
        <v>500</v>
      </c>
      <c r="E211" s="155">
        <f>+D211*100</f>
        <v>50000</v>
      </c>
    </row>
    <row r="212" ht="16.5" spans="1:5">
      <c r="A212" s="151">
        <v>211</v>
      </c>
      <c r="B212" s="152" t="s">
        <v>747</v>
      </c>
      <c r="C212" s="156" t="s">
        <v>16629</v>
      </c>
      <c r="D212" s="159">
        <v>10</v>
      </c>
      <c r="E212" s="155">
        <f>+D212*100</f>
        <v>1000</v>
      </c>
    </row>
    <row r="213" ht="16.5" spans="1:5">
      <c r="A213" s="151">
        <v>212</v>
      </c>
      <c r="B213" s="152" t="s">
        <v>751</v>
      </c>
      <c r="C213" s="162" t="s">
        <v>16631</v>
      </c>
      <c r="D213" s="163">
        <v>1000</v>
      </c>
      <c r="E213" s="163">
        <f>D213*100</f>
        <v>100000</v>
      </c>
    </row>
    <row r="214" ht="16.5" spans="1:5">
      <c r="A214" s="151">
        <v>213</v>
      </c>
      <c r="B214" s="152" t="s">
        <v>756</v>
      </c>
      <c r="C214" s="162" t="s">
        <v>16631</v>
      </c>
      <c r="D214" s="163">
        <v>7000</v>
      </c>
      <c r="E214" s="163">
        <f>D214*100</f>
        <v>700000</v>
      </c>
    </row>
    <row r="215" ht="16.5" spans="1:5">
      <c r="A215" s="151">
        <v>214</v>
      </c>
      <c r="B215" s="152" t="s">
        <v>756</v>
      </c>
      <c r="C215" s="162" t="s">
        <v>16633</v>
      </c>
      <c r="D215" s="171">
        <f>G215/100</f>
        <v>0</v>
      </c>
      <c r="E215" s="171">
        <f>G215</f>
        <v>0</v>
      </c>
    </row>
    <row r="216" ht="16.5" spans="1:5">
      <c r="A216" s="151">
        <v>215</v>
      </c>
      <c r="B216" s="152" t="s">
        <v>761</v>
      </c>
      <c r="C216" s="162" t="s">
        <v>16631</v>
      </c>
      <c r="D216" s="163">
        <v>10000</v>
      </c>
      <c r="E216" s="163">
        <f>D216*100</f>
        <v>1000000</v>
      </c>
    </row>
    <row r="217" ht="16.5" spans="1:5">
      <c r="A217" s="151">
        <v>216</v>
      </c>
      <c r="B217" s="152" t="s">
        <v>766</v>
      </c>
      <c r="C217" s="153" t="s">
        <v>16629</v>
      </c>
      <c r="D217" s="154">
        <v>10</v>
      </c>
      <c r="E217" s="155">
        <f>+D217*100</f>
        <v>1000</v>
      </c>
    </row>
    <row r="218" ht="16.5" spans="1:5">
      <c r="A218" s="151">
        <v>217</v>
      </c>
      <c r="B218" s="152" t="s">
        <v>770</v>
      </c>
      <c r="C218" s="160" t="s">
        <v>16630</v>
      </c>
      <c r="D218" s="160">
        <v>30</v>
      </c>
      <c r="E218" s="161">
        <f>SUM(D218*100)</f>
        <v>3000</v>
      </c>
    </row>
    <row r="219" ht="16.5" spans="1:5">
      <c r="A219" s="151">
        <v>218</v>
      </c>
      <c r="B219" s="152" t="s">
        <v>774</v>
      </c>
      <c r="C219" s="153" t="s">
        <v>16629</v>
      </c>
      <c r="D219" s="158">
        <v>10</v>
      </c>
      <c r="E219" s="155">
        <f>+D219*100</f>
        <v>1000</v>
      </c>
    </row>
    <row r="220" ht="16.5" spans="1:5">
      <c r="A220" s="151">
        <v>219</v>
      </c>
      <c r="B220" s="152" t="s">
        <v>777</v>
      </c>
      <c r="C220" s="153" t="s">
        <v>16629</v>
      </c>
      <c r="D220" s="154">
        <v>10</v>
      </c>
      <c r="E220" s="155">
        <f>+D220*100</f>
        <v>1000</v>
      </c>
    </row>
    <row r="221" ht="16.5" spans="1:5">
      <c r="A221" s="151">
        <v>220</v>
      </c>
      <c r="B221" s="152" t="s">
        <v>780</v>
      </c>
      <c r="C221" s="160" t="s">
        <v>16630</v>
      </c>
      <c r="D221" s="160">
        <v>10</v>
      </c>
      <c r="E221" s="161">
        <f>SUM(D221*100)</f>
        <v>1000</v>
      </c>
    </row>
    <row r="222" ht="16.5" spans="1:5">
      <c r="A222" s="151">
        <v>221</v>
      </c>
      <c r="B222" s="152" t="s">
        <v>783</v>
      </c>
      <c r="C222" s="160" t="s">
        <v>16630</v>
      </c>
      <c r="D222" s="160">
        <v>10</v>
      </c>
      <c r="E222" s="161">
        <f>SUM(D222*100)</f>
        <v>1000</v>
      </c>
    </row>
    <row r="223" ht="16.5" spans="1:5">
      <c r="A223" s="151">
        <v>222</v>
      </c>
      <c r="B223" s="152" t="s">
        <v>786</v>
      </c>
      <c r="C223" s="160" t="s">
        <v>16630</v>
      </c>
      <c r="D223" s="160">
        <v>10</v>
      </c>
      <c r="E223" s="161">
        <f>SUM(D223*100)</f>
        <v>1000</v>
      </c>
    </row>
    <row r="224" ht="16.5" spans="1:5">
      <c r="A224" s="151">
        <v>223</v>
      </c>
      <c r="B224" s="152" t="s">
        <v>789</v>
      </c>
      <c r="C224" s="153" t="s">
        <v>16629</v>
      </c>
      <c r="D224" s="154">
        <v>10</v>
      </c>
      <c r="E224" s="155">
        <f>+D224*100</f>
        <v>1000</v>
      </c>
    </row>
    <row r="225" ht="16.5" spans="1:5">
      <c r="A225" s="151">
        <v>224</v>
      </c>
      <c r="B225" s="152" t="s">
        <v>793</v>
      </c>
      <c r="C225" s="153" t="s">
        <v>16629</v>
      </c>
      <c r="D225" s="154">
        <v>10</v>
      </c>
      <c r="E225" s="155">
        <f>+D225*100</f>
        <v>1000</v>
      </c>
    </row>
    <row r="226" ht="16.5" spans="1:5">
      <c r="A226" s="151">
        <v>225</v>
      </c>
      <c r="B226" s="152" t="s">
        <v>796</v>
      </c>
      <c r="C226" s="160" t="s">
        <v>16630</v>
      </c>
      <c r="D226" s="160">
        <v>100</v>
      </c>
      <c r="E226" s="161">
        <f>SUM(D226*100)</f>
        <v>10000</v>
      </c>
    </row>
    <row r="227" ht="16.5" spans="1:5">
      <c r="A227" s="151">
        <v>226</v>
      </c>
      <c r="B227" s="152" t="s">
        <v>799</v>
      </c>
      <c r="C227" s="153" t="s">
        <v>16629</v>
      </c>
      <c r="D227" s="158">
        <v>10</v>
      </c>
      <c r="E227" s="155">
        <f>+D227*100</f>
        <v>1000</v>
      </c>
    </row>
    <row r="228" ht="16.5" spans="1:5">
      <c r="A228" s="151">
        <v>227</v>
      </c>
      <c r="B228" s="152" t="s">
        <v>802</v>
      </c>
      <c r="C228" s="160" t="s">
        <v>16630</v>
      </c>
      <c r="D228" s="160">
        <v>10</v>
      </c>
      <c r="E228" s="161">
        <f>SUM(D228*100)</f>
        <v>1000</v>
      </c>
    </row>
    <row r="229" ht="16.5" spans="1:5">
      <c r="A229" s="151">
        <v>228</v>
      </c>
      <c r="B229" s="152" t="s">
        <v>805</v>
      </c>
      <c r="C229" s="160" t="s">
        <v>16630</v>
      </c>
      <c r="D229" s="160">
        <v>300</v>
      </c>
      <c r="E229" s="161">
        <f>SUM(D229*100)</f>
        <v>30000</v>
      </c>
    </row>
    <row r="230" ht="16.5" spans="1:5">
      <c r="A230" s="151">
        <v>229</v>
      </c>
      <c r="B230" s="152" t="s">
        <v>808</v>
      </c>
      <c r="C230" s="162" t="s">
        <v>16631</v>
      </c>
      <c r="D230" s="163">
        <v>1000</v>
      </c>
      <c r="E230" s="163">
        <f>D230*100</f>
        <v>100000</v>
      </c>
    </row>
    <row r="231" ht="16.5" spans="1:5">
      <c r="A231" s="151">
        <v>230</v>
      </c>
      <c r="B231" s="152" t="s">
        <v>812</v>
      </c>
      <c r="C231" s="156" t="s">
        <v>16629</v>
      </c>
      <c r="D231" s="159">
        <v>10</v>
      </c>
      <c r="E231" s="155">
        <f>+D231*100</f>
        <v>1000</v>
      </c>
    </row>
    <row r="232" ht="16.5" spans="1:5">
      <c r="A232" s="151">
        <v>231</v>
      </c>
      <c r="B232" s="152" t="s">
        <v>815</v>
      </c>
      <c r="C232" s="156" t="s">
        <v>16629</v>
      </c>
      <c r="D232" s="159">
        <v>10</v>
      </c>
      <c r="E232" s="155">
        <f>+D232*100</f>
        <v>1000</v>
      </c>
    </row>
    <row r="233" ht="16.5" spans="1:5">
      <c r="A233" s="151">
        <v>232</v>
      </c>
      <c r="B233" s="152" t="s">
        <v>818</v>
      </c>
      <c r="C233" s="160" t="s">
        <v>16630</v>
      </c>
      <c r="D233" s="160">
        <v>100</v>
      </c>
      <c r="E233" s="161">
        <f>SUM(D233*100)</f>
        <v>10000</v>
      </c>
    </row>
    <row r="234" ht="16.5" spans="1:5">
      <c r="A234" s="151">
        <v>233</v>
      </c>
      <c r="B234" s="152" t="s">
        <v>821</v>
      </c>
      <c r="C234" s="160" t="s">
        <v>16630</v>
      </c>
      <c r="D234" s="160">
        <v>100</v>
      </c>
      <c r="E234" s="161">
        <f>SUM(D234*100)</f>
        <v>10000</v>
      </c>
    </row>
    <row r="235" ht="16.5" spans="1:5">
      <c r="A235" s="151">
        <v>234</v>
      </c>
      <c r="B235" s="152" t="s">
        <v>824</v>
      </c>
      <c r="C235" s="160" t="s">
        <v>16630</v>
      </c>
      <c r="D235" s="160">
        <v>100</v>
      </c>
      <c r="E235" s="161">
        <f>SUM(D235*100)</f>
        <v>10000</v>
      </c>
    </row>
    <row r="236" ht="16.5" spans="1:5">
      <c r="A236" s="151">
        <v>235</v>
      </c>
      <c r="B236" s="152" t="s">
        <v>828</v>
      </c>
      <c r="C236" s="153" t="s">
        <v>16629</v>
      </c>
      <c r="D236" s="154">
        <v>10</v>
      </c>
      <c r="E236" s="155">
        <f>+D236*100</f>
        <v>1000</v>
      </c>
    </row>
    <row r="237" ht="16.5" spans="1:5">
      <c r="A237" s="151">
        <v>236</v>
      </c>
      <c r="B237" s="152" t="s">
        <v>831</v>
      </c>
      <c r="C237" s="160" t="s">
        <v>16630</v>
      </c>
      <c r="D237" s="160">
        <v>180</v>
      </c>
      <c r="E237" s="161">
        <f>SUM(D237*100)</f>
        <v>18000</v>
      </c>
    </row>
    <row r="238" ht="16.5" spans="1:5">
      <c r="A238" s="151">
        <v>237</v>
      </c>
      <c r="B238" s="152" t="s">
        <v>834</v>
      </c>
      <c r="C238" s="160" t="s">
        <v>16630</v>
      </c>
      <c r="D238" s="175">
        <v>1000</v>
      </c>
      <c r="E238" s="161">
        <f>SUM(D238*100)</f>
        <v>100000</v>
      </c>
    </row>
    <row r="239" ht="16.5" spans="1:5">
      <c r="A239" s="151">
        <v>238</v>
      </c>
      <c r="B239" s="152" t="s">
        <v>837</v>
      </c>
      <c r="C239" s="160" t="s">
        <v>16630</v>
      </c>
      <c r="D239" s="160">
        <v>100</v>
      </c>
      <c r="E239" s="161">
        <f>SUM(D239*100)</f>
        <v>10000</v>
      </c>
    </row>
    <row r="240" ht="16.5" spans="1:5">
      <c r="A240" s="151">
        <v>239</v>
      </c>
      <c r="B240" s="152" t="s">
        <v>841</v>
      </c>
      <c r="C240" s="162" t="s">
        <v>16633</v>
      </c>
      <c r="D240" s="171">
        <f>G240/100</f>
        <v>0</v>
      </c>
      <c r="E240" s="171">
        <f>G240</f>
        <v>0</v>
      </c>
    </row>
    <row r="241" ht="16.5" spans="1:5">
      <c r="A241" s="151">
        <v>240</v>
      </c>
      <c r="B241" s="152" t="s">
        <v>841</v>
      </c>
      <c r="C241" s="162" t="s">
        <v>16631</v>
      </c>
      <c r="D241" s="163">
        <v>3000</v>
      </c>
      <c r="E241" s="163">
        <f>D241*100</f>
        <v>300000</v>
      </c>
    </row>
    <row r="242" ht="16.5" spans="1:5">
      <c r="A242" s="151">
        <v>241</v>
      </c>
      <c r="B242" s="152" t="s">
        <v>845</v>
      </c>
      <c r="C242" s="162" t="s">
        <v>16631</v>
      </c>
      <c r="D242" s="163">
        <v>2000</v>
      </c>
      <c r="E242" s="163">
        <f>D242*100</f>
        <v>200000</v>
      </c>
    </row>
    <row r="243" ht="16.5" spans="1:5">
      <c r="A243" s="151">
        <v>242</v>
      </c>
      <c r="B243" s="152" t="s">
        <v>850</v>
      </c>
      <c r="C243" s="160" t="s">
        <v>16630</v>
      </c>
      <c r="D243" s="165">
        <v>50</v>
      </c>
      <c r="E243" s="161">
        <f>SUM(D243*100)</f>
        <v>5000</v>
      </c>
    </row>
    <row r="244" ht="16.5" spans="1:5">
      <c r="A244" s="151">
        <v>243</v>
      </c>
      <c r="B244" s="152" t="s">
        <v>853</v>
      </c>
      <c r="C244" s="160" t="s">
        <v>16630</v>
      </c>
      <c r="D244" s="165">
        <v>50</v>
      </c>
      <c r="E244" s="161">
        <f>SUM(D244*100)</f>
        <v>5000</v>
      </c>
    </row>
    <row r="245" ht="16.5" spans="1:5">
      <c r="A245" s="151">
        <v>244</v>
      </c>
      <c r="B245" s="152" t="s">
        <v>856</v>
      </c>
      <c r="C245" s="166" t="s">
        <v>16632</v>
      </c>
      <c r="D245" s="166">
        <f>IFERROR(__xludf.DUMMYFUNCTION("""COMPUTED_VALUE"""),15000)</f>
        <v>15000</v>
      </c>
      <c r="E245" s="168">
        <f>IFERROR(__xludf.DUMMYFUNCTION("""COMPUTED_VALUE"""),1500000)</f>
        <v>1500000</v>
      </c>
    </row>
    <row r="246" ht="16.5" spans="1:5">
      <c r="A246" s="151">
        <v>245</v>
      </c>
      <c r="B246" s="152" t="s">
        <v>857</v>
      </c>
      <c r="C246" s="160" t="s">
        <v>16630</v>
      </c>
      <c r="D246" s="160">
        <v>110</v>
      </c>
      <c r="E246" s="161">
        <f>SUM(D246*100)</f>
        <v>11000</v>
      </c>
    </row>
    <row r="247" ht="16.5" spans="1:5">
      <c r="A247" s="151">
        <v>246</v>
      </c>
      <c r="B247" s="152" t="s">
        <v>860</v>
      </c>
      <c r="C247" s="160" t="s">
        <v>16630</v>
      </c>
      <c r="D247" s="164">
        <v>100</v>
      </c>
      <c r="E247" s="161">
        <f>SUM(D247*100)</f>
        <v>10000</v>
      </c>
    </row>
    <row r="248" ht="16.5" spans="1:5">
      <c r="A248" s="151">
        <v>247</v>
      </c>
      <c r="B248" s="152" t="s">
        <v>863</v>
      </c>
      <c r="C248" s="162" t="s">
        <v>16631</v>
      </c>
      <c r="D248" s="163">
        <v>2000</v>
      </c>
      <c r="E248" s="163">
        <f>D248*100</f>
        <v>200000</v>
      </c>
    </row>
    <row r="249" ht="16.5" spans="1:5">
      <c r="A249" s="151">
        <v>248</v>
      </c>
      <c r="B249" s="152" t="s">
        <v>867</v>
      </c>
      <c r="C249" s="160" t="s">
        <v>16630</v>
      </c>
      <c r="D249" s="160">
        <v>50</v>
      </c>
      <c r="E249" s="161">
        <f>SUM(D249*100)</f>
        <v>5000</v>
      </c>
    </row>
    <row r="250" ht="16.5" spans="1:5">
      <c r="A250" s="151">
        <v>249</v>
      </c>
      <c r="B250" s="152" t="s">
        <v>871</v>
      </c>
      <c r="C250" s="160" t="s">
        <v>16630</v>
      </c>
      <c r="D250" s="172">
        <v>1000</v>
      </c>
      <c r="E250" s="161">
        <f>SUM(D250*100)</f>
        <v>100000</v>
      </c>
    </row>
    <row r="251" ht="16.5" spans="1:5">
      <c r="A251" s="151">
        <v>250</v>
      </c>
      <c r="B251" s="152" t="s">
        <v>874</v>
      </c>
      <c r="C251" s="160" t="s">
        <v>16630</v>
      </c>
      <c r="D251" s="160">
        <v>100</v>
      </c>
      <c r="E251" s="161">
        <f>SUM(D251*100)</f>
        <v>10000</v>
      </c>
    </row>
    <row r="252" ht="16.5" spans="1:5">
      <c r="A252" s="151">
        <v>251</v>
      </c>
      <c r="B252" s="152" t="s">
        <v>877</v>
      </c>
      <c r="C252" s="160" t="s">
        <v>16630</v>
      </c>
      <c r="D252" s="160">
        <v>100</v>
      </c>
      <c r="E252" s="161">
        <f>SUM(D252*100)</f>
        <v>10000</v>
      </c>
    </row>
    <row r="253" ht="16.5" spans="1:5">
      <c r="A253" s="151">
        <v>252</v>
      </c>
      <c r="B253" s="152" t="s">
        <v>881</v>
      </c>
      <c r="C253" s="166" t="s">
        <v>16632</v>
      </c>
      <c r="D253" s="166">
        <f>IFERROR(__xludf.DUMMYFUNCTION("""COMPUTED_VALUE"""),10000)</f>
        <v>10000</v>
      </c>
      <c r="E253" s="168">
        <f>IFERROR(__xludf.DUMMYFUNCTION("""COMPUTED_VALUE"""),1500000)</f>
        <v>1500000</v>
      </c>
    </row>
    <row r="254" ht="16.5" spans="1:5">
      <c r="A254" s="151">
        <v>253</v>
      </c>
      <c r="B254" s="152" t="s">
        <v>882</v>
      </c>
      <c r="C254" s="153" t="s">
        <v>16629</v>
      </c>
      <c r="D254" s="158">
        <v>10</v>
      </c>
      <c r="E254" s="155">
        <f t="shared" ref="E254:E259" si="8">+D254*100</f>
        <v>1000</v>
      </c>
    </row>
    <row r="255" ht="16.5" spans="1:5">
      <c r="A255" s="151">
        <v>254</v>
      </c>
      <c r="B255" s="152" t="s">
        <v>886</v>
      </c>
      <c r="C255" s="153" t="s">
        <v>16629</v>
      </c>
      <c r="D255" s="154">
        <v>10</v>
      </c>
      <c r="E255" s="155">
        <f t="shared" si="8"/>
        <v>1000</v>
      </c>
    </row>
    <row r="256" ht="16.5" spans="1:5">
      <c r="A256" s="151">
        <v>255</v>
      </c>
      <c r="B256" s="152" t="s">
        <v>889</v>
      </c>
      <c r="C256" s="153" t="s">
        <v>16629</v>
      </c>
      <c r="D256" s="154">
        <v>10</v>
      </c>
      <c r="E256" s="155">
        <f t="shared" si="8"/>
        <v>1000</v>
      </c>
    </row>
    <row r="257" ht="16.5" spans="1:5">
      <c r="A257" s="151">
        <v>256</v>
      </c>
      <c r="B257" s="152" t="s">
        <v>892</v>
      </c>
      <c r="C257" s="156" t="s">
        <v>16629</v>
      </c>
      <c r="D257" s="157">
        <v>10</v>
      </c>
      <c r="E257" s="155">
        <f t="shared" si="8"/>
        <v>1000</v>
      </c>
    </row>
    <row r="258" ht="16.5" spans="1:5">
      <c r="A258" s="151">
        <v>257</v>
      </c>
      <c r="B258" s="152" t="s">
        <v>896</v>
      </c>
      <c r="C258" s="153" t="s">
        <v>16629</v>
      </c>
      <c r="D258" s="158">
        <v>10</v>
      </c>
      <c r="E258" s="155">
        <f t="shared" si="8"/>
        <v>1000</v>
      </c>
    </row>
    <row r="259" ht="16.5" spans="1:5">
      <c r="A259" s="151">
        <v>258</v>
      </c>
      <c r="B259" s="152" t="s">
        <v>899</v>
      </c>
      <c r="C259" s="153" t="s">
        <v>16629</v>
      </c>
      <c r="D259" s="158">
        <v>10</v>
      </c>
      <c r="E259" s="155">
        <f t="shared" si="8"/>
        <v>1000</v>
      </c>
    </row>
    <row r="260" ht="16.5" spans="1:5">
      <c r="A260" s="151">
        <v>259</v>
      </c>
      <c r="B260" s="152" t="s">
        <v>903</v>
      </c>
      <c r="C260" s="160" t="s">
        <v>16630</v>
      </c>
      <c r="D260" s="160">
        <v>100</v>
      </c>
      <c r="E260" s="161">
        <f>SUM(D260*100)</f>
        <v>10000</v>
      </c>
    </row>
    <row r="261" ht="16.5" spans="1:5">
      <c r="A261" s="151">
        <v>260</v>
      </c>
      <c r="B261" s="152" t="s">
        <v>906</v>
      </c>
      <c r="C261" s="153" t="s">
        <v>16629</v>
      </c>
      <c r="D261" s="158">
        <v>10</v>
      </c>
      <c r="E261" s="155">
        <f>+D261*100</f>
        <v>1000</v>
      </c>
    </row>
    <row r="262" ht="16.5" spans="1:5">
      <c r="A262" s="151">
        <v>261</v>
      </c>
      <c r="B262" s="152" t="s">
        <v>910</v>
      </c>
      <c r="C262" s="160" t="s">
        <v>16630</v>
      </c>
      <c r="D262" s="160">
        <v>30</v>
      </c>
      <c r="E262" s="161">
        <f>SUM(D262*100)</f>
        <v>3000</v>
      </c>
    </row>
    <row r="263" ht="16.5" spans="1:5">
      <c r="A263" s="151">
        <v>262</v>
      </c>
      <c r="B263" s="152" t="s">
        <v>914</v>
      </c>
      <c r="C263" s="153" t="s">
        <v>16629</v>
      </c>
      <c r="D263" s="154">
        <v>10</v>
      </c>
      <c r="E263" s="155">
        <f t="shared" ref="E263:E276" si="9">+D263*100</f>
        <v>1000</v>
      </c>
    </row>
    <row r="264" ht="16.5" spans="1:5">
      <c r="A264" s="151">
        <v>263</v>
      </c>
      <c r="B264" s="152" t="s">
        <v>917</v>
      </c>
      <c r="C264" s="156" t="s">
        <v>16629</v>
      </c>
      <c r="D264" s="159">
        <v>10</v>
      </c>
      <c r="E264" s="155">
        <f t="shared" si="9"/>
        <v>1000</v>
      </c>
    </row>
    <row r="265" ht="16.5" spans="1:5">
      <c r="A265" s="151">
        <v>264</v>
      </c>
      <c r="B265" s="152" t="s">
        <v>920</v>
      </c>
      <c r="C265" s="156" t="s">
        <v>16629</v>
      </c>
      <c r="D265" s="159">
        <v>10</v>
      </c>
      <c r="E265" s="155">
        <f t="shared" si="9"/>
        <v>1000</v>
      </c>
    </row>
    <row r="266" ht="16.5" spans="1:5">
      <c r="A266" s="151">
        <v>265</v>
      </c>
      <c r="B266" s="152" t="s">
        <v>924</v>
      </c>
      <c r="C266" s="156" t="s">
        <v>16629</v>
      </c>
      <c r="D266" s="157">
        <v>10</v>
      </c>
      <c r="E266" s="155">
        <f t="shared" si="9"/>
        <v>1000</v>
      </c>
    </row>
    <row r="267" ht="16.5" spans="1:5">
      <c r="A267" s="151">
        <v>266</v>
      </c>
      <c r="B267" s="152" t="s">
        <v>927</v>
      </c>
      <c r="C267" s="156" t="s">
        <v>16629</v>
      </c>
      <c r="D267" s="159">
        <v>10</v>
      </c>
      <c r="E267" s="155">
        <f t="shared" si="9"/>
        <v>1000</v>
      </c>
    </row>
    <row r="268" ht="16.5" spans="1:5">
      <c r="A268" s="151">
        <v>267</v>
      </c>
      <c r="B268" s="152" t="s">
        <v>930</v>
      </c>
      <c r="C268" s="156" t="s">
        <v>16629</v>
      </c>
      <c r="D268" s="159">
        <v>10</v>
      </c>
      <c r="E268" s="155">
        <f t="shared" si="9"/>
        <v>1000</v>
      </c>
    </row>
    <row r="269" ht="16.5" spans="1:5">
      <c r="A269" s="151">
        <v>268</v>
      </c>
      <c r="B269" s="152" t="s">
        <v>933</v>
      </c>
      <c r="C269" s="156" t="s">
        <v>16629</v>
      </c>
      <c r="D269" s="157">
        <v>10</v>
      </c>
      <c r="E269" s="155">
        <f t="shared" si="9"/>
        <v>1000</v>
      </c>
    </row>
    <row r="270" ht="16.5" spans="1:5">
      <c r="A270" s="151">
        <v>269</v>
      </c>
      <c r="B270" s="152" t="s">
        <v>937</v>
      </c>
      <c r="C270" s="153" t="s">
        <v>16629</v>
      </c>
      <c r="D270" s="154">
        <v>10</v>
      </c>
      <c r="E270" s="155">
        <f t="shared" si="9"/>
        <v>1000</v>
      </c>
    </row>
    <row r="271" ht="16.5" spans="1:5">
      <c r="A271" s="151">
        <v>270</v>
      </c>
      <c r="B271" s="152" t="s">
        <v>941</v>
      </c>
      <c r="C271" s="153" t="s">
        <v>16629</v>
      </c>
      <c r="D271" s="154">
        <v>10</v>
      </c>
      <c r="E271" s="155">
        <f t="shared" si="9"/>
        <v>1000</v>
      </c>
    </row>
    <row r="272" ht="16.5" spans="1:5">
      <c r="A272" s="151">
        <v>271</v>
      </c>
      <c r="B272" s="152" t="s">
        <v>944</v>
      </c>
      <c r="C272" s="156" t="s">
        <v>16629</v>
      </c>
      <c r="D272" s="157">
        <v>10</v>
      </c>
      <c r="E272" s="155">
        <f t="shared" si="9"/>
        <v>1000</v>
      </c>
    </row>
    <row r="273" ht="16.5" spans="1:5">
      <c r="A273" s="151">
        <v>272</v>
      </c>
      <c r="B273" s="152" t="s">
        <v>947</v>
      </c>
      <c r="C273" s="156" t="s">
        <v>16629</v>
      </c>
      <c r="D273" s="157">
        <v>10</v>
      </c>
      <c r="E273" s="155">
        <f t="shared" si="9"/>
        <v>1000</v>
      </c>
    </row>
    <row r="274" ht="16.5" spans="1:5">
      <c r="A274" s="151">
        <v>273</v>
      </c>
      <c r="B274" s="152" t="s">
        <v>951</v>
      </c>
      <c r="C274" s="156" t="s">
        <v>16629</v>
      </c>
      <c r="D274" s="157">
        <v>10</v>
      </c>
      <c r="E274" s="155">
        <f t="shared" si="9"/>
        <v>1000</v>
      </c>
    </row>
    <row r="275" ht="16.5" spans="1:5">
      <c r="A275" s="151">
        <v>274</v>
      </c>
      <c r="B275" s="152" t="s">
        <v>954</v>
      </c>
      <c r="C275" s="156" t="s">
        <v>16629</v>
      </c>
      <c r="D275" s="159">
        <v>10</v>
      </c>
      <c r="E275" s="155">
        <f t="shared" si="9"/>
        <v>1000</v>
      </c>
    </row>
    <row r="276" ht="16.5" spans="1:5">
      <c r="A276" s="151">
        <v>275</v>
      </c>
      <c r="B276" s="152" t="s">
        <v>957</v>
      </c>
      <c r="C276" s="156" t="s">
        <v>16629</v>
      </c>
      <c r="D276" s="157">
        <v>10</v>
      </c>
      <c r="E276" s="155">
        <f t="shared" si="9"/>
        <v>1000</v>
      </c>
    </row>
    <row r="277" ht="16.5" spans="1:5">
      <c r="A277" s="151">
        <v>276</v>
      </c>
      <c r="B277" s="152" t="s">
        <v>961</v>
      </c>
      <c r="C277" s="166" t="s">
        <v>16632</v>
      </c>
      <c r="D277" s="176">
        <v>5000</v>
      </c>
      <c r="E277" s="45">
        <v>3500000</v>
      </c>
    </row>
    <row r="278" ht="16.5" spans="1:5">
      <c r="A278" s="151">
        <v>277</v>
      </c>
      <c r="B278" s="152" t="s">
        <v>961</v>
      </c>
      <c r="C278" s="166" t="s">
        <v>16632</v>
      </c>
      <c r="D278" s="166">
        <f>IFERROR(__xludf.DUMMYFUNCTION("""COMPUTED_VALUE"""),10000)</f>
        <v>10000</v>
      </c>
      <c r="E278" s="168">
        <f>IFERROR(__xludf.DUMMYFUNCTION("""COMPUTED_VALUE"""),1500000)</f>
        <v>1500000</v>
      </c>
    </row>
    <row r="279" ht="16.5" spans="1:5">
      <c r="A279" s="151">
        <v>278</v>
      </c>
      <c r="B279" s="152" t="s">
        <v>965</v>
      </c>
      <c r="C279" s="156" t="s">
        <v>16629</v>
      </c>
      <c r="D279" s="159">
        <v>10</v>
      </c>
      <c r="E279" s="155">
        <f t="shared" ref="E279:E285" si="10">+D279*100</f>
        <v>1000</v>
      </c>
    </row>
    <row r="280" ht="16.5" spans="1:5">
      <c r="A280" s="151">
        <v>279</v>
      </c>
      <c r="B280" s="152" t="s">
        <v>969</v>
      </c>
      <c r="C280" s="153" t="s">
        <v>16629</v>
      </c>
      <c r="D280" s="154">
        <v>10</v>
      </c>
      <c r="E280" s="155">
        <f t="shared" si="10"/>
        <v>1000</v>
      </c>
    </row>
    <row r="281" ht="16.5" spans="1:5">
      <c r="A281" s="151">
        <v>280</v>
      </c>
      <c r="B281" s="152" t="s">
        <v>972</v>
      </c>
      <c r="C281" s="153" t="s">
        <v>16629</v>
      </c>
      <c r="D281" s="154">
        <v>10</v>
      </c>
      <c r="E281" s="155">
        <f t="shared" si="10"/>
        <v>1000</v>
      </c>
    </row>
    <row r="282" ht="16.5" spans="1:5">
      <c r="A282" s="151">
        <v>281</v>
      </c>
      <c r="B282" s="152" t="s">
        <v>975</v>
      </c>
      <c r="C282" s="153" t="s">
        <v>16629</v>
      </c>
      <c r="D282" s="158">
        <v>10</v>
      </c>
      <c r="E282" s="155">
        <f t="shared" si="10"/>
        <v>1000</v>
      </c>
    </row>
    <row r="283" ht="16.5" spans="1:5">
      <c r="A283" s="151">
        <v>282</v>
      </c>
      <c r="B283" s="152" t="s">
        <v>979</v>
      </c>
      <c r="C283" s="153" t="s">
        <v>16629</v>
      </c>
      <c r="D283" s="154">
        <v>10</v>
      </c>
      <c r="E283" s="155">
        <f t="shared" si="10"/>
        <v>1000</v>
      </c>
    </row>
    <row r="284" ht="16.5" spans="1:5">
      <c r="A284" s="151">
        <v>283</v>
      </c>
      <c r="B284" s="152" t="s">
        <v>982</v>
      </c>
      <c r="C284" s="156" t="s">
        <v>16629</v>
      </c>
      <c r="D284" s="154">
        <v>10</v>
      </c>
      <c r="E284" s="155">
        <f t="shared" si="10"/>
        <v>1000</v>
      </c>
    </row>
    <row r="285" ht="16.5" spans="1:5">
      <c r="A285" s="151">
        <v>284</v>
      </c>
      <c r="B285" s="152" t="s">
        <v>985</v>
      </c>
      <c r="C285" s="156" t="s">
        <v>16629</v>
      </c>
      <c r="D285" s="157">
        <v>10</v>
      </c>
      <c r="E285" s="155">
        <f t="shared" si="10"/>
        <v>1000</v>
      </c>
    </row>
    <row r="286" ht="16.5" spans="1:5">
      <c r="A286" s="151">
        <v>285</v>
      </c>
      <c r="B286" s="152" t="s">
        <v>989</v>
      </c>
      <c r="C286" s="162" t="s">
        <v>16631</v>
      </c>
      <c r="D286" s="163">
        <v>1000</v>
      </c>
      <c r="E286" s="163">
        <f>D286*100</f>
        <v>100000</v>
      </c>
    </row>
    <row r="287" ht="16.5" spans="1:5">
      <c r="A287" s="151">
        <v>286</v>
      </c>
      <c r="B287" s="152" t="s">
        <v>993</v>
      </c>
      <c r="C287" s="162" t="s">
        <v>16633</v>
      </c>
      <c r="D287" s="171">
        <f>G287/100</f>
        <v>0</v>
      </c>
      <c r="E287" s="171">
        <f>G287</f>
        <v>0</v>
      </c>
    </row>
    <row r="288" ht="16.5" spans="1:5">
      <c r="A288" s="151">
        <v>287</v>
      </c>
      <c r="B288" s="152" t="s">
        <v>996</v>
      </c>
      <c r="C288" s="153" t="s">
        <v>16629</v>
      </c>
      <c r="D288" s="154">
        <v>10</v>
      </c>
      <c r="E288" s="155">
        <f>+D288*100</f>
        <v>1000</v>
      </c>
    </row>
    <row r="289" ht="16.5" spans="1:5">
      <c r="A289" s="151">
        <v>288</v>
      </c>
      <c r="B289" s="152" t="s">
        <v>999</v>
      </c>
      <c r="C289" s="156" t="s">
        <v>16629</v>
      </c>
      <c r="D289" s="157">
        <v>10</v>
      </c>
      <c r="E289" s="155">
        <f>+D289*100</f>
        <v>1000</v>
      </c>
    </row>
    <row r="290" ht="16.5" spans="1:5">
      <c r="A290" s="151">
        <v>289</v>
      </c>
      <c r="B290" s="152" t="s">
        <v>1002</v>
      </c>
      <c r="C290" s="160" t="s">
        <v>16630</v>
      </c>
      <c r="D290" s="160">
        <v>100</v>
      </c>
      <c r="E290" s="161">
        <f>SUM(D290*100)</f>
        <v>10000</v>
      </c>
    </row>
    <row r="291" ht="16.5" spans="1:5">
      <c r="A291" s="151">
        <v>290</v>
      </c>
      <c r="B291" s="152" t="s">
        <v>1006</v>
      </c>
      <c r="C291" s="160" t="s">
        <v>16630</v>
      </c>
      <c r="D291" s="160">
        <v>50</v>
      </c>
      <c r="E291" s="161">
        <f>SUM(D291*100)</f>
        <v>5000</v>
      </c>
    </row>
    <row r="292" ht="16.5" spans="1:5">
      <c r="A292" s="151">
        <v>291</v>
      </c>
      <c r="B292" s="152" t="s">
        <v>1010</v>
      </c>
      <c r="C292" s="156" t="s">
        <v>16629</v>
      </c>
      <c r="D292" s="159">
        <v>10</v>
      </c>
      <c r="E292" s="155">
        <f>+D292*100</f>
        <v>1000</v>
      </c>
    </row>
    <row r="293" ht="16.5" spans="1:5">
      <c r="A293" s="151">
        <v>292</v>
      </c>
      <c r="B293" s="152" t="s">
        <v>1014</v>
      </c>
      <c r="C293" s="156" t="s">
        <v>16629</v>
      </c>
      <c r="D293" s="159">
        <v>10</v>
      </c>
      <c r="E293" s="155">
        <f>+D293*100</f>
        <v>1000</v>
      </c>
    </row>
    <row r="294" ht="16.5" spans="1:5">
      <c r="A294" s="151">
        <v>293</v>
      </c>
      <c r="B294" s="152" t="s">
        <v>1017</v>
      </c>
      <c r="C294" s="153" t="s">
        <v>16629</v>
      </c>
      <c r="D294" s="154">
        <v>10</v>
      </c>
      <c r="E294" s="155">
        <f>+D294*100</f>
        <v>1000</v>
      </c>
    </row>
    <row r="295" ht="16.5" spans="1:5">
      <c r="A295" s="151">
        <v>294</v>
      </c>
      <c r="B295" s="152" t="s">
        <v>1021</v>
      </c>
      <c r="C295" s="160" t="s">
        <v>16630</v>
      </c>
      <c r="D295" s="160">
        <v>10</v>
      </c>
      <c r="E295" s="161">
        <f>SUM(D295*100)</f>
        <v>1000</v>
      </c>
    </row>
    <row r="296" ht="16.5" spans="1:5">
      <c r="A296" s="151">
        <v>295</v>
      </c>
      <c r="B296" s="152" t="s">
        <v>1025</v>
      </c>
      <c r="C296" s="160" t="s">
        <v>16630</v>
      </c>
      <c r="D296" s="165">
        <v>20</v>
      </c>
      <c r="E296" s="161">
        <f>SUM(D296*100)</f>
        <v>2000</v>
      </c>
    </row>
    <row r="297" ht="16.5" spans="1:5">
      <c r="A297" s="151">
        <v>296</v>
      </c>
      <c r="B297" s="152" t="s">
        <v>1028</v>
      </c>
      <c r="C297" s="156" t="s">
        <v>16629</v>
      </c>
      <c r="D297" s="157">
        <v>10</v>
      </c>
      <c r="E297" s="155">
        <f>+D297*100</f>
        <v>1000</v>
      </c>
    </row>
    <row r="298" ht="16.5" spans="1:5">
      <c r="A298" s="151">
        <v>297</v>
      </c>
      <c r="B298" s="152" t="s">
        <v>1031</v>
      </c>
      <c r="C298" s="160" t="s">
        <v>16630</v>
      </c>
      <c r="D298" s="160">
        <v>10</v>
      </c>
      <c r="E298" s="161">
        <f>SUM(D298*100)</f>
        <v>1000</v>
      </c>
    </row>
    <row r="299" ht="16.5" spans="1:5">
      <c r="A299" s="151">
        <v>298</v>
      </c>
      <c r="B299" s="152" t="s">
        <v>1035</v>
      </c>
      <c r="C299" s="160" t="s">
        <v>16630</v>
      </c>
      <c r="D299" s="41">
        <v>1000</v>
      </c>
      <c r="E299" s="161">
        <f>SUM(D299*100)</f>
        <v>100000</v>
      </c>
    </row>
    <row r="300" ht="16.5" spans="1:5">
      <c r="A300" s="151">
        <v>299</v>
      </c>
      <c r="B300" s="152" t="s">
        <v>1038</v>
      </c>
      <c r="C300" s="156" t="s">
        <v>16629</v>
      </c>
      <c r="D300" s="159">
        <v>10</v>
      </c>
      <c r="E300" s="155">
        <f t="shared" ref="E300:E318" si="11">+D300*100</f>
        <v>1000</v>
      </c>
    </row>
    <row r="301" ht="16.5" spans="1:5">
      <c r="A301" s="151">
        <v>300</v>
      </c>
      <c r="B301" s="152" t="s">
        <v>1041</v>
      </c>
      <c r="C301" s="156" t="s">
        <v>16629</v>
      </c>
      <c r="D301" s="159">
        <v>10</v>
      </c>
      <c r="E301" s="155">
        <f t="shared" si="11"/>
        <v>1000</v>
      </c>
    </row>
    <row r="302" ht="16.5" spans="1:5">
      <c r="A302" s="151">
        <v>301</v>
      </c>
      <c r="B302" s="152" t="s">
        <v>1044</v>
      </c>
      <c r="C302" s="153" t="s">
        <v>16629</v>
      </c>
      <c r="D302" s="154">
        <v>10</v>
      </c>
      <c r="E302" s="155">
        <f t="shared" si="11"/>
        <v>1000</v>
      </c>
    </row>
    <row r="303" ht="16.5" spans="1:5">
      <c r="A303" s="151">
        <v>302</v>
      </c>
      <c r="B303" s="152" t="s">
        <v>1048</v>
      </c>
      <c r="C303" s="156" t="s">
        <v>16629</v>
      </c>
      <c r="D303" s="159">
        <v>10</v>
      </c>
      <c r="E303" s="155">
        <f t="shared" si="11"/>
        <v>1000</v>
      </c>
    </row>
    <row r="304" ht="16.5" spans="1:5">
      <c r="A304" s="151">
        <v>303</v>
      </c>
      <c r="B304" s="152" t="s">
        <v>1052</v>
      </c>
      <c r="C304" s="156" t="s">
        <v>16629</v>
      </c>
      <c r="D304" s="157">
        <v>10</v>
      </c>
      <c r="E304" s="155">
        <f t="shared" si="11"/>
        <v>1000</v>
      </c>
    </row>
    <row r="305" ht="16.5" spans="1:5">
      <c r="A305" s="151">
        <v>304</v>
      </c>
      <c r="B305" s="152" t="s">
        <v>1056</v>
      </c>
      <c r="C305" s="153" t="s">
        <v>16629</v>
      </c>
      <c r="D305" s="154">
        <v>10</v>
      </c>
      <c r="E305" s="155">
        <f t="shared" si="11"/>
        <v>1000</v>
      </c>
    </row>
    <row r="306" ht="16.5" spans="1:5">
      <c r="A306" s="151">
        <v>305</v>
      </c>
      <c r="B306" s="152" t="s">
        <v>1059</v>
      </c>
      <c r="C306" s="156" t="s">
        <v>16629</v>
      </c>
      <c r="D306" s="157">
        <v>10</v>
      </c>
      <c r="E306" s="155">
        <f t="shared" si="11"/>
        <v>1000</v>
      </c>
    </row>
    <row r="307" ht="16.5" spans="1:5">
      <c r="A307" s="151">
        <v>306</v>
      </c>
      <c r="B307" s="152" t="s">
        <v>1062</v>
      </c>
      <c r="C307" s="153" t="s">
        <v>16629</v>
      </c>
      <c r="D307" s="154">
        <v>10</v>
      </c>
      <c r="E307" s="155">
        <f t="shared" si="11"/>
        <v>1000</v>
      </c>
    </row>
    <row r="308" ht="16.5" spans="1:5">
      <c r="A308" s="151">
        <v>307</v>
      </c>
      <c r="B308" s="152" t="s">
        <v>1065</v>
      </c>
      <c r="C308" s="156" t="s">
        <v>16629</v>
      </c>
      <c r="D308" s="159">
        <v>10</v>
      </c>
      <c r="E308" s="155">
        <f t="shared" si="11"/>
        <v>1000</v>
      </c>
    </row>
    <row r="309" ht="16.5" spans="1:5">
      <c r="A309" s="151">
        <v>308</v>
      </c>
      <c r="B309" s="152" t="s">
        <v>1068</v>
      </c>
      <c r="C309" s="156" t="s">
        <v>16629</v>
      </c>
      <c r="D309" s="159">
        <v>10</v>
      </c>
      <c r="E309" s="155">
        <f t="shared" si="11"/>
        <v>1000</v>
      </c>
    </row>
    <row r="310" ht="16.5" spans="1:5">
      <c r="A310" s="151">
        <v>309</v>
      </c>
      <c r="B310" s="152" t="s">
        <v>1071</v>
      </c>
      <c r="C310" s="156" t="s">
        <v>16629</v>
      </c>
      <c r="D310" s="157">
        <v>10</v>
      </c>
      <c r="E310" s="155">
        <f t="shared" si="11"/>
        <v>1000</v>
      </c>
    </row>
    <row r="311" ht="16.5" spans="1:5">
      <c r="A311" s="151">
        <v>310</v>
      </c>
      <c r="B311" s="152" t="s">
        <v>1075</v>
      </c>
      <c r="C311" s="153" t="s">
        <v>16629</v>
      </c>
      <c r="D311" s="154">
        <v>10</v>
      </c>
      <c r="E311" s="155">
        <f t="shared" si="11"/>
        <v>1000</v>
      </c>
    </row>
    <row r="312" ht="16.5" spans="1:5">
      <c r="A312" s="151">
        <v>311</v>
      </c>
      <c r="B312" s="152" t="s">
        <v>1078</v>
      </c>
      <c r="C312" s="153" t="s">
        <v>16629</v>
      </c>
      <c r="D312" s="158">
        <v>10</v>
      </c>
      <c r="E312" s="155">
        <f t="shared" si="11"/>
        <v>1000</v>
      </c>
    </row>
    <row r="313" ht="16.5" spans="1:5">
      <c r="A313" s="151">
        <v>312</v>
      </c>
      <c r="B313" s="152" t="s">
        <v>1081</v>
      </c>
      <c r="C313" s="153" t="s">
        <v>16629</v>
      </c>
      <c r="D313" s="154">
        <v>10</v>
      </c>
      <c r="E313" s="155">
        <f t="shared" si="11"/>
        <v>1000</v>
      </c>
    </row>
    <row r="314" ht="16.5" spans="1:5">
      <c r="A314" s="151">
        <v>313</v>
      </c>
      <c r="B314" s="152" t="s">
        <v>1084</v>
      </c>
      <c r="C314" s="156" t="s">
        <v>16629</v>
      </c>
      <c r="D314" s="159">
        <v>10</v>
      </c>
      <c r="E314" s="155">
        <f t="shared" si="11"/>
        <v>1000</v>
      </c>
    </row>
    <row r="315" ht="16.5" spans="1:5">
      <c r="A315" s="151">
        <v>314</v>
      </c>
      <c r="B315" s="152" t="s">
        <v>1088</v>
      </c>
      <c r="C315" s="153" t="s">
        <v>16629</v>
      </c>
      <c r="D315" s="158">
        <v>10</v>
      </c>
      <c r="E315" s="155">
        <f t="shared" si="11"/>
        <v>1000</v>
      </c>
    </row>
    <row r="316" ht="16.5" spans="1:5">
      <c r="A316" s="151">
        <v>315</v>
      </c>
      <c r="B316" s="152" t="s">
        <v>1091</v>
      </c>
      <c r="C316" s="156" t="s">
        <v>16629</v>
      </c>
      <c r="D316" s="157">
        <v>10</v>
      </c>
      <c r="E316" s="155">
        <f t="shared" si="11"/>
        <v>1000</v>
      </c>
    </row>
    <row r="317" ht="16.5" spans="1:5">
      <c r="A317" s="151">
        <v>316</v>
      </c>
      <c r="B317" s="152" t="s">
        <v>1095</v>
      </c>
      <c r="C317" s="153" t="s">
        <v>16629</v>
      </c>
      <c r="D317" s="154">
        <v>10</v>
      </c>
      <c r="E317" s="155">
        <f t="shared" si="11"/>
        <v>1000</v>
      </c>
    </row>
    <row r="318" ht="16.5" spans="1:5">
      <c r="A318" s="151">
        <v>317</v>
      </c>
      <c r="B318" s="152" t="s">
        <v>1099</v>
      </c>
      <c r="C318" s="153" t="s">
        <v>16629</v>
      </c>
      <c r="D318" s="158">
        <v>10</v>
      </c>
      <c r="E318" s="155">
        <f t="shared" si="11"/>
        <v>1000</v>
      </c>
    </row>
    <row r="319" ht="16.5" spans="1:5">
      <c r="A319" s="151">
        <v>318</v>
      </c>
      <c r="B319" s="152" t="s">
        <v>1103</v>
      </c>
      <c r="C319" s="160" t="s">
        <v>16630</v>
      </c>
      <c r="D319" s="160">
        <v>50</v>
      </c>
      <c r="E319" s="161">
        <f>SUM(D319*100)</f>
        <v>5000</v>
      </c>
    </row>
    <row r="320" ht="16.5" spans="1:5">
      <c r="A320" s="151">
        <v>319</v>
      </c>
      <c r="B320" s="152" t="s">
        <v>1107</v>
      </c>
      <c r="C320" s="153" t="s">
        <v>16629</v>
      </c>
      <c r="D320" s="154">
        <v>10</v>
      </c>
      <c r="E320" s="155">
        <f>+D320*100</f>
        <v>1000</v>
      </c>
    </row>
    <row r="321" ht="16.5" spans="1:5">
      <c r="A321" s="151">
        <v>320</v>
      </c>
      <c r="B321" s="152" t="s">
        <v>1110</v>
      </c>
      <c r="C321" s="156" t="s">
        <v>16629</v>
      </c>
      <c r="D321" s="157">
        <v>10</v>
      </c>
      <c r="E321" s="155">
        <f>+D321*100</f>
        <v>1000</v>
      </c>
    </row>
    <row r="322" ht="16.5" spans="1:5">
      <c r="A322" s="151">
        <v>321</v>
      </c>
      <c r="B322" s="152" t="s">
        <v>1114</v>
      </c>
      <c r="C322" s="153" t="s">
        <v>16629</v>
      </c>
      <c r="D322" s="154">
        <v>10</v>
      </c>
      <c r="E322" s="155">
        <f>+D322*100</f>
        <v>1000</v>
      </c>
    </row>
    <row r="323" ht="16.5" spans="1:5">
      <c r="A323" s="151">
        <v>322</v>
      </c>
      <c r="B323" s="152" t="s">
        <v>1118</v>
      </c>
      <c r="C323" s="156" t="s">
        <v>16629</v>
      </c>
      <c r="D323" s="159">
        <v>10</v>
      </c>
      <c r="E323" s="155">
        <f>+D323*100</f>
        <v>1000</v>
      </c>
    </row>
    <row r="324" ht="16.5" spans="1:5">
      <c r="A324" s="151">
        <v>323</v>
      </c>
      <c r="B324" s="152" t="s">
        <v>1122</v>
      </c>
      <c r="C324" s="156" t="s">
        <v>16629</v>
      </c>
      <c r="D324" s="159">
        <v>10</v>
      </c>
      <c r="E324" s="155">
        <f>+D324*100</f>
        <v>1000</v>
      </c>
    </row>
    <row r="325" ht="16.5" spans="1:5">
      <c r="A325" s="151">
        <v>324</v>
      </c>
      <c r="B325" s="152" t="s">
        <v>1125</v>
      </c>
      <c r="C325" s="160" t="s">
        <v>16630</v>
      </c>
      <c r="D325" s="160">
        <v>10</v>
      </c>
      <c r="E325" s="161">
        <f>SUM(D325*100)</f>
        <v>1000</v>
      </c>
    </row>
    <row r="326" ht="16.5" spans="1:5">
      <c r="A326" s="151">
        <v>325</v>
      </c>
      <c r="B326" s="152" t="s">
        <v>1129</v>
      </c>
      <c r="C326" s="156" t="s">
        <v>16629</v>
      </c>
      <c r="D326" s="159">
        <v>10</v>
      </c>
      <c r="E326" s="155">
        <f t="shared" ref="E326:E333" si="12">+D326*100</f>
        <v>1000</v>
      </c>
    </row>
    <row r="327" ht="16.5" spans="1:5">
      <c r="A327" s="151">
        <v>326</v>
      </c>
      <c r="B327" s="152" t="s">
        <v>1133</v>
      </c>
      <c r="C327" s="156" t="s">
        <v>16629</v>
      </c>
      <c r="D327" s="157">
        <v>10</v>
      </c>
      <c r="E327" s="155">
        <f t="shared" si="12"/>
        <v>1000</v>
      </c>
    </row>
    <row r="328" ht="16.5" spans="1:5">
      <c r="A328" s="151">
        <v>327</v>
      </c>
      <c r="B328" s="152" t="s">
        <v>1136</v>
      </c>
      <c r="C328" s="156" t="s">
        <v>16629</v>
      </c>
      <c r="D328" s="157">
        <v>10</v>
      </c>
      <c r="E328" s="155">
        <f t="shared" si="12"/>
        <v>1000</v>
      </c>
    </row>
    <row r="329" ht="16.5" spans="1:5">
      <c r="A329" s="151">
        <v>328</v>
      </c>
      <c r="B329" s="152" t="s">
        <v>1140</v>
      </c>
      <c r="C329" s="156" t="s">
        <v>16629</v>
      </c>
      <c r="D329" s="159">
        <v>10</v>
      </c>
      <c r="E329" s="155">
        <f t="shared" si="12"/>
        <v>1000</v>
      </c>
    </row>
    <row r="330" ht="16.5" spans="1:5">
      <c r="A330" s="151">
        <v>329</v>
      </c>
      <c r="B330" s="152" t="s">
        <v>1144</v>
      </c>
      <c r="C330" s="156" t="s">
        <v>16629</v>
      </c>
      <c r="D330" s="159">
        <v>10</v>
      </c>
      <c r="E330" s="155">
        <f t="shared" si="12"/>
        <v>1000</v>
      </c>
    </row>
    <row r="331" ht="16.5" spans="1:5">
      <c r="A331" s="151">
        <v>330</v>
      </c>
      <c r="B331" s="152" t="s">
        <v>1147</v>
      </c>
      <c r="C331" s="153" t="s">
        <v>16629</v>
      </c>
      <c r="D331" s="158">
        <v>10</v>
      </c>
      <c r="E331" s="155">
        <f t="shared" si="12"/>
        <v>1000</v>
      </c>
    </row>
    <row r="332" ht="16.5" spans="1:5">
      <c r="A332" s="151">
        <v>331</v>
      </c>
      <c r="B332" s="152" t="s">
        <v>1150</v>
      </c>
      <c r="C332" s="156" t="s">
        <v>16629</v>
      </c>
      <c r="D332" s="159">
        <v>10</v>
      </c>
      <c r="E332" s="155">
        <f t="shared" si="12"/>
        <v>1000</v>
      </c>
    </row>
    <row r="333" ht="16.5" spans="1:5">
      <c r="A333" s="151">
        <v>332</v>
      </c>
      <c r="B333" s="152" t="s">
        <v>1153</v>
      </c>
      <c r="C333" s="156" t="s">
        <v>16629</v>
      </c>
      <c r="D333" s="159">
        <v>10</v>
      </c>
      <c r="E333" s="155">
        <f t="shared" si="12"/>
        <v>1000</v>
      </c>
    </row>
    <row r="334" ht="16.5" spans="1:5">
      <c r="A334" s="151">
        <v>333</v>
      </c>
      <c r="B334" s="152" t="s">
        <v>1157</v>
      </c>
      <c r="C334" s="160" t="s">
        <v>16630</v>
      </c>
      <c r="D334" s="160">
        <v>200</v>
      </c>
      <c r="E334" s="161">
        <f>SUM(D334*100)</f>
        <v>20000</v>
      </c>
    </row>
    <row r="335" ht="16.5" spans="1:5">
      <c r="A335" s="151">
        <v>334</v>
      </c>
      <c r="B335" s="152" t="s">
        <v>1161</v>
      </c>
      <c r="C335" s="156" t="s">
        <v>16629</v>
      </c>
      <c r="D335" s="159">
        <v>10</v>
      </c>
      <c r="E335" s="155">
        <f>+D335*100</f>
        <v>1000</v>
      </c>
    </row>
    <row r="336" ht="16.5" spans="1:5">
      <c r="A336" s="151">
        <v>335</v>
      </c>
      <c r="B336" s="152" t="s">
        <v>1164</v>
      </c>
      <c r="C336" s="156" t="s">
        <v>16629</v>
      </c>
      <c r="D336" s="159">
        <v>10</v>
      </c>
      <c r="E336" s="155">
        <f>+D336*100</f>
        <v>1000</v>
      </c>
    </row>
    <row r="337" ht="16.5" spans="1:5">
      <c r="A337" s="151">
        <v>336</v>
      </c>
      <c r="B337" s="152" t="s">
        <v>1168</v>
      </c>
      <c r="C337" s="156" t="s">
        <v>16629</v>
      </c>
      <c r="D337" s="159">
        <v>10</v>
      </c>
      <c r="E337" s="155">
        <f>+D337*100</f>
        <v>1000</v>
      </c>
    </row>
    <row r="338" ht="16.5" spans="1:5">
      <c r="A338" s="151">
        <v>337</v>
      </c>
      <c r="B338" s="152" t="s">
        <v>1172</v>
      </c>
      <c r="C338" s="160" t="s">
        <v>16630</v>
      </c>
      <c r="D338" s="160">
        <v>10</v>
      </c>
      <c r="E338" s="161">
        <f>SUM(D338*100)</f>
        <v>1000</v>
      </c>
    </row>
    <row r="339" ht="16.5" spans="1:5">
      <c r="A339" s="151">
        <v>338</v>
      </c>
      <c r="B339" s="152" t="s">
        <v>1176</v>
      </c>
      <c r="C339" s="156" t="s">
        <v>16629</v>
      </c>
      <c r="D339" s="157">
        <v>10</v>
      </c>
      <c r="E339" s="155">
        <f>+D339*100</f>
        <v>1000</v>
      </c>
    </row>
    <row r="340" ht="16.5" spans="1:5">
      <c r="A340" s="151">
        <v>339</v>
      </c>
      <c r="B340" s="152" t="s">
        <v>1180</v>
      </c>
      <c r="C340" s="162" t="s">
        <v>16631</v>
      </c>
      <c r="D340" s="163">
        <v>1000</v>
      </c>
      <c r="E340" s="163">
        <f>D340*100</f>
        <v>100000</v>
      </c>
    </row>
    <row r="341" ht="16.5" spans="1:5">
      <c r="A341" s="151">
        <v>340</v>
      </c>
      <c r="B341" s="152" t="s">
        <v>1180</v>
      </c>
      <c r="C341" s="162" t="s">
        <v>16633</v>
      </c>
      <c r="D341" s="171">
        <f>G341/100</f>
        <v>0</v>
      </c>
      <c r="E341" s="171">
        <f>G341</f>
        <v>0</v>
      </c>
    </row>
    <row r="342" ht="16.5" spans="1:5">
      <c r="A342" s="151">
        <v>341</v>
      </c>
      <c r="B342" s="152" t="s">
        <v>1185</v>
      </c>
      <c r="C342" s="153" t="s">
        <v>16629</v>
      </c>
      <c r="D342" s="154">
        <v>10</v>
      </c>
      <c r="E342" s="155">
        <f>+D342*100</f>
        <v>1000</v>
      </c>
    </row>
    <row r="343" ht="16.5" spans="1:5">
      <c r="A343" s="151">
        <v>342</v>
      </c>
      <c r="B343" s="152" t="s">
        <v>1188</v>
      </c>
      <c r="C343" s="153" t="s">
        <v>16629</v>
      </c>
      <c r="D343" s="154">
        <v>10</v>
      </c>
      <c r="E343" s="155">
        <f>+D343*100</f>
        <v>1000</v>
      </c>
    </row>
    <row r="344" ht="16.5" spans="1:5">
      <c r="A344" s="151">
        <v>343</v>
      </c>
      <c r="B344" s="152" t="s">
        <v>1192</v>
      </c>
      <c r="C344" s="160" t="s">
        <v>16630</v>
      </c>
      <c r="D344" s="41">
        <v>500</v>
      </c>
      <c r="E344" s="161">
        <f>SUM(D344*100)</f>
        <v>50000</v>
      </c>
    </row>
    <row r="345" ht="16.5" spans="1:5">
      <c r="A345" s="151">
        <v>344</v>
      </c>
      <c r="B345" s="152" t="s">
        <v>1195</v>
      </c>
      <c r="C345" s="153" t="s">
        <v>16629</v>
      </c>
      <c r="D345" s="154">
        <v>10</v>
      </c>
      <c r="E345" s="155">
        <f t="shared" ref="E345:E351" si="13">+D345*100</f>
        <v>1000</v>
      </c>
    </row>
    <row r="346" ht="16.5" spans="1:5">
      <c r="A346" s="151">
        <v>345</v>
      </c>
      <c r="B346" s="152" t="s">
        <v>1199</v>
      </c>
      <c r="C346" s="156" t="s">
        <v>16629</v>
      </c>
      <c r="D346" s="154">
        <v>10</v>
      </c>
      <c r="E346" s="155">
        <f t="shared" si="13"/>
        <v>1000</v>
      </c>
    </row>
    <row r="347" ht="16.5" spans="1:5">
      <c r="A347" s="151">
        <v>346</v>
      </c>
      <c r="B347" s="152" t="s">
        <v>1203</v>
      </c>
      <c r="C347" s="156" t="s">
        <v>16629</v>
      </c>
      <c r="D347" s="159">
        <v>10</v>
      </c>
      <c r="E347" s="155">
        <f t="shared" si="13"/>
        <v>1000</v>
      </c>
    </row>
    <row r="348" ht="16.5" spans="1:5">
      <c r="A348" s="151">
        <v>347</v>
      </c>
      <c r="B348" s="152" t="s">
        <v>1206</v>
      </c>
      <c r="C348" s="153" t="s">
        <v>16629</v>
      </c>
      <c r="D348" s="158">
        <v>10</v>
      </c>
      <c r="E348" s="155">
        <f t="shared" si="13"/>
        <v>1000</v>
      </c>
    </row>
    <row r="349" ht="16.5" spans="1:5">
      <c r="A349" s="151">
        <v>348</v>
      </c>
      <c r="B349" s="152" t="s">
        <v>1210</v>
      </c>
      <c r="C349" s="156" t="s">
        <v>16629</v>
      </c>
      <c r="D349" s="159">
        <v>10</v>
      </c>
      <c r="E349" s="155">
        <f t="shared" si="13"/>
        <v>1000</v>
      </c>
    </row>
    <row r="350" ht="16.5" spans="1:5">
      <c r="A350" s="151">
        <v>349</v>
      </c>
      <c r="B350" s="152" t="s">
        <v>1214</v>
      </c>
      <c r="C350" s="153" t="s">
        <v>16629</v>
      </c>
      <c r="D350" s="154">
        <v>10</v>
      </c>
      <c r="E350" s="155">
        <f t="shared" si="13"/>
        <v>1000</v>
      </c>
    </row>
    <row r="351" ht="16.5" spans="1:5">
      <c r="A351" s="151">
        <v>350</v>
      </c>
      <c r="B351" s="152" t="s">
        <v>1219</v>
      </c>
      <c r="C351" s="156" t="s">
        <v>16629</v>
      </c>
      <c r="D351" s="159">
        <v>10</v>
      </c>
      <c r="E351" s="155">
        <f t="shared" si="13"/>
        <v>1000</v>
      </c>
    </row>
    <row r="352" ht="16.5" spans="1:5">
      <c r="A352" s="151">
        <v>351</v>
      </c>
      <c r="B352" s="152" t="s">
        <v>1223</v>
      </c>
      <c r="C352" s="160" t="s">
        <v>16630</v>
      </c>
      <c r="D352" s="160">
        <v>100</v>
      </c>
      <c r="E352" s="161">
        <f>SUM(D352*100)</f>
        <v>10000</v>
      </c>
    </row>
    <row r="353" ht="16.5" spans="1:5">
      <c r="A353" s="151">
        <v>352</v>
      </c>
      <c r="B353" s="152" t="s">
        <v>1226</v>
      </c>
      <c r="C353" s="153" t="s">
        <v>16629</v>
      </c>
      <c r="D353" s="154">
        <v>10</v>
      </c>
      <c r="E353" s="155">
        <f>+D353*100</f>
        <v>1000</v>
      </c>
    </row>
    <row r="354" ht="16.5" spans="1:5">
      <c r="A354" s="151">
        <v>353</v>
      </c>
      <c r="B354" s="152" t="s">
        <v>1229</v>
      </c>
      <c r="C354" s="156" t="s">
        <v>16629</v>
      </c>
      <c r="D354" s="159">
        <v>10</v>
      </c>
      <c r="E354" s="155">
        <f>+D354*100</f>
        <v>1000</v>
      </c>
    </row>
    <row r="355" ht="16.5" spans="1:5">
      <c r="A355" s="151">
        <v>354</v>
      </c>
      <c r="B355" s="152" t="s">
        <v>1232</v>
      </c>
      <c r="C355" s="160" t="s">
        <v>16630</v>
      </c>
      <c r="D355" s="160">
        <v>100</v>
      </c>
      <c r="E355" s="161">
        <f>SUM(D355*100)</f>
        <v>10000</v>
      </c>
    </row>
    <row r="356" ht="16.5" spans="1:5">
      <c r="A356" s="151">
        <v>355</v>
      </c>
      <c r="B356" s="152" t="s">
        <v>1236</v>
      </c>
      <c r="C356" s="153" t="s">
        <v>16629</v>
      </c>
      <c r="D356" s="154">
        <v>10</v>
      </c>
      <c r="E356" s="155">
        <f>+D356*100</f>
        <v>1000</v>
      </c>
    </row>
    <row r="357" ht="16.5" spans="1:5">
      <c r="A357" s="151">
        <v>356</v>
      </c>
      <c r="B357" s="152" t="s">
        <v>1239</v>
      </c>
      <c r="C357" s="153" t="s">
        <v>16629</v>
      </c>
      <c r="D357" s="154">
        <v>10</v>
      </c>
      <c r="E357" s="155">
        <f>+D357*100</f>
        <v>1000</v>
      </c>
    </row>
    <row r="358" ht="16.5" spans="1:5">
      <c r="A358" s="151">
        <v>357</v>
      </c>
      <c r="B358" s="152" t="s">
        <v>1242</v>
      </c>
      <c r="C358" s="160" t="s">
        <v>16630</v>
      </c>
      <c r="D358" s="172">
        <v>100</v>
      </c>
      <c r="E358" s="161">
        <f>+D358*100</f>
        <v>10000</v>
      </c>
    </row>
    <row r="359" ht="16.5" spans="1:5">
      <c r="A359" s="151">
        <v>358</v>
      </c>
      <c r="B359" s="152" t="s">
        <v>1245</v>
      </c>
      <c r="C359" s="153" t="s">
        <v>16629</v>
      </c>
      <c r="D359" s="154">
        <v>10</v>
      </c>
      <c r="E359" s="155">
        <f>+D359*100</f>
        <v>1000</v>
      </c>
    </row>
    <row r="360" ht="16.5" spans="1:5">
      <c r="A360" s="151">
        <v>359</v>
      </c>
      <c r="B360" s="152" t="s">
        <v>1248</v>
      </c>
      <c r="C360" s="160" t="s">
        <v>16630</v>
      </c>
      <c r="D360" s="160">
        <v>100</v>
      </c>
      <c r="E360" s="161">
        <f>SUM(D360*100)</f>
        <v>10000</v>
      </c>
    </row>
    <row r="361" ht="16.5" spans="1:5">
      <c r="A361" s="151">
        <v>360</v>
      </c>
      <c r="B361" s="152" t="s">
        <v>1251</v>
      </c>
      <c r="C361" s="156" t="s">
        <v>16629</v>
      </c>
      <c r="D361" s="159">
        <v>10</v>
      </c>
      <c r="E361" s="155">
        <f>+D361*100</f>
        <v>1000</v>
      </c>
    </row>
    <row r="362" ht="16.5" spans="1:5">
      <c r="A362" s="151">
        <v>361</v>
      </c>
      <c r="B362" s="152" t="s">
        <v>1254</v>
      </c>
      <c r="C362" s="153" t="s">
        <v>16629</v>
      </c>
      <c r="D362" s="158">
        <v>10</v>
      </c>
      <c r="E362" s="155">
        <f>+D362*100</f>
        <v>1000</v>
      </c>
    </row>
    <row r="363" ht="16.5" spans="1:5">
      <c r="A363" s="151">
        <v>362</v>
      </c>
      <c r="B363" s="152" t="s">
        <v>1257</v>
      </c>
      <c r="C363" s="153" t="s">
        <v>16629</v>
      </c>
      <c r="D363" s="154">
        <v>10</v>
      </c>
      <c r="E363" s="155">
        <f>+D363*100</f>
        <v>1000</v>
      </c>
    </row>
    <row r="364" ht="16.5" spans="1:5">
      <c r="A364" s="151">
        <v>363</v>
      </c>
      <c r="B364" s="152" t="s">
        <v>1261</v>
      </c>
      <c r="C364" s="160" t="s">
        <v>16630</v>
      </c>
      <c r="D364" s="41">
        <v>20</v>
      </c>
      <c r="E364" s="161">
        <f>SUM(D364*100)</f>
        <v>2000</v>
      </c>
    </row>
    <row r="365" ht="16.5" spans="1:5">
      <c r="A365" s="151">
        <v>364</v>
      </c>
      <c r="B365" s="152" t="s">
        <v>1264</v>
      </c>
      <c r="C365" s="156" t="s">
        <v>16629</v>
      </c>
      <c r="D365" s="157">
        <v>10</v>
      </c>
      <c r="E365" s="155">
        <f>+D365*100</f>
        <v>1000</v>
      </c>
    </row>
    <row r="366" ht="16.5" spans="1:5">
      <c r="A366" s="151">
        <v>365</v>
      </c>
      <c r="B366" s="152" t="s">
        <v>1267</v>
      </c>
      <c r="C366" s="153" t="s">
        <v>16629</v>
      </c>
      <c r="D366" s="154">
        <v>10</v>
      </c>
      <c r="E366" s="155">
        <f>+D366*100</f>
        <v>1000</v>
      </c>
    </row>
    <row r="367" ht="16.5" spans="1:5">
      <c r="A367" s="151">
        <v>366</v>
      </c>
      <c r="B367" s="152" t="s">
        <v>1270</v>
      </c>
      <c r="C367" s="156" t="s">
        <v>16629</v>
      </c>
      <c r="D367" s="159">
        <v>10</v>
      </c>
      <c r="E367" s="155">
        <f>+D367*100</f>
        <v>1000</v>
      </c>
    </row>
    <row r="368" ht="16.5" spans="1:5">
      <c r="A368" s="151">
        <v>367</v>
      </c>
      <c r="B368" s="152" t="s">
        <v>1273</v>
      </c>
      <c r="C368" s="153" t="s">
        <v>16629</v>
      </c>
      <c r="D368" s="154">
        <v>10</v>
      </c>
      <c r="E368" s="155">
        <f>+D368*100</f>
        <v>1000</v>
      </c>
    </row>
    <row r="369" ht="16.5" spans="1:5">
      <c r="A369" s="151">
        <v>368</v>
      </c>
      <c r="B369" s="152" t="s">
        <v>1277</v>
      </c>
      <c r="C369" s="153" t="s">
        <v>16629</v>
      </c>
      <c r="D369" s="154">
        <v>10</v>
      </c>
      <c r="E369" s="155">
        <f>SUM(D369*100)</f>
        <v>1000</v>
      </c>
    </row>
    <row r="370" ht="16.5" spans="1:5">
      <c r="A370" s="151">
        <v>369</v>
      </c>
      <c r="B370" s="152" t="s">
        <v>1282</v>
      </c>
      <c r="C370" s="162" t="s">
        <v>16631</v>
      </c>
      <c r="D370" s="163">
        <v>1000</v>
      </c>
      <c r="E370" s="163">
        <f>D370*100</f>
        <v>100000</v>
      </c>
    </row>
    <row r="371" ht="16.5" spans="1:5">
      <c r="A371" s="151">
        <v>370</v>
      </c>
      <c r="B371" s="152" t="s">
        <v>1287</v>
      </c>
      <c r="C371" s="153" t="s">
        <v>16629</v>
      </c>
      <c r="D371" s="158">
        <v>10</v>
      </c>
      <c r="E371" s="155">
        <f>+D371*100</f>
        <v>1000</v>
      </c>
    </row>
    <row r="372" ht="16.5" spans="1:5">
      <c r="A372" s="151">
        <v>371</v>
      </c>
      <c r="B372" s="152" t="s">
        <v>1291</v>
      </c>
      <c r="C372" s="156" t="s">
        <v>16629</v>
      </c>
      <c r="D372" s="159">
        <v>10</v>
      </c>
      <c r="E372" s="155">
        <f>+D372*100</f>
        <v>1000</v>
      </c>
    </row>
    <row r="373" ht="16.5" spans="1:5">
      <c r="A373" s="151">
        <v>372</v>
      </c>
      <c r="B373" s="152" t="s">
        <v>1294</v>
      </c>
      <c r="C373" s="156" t="s">
        <v>16629</v>
      </c>
      <c r="D373" s="157">
        <v>10</v>
      </c>
      <c r="E373" s="155">
        <f>+D373*100</f>
        <v>1000</v>
      </c>
    </row>
    <row r="374" ht="16.5" spans="1:5">
      <c r="A374" s="151">
        <v>373</v>
      </c>
      <c r="B374" s="152" t="s">
        <v>1297</v>
      </c>
      <c r="C374" s="162" t="s">
        <v>16631</v>
      </c>
      <c r="D374" s="163">
        <v>1000</v>
      </c>
      <c r="E374" s="163">
        <f>D374*100</f>
        <v>100000</v>
      </c>
    </row>
    <row r="375" ht="16.5" spans="1:5">
      <c r="A375" s="151">
        <v>374</v>
      </c>
      <c r="B375" s="152" t="s">
        <v>1302</v>
      </c>
      <c r="C375" s="156" t="s">
        <v>16629</v>
      </c>
      <c r="D375" s="159">
        <v>10</v>
      </c>
      <c r="E375" s="155">
        <f>+D375*100</f>
        <v>1000</v>
      </c>
    </row>
    <row r="376" ht="16.5" spans="1:5">
      <c r="A376" s="151">
        <v>375</v>
      </c>
      <c r="B376" s="152" t="s">
        <v>1306</v>
      </c>
      <c r="C376" s="153" t="s">
        <v>16629</v>
      </c>
      <c r="D376" s="154">
        <v>10</v>
      </c>
      <c r="E376" s="155">
        <f>+D376*100</f>
        <v>1000</v>
      </c>
    </row>
    <row r="377" ht="16.5" spans="1:5">
      <c r="A377" s="151">
        <v>376</v>
      </c>
      <c r="B377" s="152" t="s">
        <v>1309</v>
      </c>
      <c r="C377" s="153" t="s">
        <v>16629</v>
      </c>
      <c r="D377" s="154">
        <v>10</v>
      </c>
      <c r="E377" s="155">
        <f>+D377*100</f>
        <v>1000</v>
      </c>
    </row>
    <row r="378" ht="16.5" spans="1:5">
      <c r="A378" s="151">
        <v>377</v>
      </c>
      <c r="B378" s="152" t="s">
        <v>1312</v>
      </c>
      <c r="C378" s="153" t="s">
        <v>16629</v>
      </c>
      <c r="D378" s="154">
        <v>10</v>
      </c>
      <c r="E378" s="155">
        <f>+D378*100</f>
        <v>1000</v>
      </c>
    </row>
    <row r="379" ht="16.5" spans="1:5">
      <c r="A379" s="151">
        <v>378</v>
      </c>
      <c r="B379" s="152" t="s">
        <v>1315</v>
      </c>
      <c r="C379" s="166" t="s">
        <v>16632</v>
      </c>
      <c r="D379" s="166">
        <f>IFERROR(__xludf.DUMMYFUNCTION("""COMPUTED_VALUE"""),15000)</f>
        <v>15000</v>
      </c>
      <c r="E379" s="168">
        <f>IFERROR(__xludf.DUMMYFUNCTION("""COMPUTED_VALUE"""),1500000)</f>
        <v>1500000</v>
      </c>
    </row>
    <row r="380" ht="16.5" spans="1:5">
      <c r="A380" s="151">
        <v>379</v>
      </c>
      <c r="B380" s="152" t="s">
        <v>1316</v>
      </c>
      <c r="C380" s="156" t="s">
        <v>16629</v>
      </c>
      <c r="D380" s="159">
        <v>10</v>
      </c>
      <c r="E380" s="155">
        <f>+D380*100</f>
        <v>1000</v>
      </c>
    </row>
    <row r="381" ht="16.5" spans="1:5">
      <c r="A381" s="151">
        <v>380</v>
      </c>
      <c r="B381" s="152" t="s">
        <v>1319</v>
      </c>
      <c r="C381" s="153" t="s">
        <v>16629</v>
      </c>
      <c r="D381" s="154">
        <v>10</v>
      </c>
      <c r="E381" s="155">
        <f>+D381*100</f>
        <v>1000</v>
      </c>
    </row>
    <row r="382" ht="16.5" spans="1:5">
      <c r="A382" s="151">
        <v>381</v>
      </c>
      <c r="B382" s="152" t="s">
        <v>1322</v>
      </c>
      <c r="C382" s="160" t="s">
        <v>16630</v>
      </c>
      <c r="D382" s="160">
        <v>100</v>
      </c>
      <c r="E382" s="161">
        <f>SUM(D382*100)</f>
        <v>10000</v>
      </c>
    </row>
    <row r="383" ht="16.5" spans="1:5">
      <c r="A383" s="151">
        <v>382</v>
      </c>
      <c r="B383" s="152" t="s">
        <v>1325</v>
      </c>
      <c r="C383" s="156" t="s">
        <v>16629</v>
      </c>
      <c r="D383" s="154">
        <v>10</v>
      </c>
      <c r="E383" s="155">
        <f>+D383*100</f>
        <v>1000</v>
      </c>
    </row>
    <row r="384" ht="16.5" spans="1:5">
      <c r="A384" s="151">
        <v>383</v>
      </c>
      <c r="B384" s="152" t="s">
        <v>1329</v>
      </c>
      <c r="C384" s="156" t="s">
        <v>16629</v>
      </c>
      <c r="D384" s="159">
        <v>10</v>
      </c>
      <c r="E384" s="155">
        <f>+D384*100</f>
        <v>1000</v>
      </c>
    </row>
    <row r="385" ht="16.5" spans="1:5">
      <c r="A385" s="151">
        <v>384</v>
      </c>
      <c r="B385" s="152" t="s">
        <v>1332</v>
      </c>
      <c r="C385" s="160" t="s">
        <v>16630</v>
      </c>
      <c r="D385" s="160">
        <v>1000</v>
      </c>
      <c r="E385" s="161">
        <f>SUM(D385*100)</f>
        <v>100000</v>
      </c>
    </row>
    <row r="386" ht="16.5" spans="1:5">
      <c r="A386" s="151">
        <v>385</v>
      </c>
      <c r="B386" s="152" t="s">
        <v>1336</v>
      </c>
      <c r="C386" s="153" t="s">
        <v>16629</v>
      </c>
      <c r="D386" s="158">
        <v>10</v>
      </c>
      <c r="E386" s="155">
        <f t="shared" ref="E386:E395" si="14">+D386*100</f>
        <v>1000</v>
      </c>
    </row>
    <row r="387" ht="16.5" spans="1:5">
      <c r="A387" s="151">
        <v>386</v>
      </c>
      <c r="B387" s="152" t="s">
        <v>1339</v>
      </c>
      <c r="C387" s="156" t="s">
        <v>16629</v>
      </c>
      <c r="D387" s="157">
        <v>10</v>
      </c>
      <c r="E387" s="155">
        <f t="shared" si="14"/>
        <v>1000</v>
      </c>
    </row>
    <row r="388" ht="16.5" spans="1:5">
      <c r="A388" s="151">
        <v>387</v>
      </c>
      <c r="B388" s="152" t="s">
        <v>1342</v>
      </c>
      <c r="C388" s="156" t="s">
        <v>16629</v>
      </c>
      <c r="D388" s="159">
        <v>10</v>
      </c>
      <c r="E388" s="155">
        <f t="shared" si="14"/>
        <v>1000</v>
      </c>
    </row>
    <row r="389" ht="16.5" spans="1:5">
      <c r="A389" s="151">
        <v>388</v>
      </c>
      <c r="B389" s="152" t="s">
        <v>1346</v>
      </c>
      <c r="C389" s="156" t="s">
        <v>16629</v>
      </c>
      <c r="D389" s="159">
        <v>10</v>
      </c>
      <c r="E389" s="155">
        <f t="shared" si="14"/>
        <v>1000</v>
      </c>
    </row>
    <row r="390" ht="16.5" spans="1:5">
      <c r="A390" s="151">
        <v>389</v>
      </c>
      <c r="B390" s="152" t="s">
        <v>1350</v>
      </c>
      <c r="C390" s="153" t="s">
        <v>16629</v>
      </c>
      <c r="D390" s="154">
        <v>10</v>
      </c>
      <c r="E390" s="155">
        <f t="shared" si="14"/>
        <v>1000</v>
      </c>
    </row>
    <row r="391" ht="16.5" spans="1:5">
      <c r="A391" s="151">
        <v>390</v>
      </c>
      <c r="B391" s="152" t="s">
        <v>1353</v>
      </c>
      <c r="C391" s="156" t="s">
        <v>16629</v>
      </c>
      <c r="D391" s="157">
        <v>10</v>
      </c>
      <c r="E391" s="155">
        <f t="shared" si="14"/>
        <v>1000</v>
      </c>
    </row>
    <row r="392" ht="16.5" spans="1:5">
      <c r="A392" s="151">
        <v>391</v>
      </c>
      <c r="B392" s="152" t="s">
        <v>1357</v>
      </c>
      <c r="C392" s="153" t="s">
        <v>16629</v>
      </c>
      <c r="D392" s="158">
        <v>10</v>
      </c>
      <c r="E392" s="155">
        <f t="shared" si="14"/>
        <v>1000</v>
      </c>
    </row>
    <row r="393" ht="16.5" spans="1:5">
      <c r="A393" s="151">
        <v>392</v>
      </c>
      <c r="B393" s="152" t="s">
        <v>1360</v>
      </c>
      <c r="C393" s="153" t="s">
        <v>16629</v>
      </c>
      <c r="D393" s="154">
        <v>10</v>
      </c>
      <c r="E393" s="155">
        <f t="shared" si="14"/>
        <v>1000</v>
      </c>
    </row>
    <row r="394" ht="16.5" spans="1:5">
      <c r="A394" s="151">
        <v>393</v>
      </c>
      <c r="B394" s="152" t="s">
        <v>1364</v>
      </c>
      <c r="C394" s="156" t="s">
        <v>16629</v>
      </c>
      <c r="D394" s="159">
        <v>10</v>
      </c>
      <c r="E394" s="155">
        <f t="shared" si="14"/>
        <v>1000</v>
      </c>
    </row>
    <row r="395" ht="16.5" spans="1:5">
      <c r="A395" s="151">
        <v>394</v>
      </c>
      <c r="B395" s="152" t="s">
        <v>1367</v>
      </c>
      <c r="C395" s="153" t="s">
        <v>16629</v>
      </c>
      <c r="D395" s="158">
        <v>10</v>
      </c>
      <c r="E395" s="155">
        <f t="shared" si="14"/>
        <v>1000</v>
      </c>
    </row>
    <row r="396" ht="16.5" spans="1:5">
      <c r="A396" s="151">
        <v>395</v>
      </c>
      <c r="B396" s="152" t="s">
        <v>1370</v>
      </c>
      <c r="C396" s="162" t="s">
        <v>16631</v>
      </c>
      <c r="D396" s="163">
        <v>1000</v>
      </c>
      <c r="E396" s="163">
        <f>D396*100</f>
        <v>100000</v>
      </c>
    </row>
    <row r="397" ht="16.5" spans="1:5">
      <c r="A397" s="151">
        <v>396</v>
      </c>
      <c r="B397" s="152" t="s">
        <v>1375</v>
      </c>
      <c r="C397" s="156" t="s">
        <v>16629</v>
      </c>
      <c r="D397" s="159">
        <v>10</v>
      </c>
      <c r="E397" s="155">
        <f>+D397*100</f>
        <v>1000</v>
      </c>
    </row>
    <row r="398" ht="16.5" spans="1:5">
      <c r="A398" s="151">
        <v>397</v>
      </c>
      <c r="B398" s="152" t="s">
        <v>1378</v>
      </c>
      <c r="C398" s="160" t="s">
        <v>16630</v>
      </c>
      <c r="D398" s="165">
        <v>10</v>
      </c>
      <c r="E398" s="161">
        <f>SUM(D398*100)</f>
        <v>1000</v>
      </c>
    </row>
    <row r="399" ht="16.5" spans="1:5">
      <c r="A399" s="151">
        <v>398</v>
      </c>
      <c r="B399" s="152" t="s">
        <v>1381</v>
      </c>
      <c r="C399" s="156" t="s">
        <v>16629</v>
      </c>
      <c r="D399" s="159">
        <v>10</v>
      </c>
      <c r="E399" s="155">
        <f>+D399*100</f>
        <v>1000</v>
      </c>
    </row>
    <row r="400" ht="16.5" spans="1:5">
      <c r="A400" s="151">
        <v>399</v>
      </c>
      <c r="B400" s="152" t="s">
        <v>1384</v>
      </c>
      <c r="C400" s="153" t="s">
        <v>16629</v>
      </c>
      <c r="D400" s="154">
        <v>10</v>
      </c>
      <c r="E400" s="155">
        <f>+D400*100</f>
        <v>1000</v>
      </c>
    </row>
    <row r="401" ht="16.5" spans="1:5">
      <c r="A401" s="151">
        <v>400</v>
      </c>
      <c r="B401" s="152" t="s">
        <v>1388</v>
      </c>
      <c r="C401" s="160" t="s">
        <v>16630</v>
      </c>
      <c r="D401" s="160">
        <v>120</v>
      </c>
      <c r="E401" s="161">
        <f>SUM(D401*100)</f>
        <v>12000</v>
      </c>
    </row>
    <row r="402" ht="16.5" spans="1:5">
      <c r="A402" s="151">
        <v>401</v>
      </c>
      <c r="B402" s="152" t="s">
        <v>1391</v>
      </c>
      <c r="C402" s="153" t="s">
        <v>16629</v>
      </c>
      <c r="D402" s="154">
        <v>10</v>
      </c>
      <c r="E402" s="155">
        <f t="shared" ref="E402:E407" si="15">+D402*100</f>
        <v>1000</v>
      </c>
    </row>
    <row r="403" ht="16.5" spans="1:5">
      <c r="A403" s="151">
        <v>402</v>
      </c>
      <c r="B403" s="152" t="s">
        <v>1396</v>
      </c>
      <c r="C403" s="153" t="s">
        <v>16629</v>
      </c>
      <c r="D403" s="158">
        <v>10</v>
      </c>
      <c r="E403" s="155">
        <f t="shared" si="15"/>
        <v>1000</v>
      </c>
    </row>
    <row r="404" ht="16.5" spans="1:5">
      <c r="A404" s="151">
        <v>403</v>
      </c>
      <c r="B404" s="152" t="s">
        <v>1399</v>
      </c>
      <c r="C404" s="156" t="s">
        <v>16629</v>
      </c>
      <c r="D404" s="159">
        <v>10</v>
      </c>
      <c r="E404" s="155">
        <f t="shared" si="15"/>
        <v>1000</v>
      </c>
    </row>
    <row r="405" ht="16.5" spans="1:5">
      <c r="A405" s="151">
        <v>404</v>
      </c>
      <c r="B405" s="152" t="s">
        <v>1402</v>
      </c>
      <c r="C405" s="156" t="s">
        <v>16629</v>
      </c>
      <c r="D405" s="159">
        <v>10</v>
      </c>
      <c r="E405" s="155">
        <f t="shared" si="15"/>
        <v>1000</v>
      </c>
    </row>
    <row r="406" ht="16.5" spans="1:5">
      <c r="A406" s="151">
        <v>405</v>
      </c>
      <c r="B406" s="152" t="s">
        <v>1405</v>
      </c>
      <c r="C406" s="153" t="s">
        <v>16629</v>
      </c>
      <c r="D406" s="158">
        <v>10</v>
      </c>
      <c r="E406" s="155">
        <f t="shared" si="15"/>
        <v>1000</v>
      </c>
    </row>
    <row r="407" ht="16.5" spans="1:5">
      <c r="A407" s="151">
        <v>406</v>
      </c>
      <c r="B407" s="152" t="s">
        <v>1408</v>
      </c>
      <c r="C407" s="153" t="s">
        <v>16629</v>
      </c>
      <c r="D407" s="158">
        <v>10</v>
      </c>
      <c r="E407" s="155">
        <f t="shared" si="15"/>
        <v>1000</v>
      </c>
    </row>
    <row r="408" ht="16.5" spans="1:5">
      <c r="A408" s="151">
        <v>407</v>
      </c>
      <c r="B408" s="152" t="s">
        <v>1411</v>
      </c>
      <c r="C408" s="160" t="s">
        <v>16630</v>
      </c>
      <c r="D408" s="41">
        <v>400</v>
      </c>
      <c r="E408" s="161">
        <f>SUM(D408*100)</f>
        <v>40000</v>
      </c>
    </row>
    <row r="409" ht="16.5" spans="1:5">
      <c r="A409" s="151">
        <v>408</v>
      </c>
      <c r="B409" s="152" t="s">
        <v>1414</v>
      </c>
      <c r="C409" s="153" t="s">
        <v>16629</v>
      </c>
      <c r="D409" s="154">
        <v>10</v>
      </c>
      <c r="E409" s="155">
        <f t="shared" ref="E409:E420" si="16">+D409*100</f>
        <v>1000</v>
      </c>
    </row>
    <row r="410" ht="16.5" spans="1:5">
      <c r="A410" s="151">
        <v>409</v>
      </c>
      <c r="B410" s="152" t="s">
        <v>1417</v>
      </c>
      <c r="C410" s="156" t="s">
        <v>16629</v>
      </c>
      <c r="D410" s="159">
        <v>10</v>
      </c>
      <c r="E410" s="155">
        <f t="shared" si="16"/>
        <v>1000</v>
      </c>
    </row>
    <row r="411" ht="16.5" spans="1:5">
      <c r="A411" s="151">
        <v>410</v>
      </c>
      <c r="B411" s="152" t="s">
        <v>1420</v>
      </c>
      <c r="C411" s="153" t="s">
        <v>16629</v>
      </c>
      <c r="D411" s="154">
        <v>10</v>
      </c>
      <c r="E411" s="155">
        <f t="shared" si="16"/>
        <v>1000</v>
      </c>
    </row>
    <row r="412" ht="16.5" spans="1:5">
      <c r="A412" s="151">
        <v>411</v>
      </c>
      <c r="B412" s="152" t="s">
        <v>1423</v>
      </c>
      <c r="C412" s="156" t="s">
        <v>16629</v>
      </c>
      <c r="D412" s="157">
        <v>10</v>
      </c>
      <c r="E412" s="155">
        <f t="shared" si="16"/>
        <v>1000</v>
      </c>
    </row>
    <row r="413" ht="16.5" spans="1:5">
      <c r="A413" s="151">
        <v>412</v>
      </c>
      <c r="B413" s="152" t="s">
        <v>1427</v>
      </c>
      <c r="C413" s="156" t="s">
        <v>16629</v>
      </c>
      <c r="D413" s="157">
        <v>10</v>
      </c>
      <c r="E413" s="155">
        <f t="shared" si="16"/>
        <v>1000</v>
      </c>
    </row>
    <row r="414" ht="16.5" spans="1:5">
      <c r="A414" s="151">
        <v>413</v>
      </c>
      <c r="B414" s="152" t="s">
        <v>1430</v>
      </c>
      <c r="C414" s="156" t="s">
        <v>16629</v>
      </c>
      <c r="D414" s="159">
        <v>20</v>
      </c>
      <c r="E414" s="155">
        <f t="shared" si="16"/>
        <v>2000</v>
      </c>
    </row>
    <row r="415" ht="16.5" spans="1:5">
      <c r="A415" s="151">
        <v>414</v>
      </c>
      <c r="B415" s="152" t="s">
        <v>1433</v>
      </c>
      <c r="C415" s="156" t="s">
        <v>16629</v>
      </c>
      <c r="D415" s="157">
        <v>10</v>
      </c>
      <c r="E415" s="155">
        <f t="shared" si="16"/>
        <v>1000</v>
      </c>
    </row>
    <row r="416" ht="16.5" spans="1:5">
      <c r="A416" s="151">
        <v>415</v>
      </c>
      <c r="B416" s="152" t="s">
        <v>1437</v>
      </c>
      <c r="C416" s="156" t="s">
        <v>16629</v>
      </c>
      <c r="D416" s="158">
        <v>10</v>
      </c>
      <c r="E416" s="155">
        <f t="shared" si="16"/>
        <v>1000</v>
      </c>
    </row>
    <row r="417" ht="16.5" spans="1:5">
      <c r="A417" s="151">
        <v>416</v>
      </c>
      <c r="B417" s="152" t="s">
        <v>1441</v>
      </c>
      <c r="C417" s="156" t="s">
        <v>16629</v>
      </c>
      <c r="D417" s="154">
        <v>200</v>
      </c>
      <c r="E417" s="155">
        <f t="shared" si="16"/>
        <v>20000</v>
      </c>
    </row>
    <row r="418" ht="16.5" spans="1:5">
      <c r="A418" s="151">
        <v>417</v>
      </c>
      <c r="B418" s="152" t="s">
        <v>1444</v>
      </c>
      <c r="C418" s="156" t="s">
        <v>16629</v>
      </c>
      <c r="D418" s="157">
        <v>10</v>
      </c>
      <c r="E418" s="155">
        <f t="shared" si="16"/>
        <v>1000</v>
      </c>
    </row>
    <row r="419" ht="16.5" spans="1:5">
      <c r="A419" s="151">
        <v>418</v>
      </c>
      <c r="B419" s="152" t="s">
        <v>1448</v>
      </c>
      <c r="C419" s="153" t="s">
        <v>16629</v>
      </c>
      <c r="D419" s="154">
        <v>10</v>
      </c>
      <c r="E419" s="155">
        <f t="shared" si="16"/>
        <v>1000</v>
      </c>
    </row>
    <row r="420" ht="16.5" spans="1:5">
      <c r="A420" s="151">
        <v>419</v>
      </c>
      <c r="B420" s="152" t="s">
        <v>1451</v>
      </c>
      <c r="C420" s="153" t="s">
        <v>16629</v>
      </c>
      <c r="D420" s="154">
        <v>10</v>
      </c>
      <c r="E420" s="155">
        <f t="shared" si="16"/>
        <v>1000</v>
      </c>
    </row>
    <row r="421" ht="16.5" spans="1:5">
      <c r="A421" s="151">
        <v>420</v>
      </c>
      <c r="B421" s="152" t="s">
        <v>1454</v>
      </c>
      <c r="C421" s="160" t="s">
        <v>16630</v>
      </c>
      <c r="D421" s="160">
        <v>10</v>
      </c>
      <c r="E421" s="161">
        <f>SUM(D421*100)</f>
        <v>1000</v>
      </c>
    </row>
    <row r="422" ht="16.5" spans="1:5">
      <c r="A422" s="151">
        <v>421</v>
      </c>
      <c r="B422" s="152" t="s">
        <v>1459</v>
      </c>
      <c r="C422" s="153" t="s">
        <v>16629</v>
      </c>
      <c r="D422" s="154">
        <v>10</v>
      </c>
      <c r="E422" s="155">
        <f>+D422*100</f>
        <v>1000</v>
      </c>
    </row>
    <row r="423" ht="16.5" spans="1:5">
      <c r="A423" s="151">
        <v>422</v>
      </c>
      <c r="B423" s="152" t="s">
        <v>1463</v>
      </c>
      <c r="C423" s="153" t="s">
        <v>16629</v>
      </c>
      <c r="D423" s="158">
        <v>10</v>
      </c>
      <c r="E423" s="155">
        <f>+D423*100</f>
        <v>1000</v>
      </c>
    </row>
    <row r="424" ht="16.5" spans="1:5">
      <c r="A424" s="151">
        <v>423</v>
      </c>
      <c r="B424" s="152" t="s">
        <v>1467</v>
      </c>
      <c r="C424" s="162" t="s">
        <v>16631</v>
      </c>
      <c r="D424" s="163">
        <v>2000</v>
      </c>
      <c r="E424" s="163">
        <f>D424*100</f>
        <v>200000</v>
      </c>
    </row>
    <row r="425" ht="16.5" spans="1:5">
      <c r="A425" s="151">
        <v>424</v>
      </c>
      <c r="B425" s="152" t="s">
        <v>1467</v>
      </c>
      <c r="C425" s="162" t="s">
        <v>16633</v>
      </c>
      <c r="D425" s="171">
        <f>G425/100</f>
        <v>0</v>
      </c>
      <c r="E425" s="171">
        <f>G425</f>
        <v>0</v>
      </c>
    </row>
    <row r="426" ht="16.5" spans="1:5">
      <c r="A426" s="151">
        <v>425</v>
      </c>
      <c r="B426" s="152" t="s">
        <v>1472</v>
      </c>
      <c r="C426" s="153" t="s">
        <v>16629</v>
      </c>
      <c r="D426" s="154">
        <v>10</v>
      </c>
      <c r="E426" s="155">
        <f>+D426*100</f>
        <v>1000</v>
      </c>
    </row>
    <row r="427" ht="16.5" spans="1:5">
      <c r="A427" s="151">
        <v>426</v>
      </c>
      <c r="B427" s="152" t="s">
        <v>1475</v>
      </c>
      <c r="C427" s="153" t="s">
        <v>16629</v>
      </c>
      <c r="D427" s="154">
        <v>10</v>
      </c>
      <c r="E427" s="155">
        <f>+D427*100</f>
        <v>1000</v>
      </c>
    </row>
    <row r="428" ht="16.5" spans="1:5">
      <c r="A428" s="151">
        <v>427</v>
      </c>
      <c r="B428" s="152" t="s">
        <v>1478</v>
      </c>
      <c r="C428" s="153" t="s">
        <v>16629</v>
      </c>
      <c r="D428" s="154">
        <v>10</v>
      </c>
      <c r="E428" s="155">
        <f>+D428*100</f>
        <v>1000</v>
      </c>
    </row>
    <row r="429" ht="16.5" spans="1:5">
      <c r="A429" s="151">
        <v>428</v>
      </c>
      <c r="B429" s="152" t="s">
        <v>1481</v>
      </c>
      <c r="C429" s="160" t="s">
        <v>16630</v>
      </c>
      <c r="D429" s="160">
        <v>1000</v>
      </c>
      <c r="E429" s="161">
        <f>SUM(D429*100)</f>
        <v>100000</v>
      </c>
    </row>
    <row r="430" ht="16.5" spans="1:5">
      <c r="A430" s="151">
        <v>429</v>
      </c>
      <c r="B430" s="152" t="s">
        <v>1484</v>
      </c>
      <c r="C430" s="156" t="s">
        <v>16629</v>
      </c>
      <c r="D430" s="157">
        <v>10</v>
      </c>
      <c r="E430" s="155">
        <f>+D430*100</f>
        <v>1000</v>
      </c>
    </row>
    <row r="431" ht="16.5" spans="1:5">
      <c r="A431" s="151">
        <v>430</v>
      </c>
      <c r="B431" s="152" t="s">
        <v>1487</v>
      </c>
      <c r="C431" s="160" t="s">
        <v>16630</v>
      </c>
      <c r="D431" s="160">
        <v>100</v>
      </c>
      <c r="E431" s="161">
        <f>SUM(D431*100)</f>
        <v>10000</v>
      </c>
    </row>
    <row r="432" ht="16.5" spans="1:5">
      <c r="A432" s="151">
        <v>431</v>
      </c>
      <c r="B432" s="152" t="s">
        <v>1490</v>
      </c>
      <c r="C432" s="153" t="s">
        <v>16629</v>
      </c>
      <c r="D432" s="154">
        <v>10</v>
      </c>
      <c r="E432" s="155">
        <f>+D432*100</f>
        <v>1000</v>
      </c>
    </row>
    <row r="433" ht="16.5" spans="1:5">
      <c r="A433" s="151">
        <v>432</v>
      </c>
      <c r="B433" s="152" t="s">
        <v>1493</v>
      </c>
      <c r="C433" s="156" t="s">
        <v>16629</v>
      </c>
      <c r="D433" s="159">
        <v>50</v>
      </c>
      <c r="E433" s="155">
        <f>+D433*100</f>
        <v>5000</v>
      </c>
    </row>
    <row r="434" ht="16.5" spans="1:5">
      <c r="A434" s="151">
        <v>433</v>
      </c>
      <c r="B434" s="152" t="s">
        <v>1497</v>
      </c>
      <c r="C434" s="156" t="s">
        <v>16629</v>
      </c>
      <c r="D434" s="159">
        <v>10</v>
      </c>
      <c r="E434" s="155">
        <f>+D434*100</f>
        <v>1000</v>
      </c>
    </row>
    <row r="435" ht="16.5" spans="1:5">
      <c r="A435" s="151">
        <v>434</v>
      </c>
      <c r="B435" s="152" t="s">
        <v>1500</v>
      </c>
      <c r="C435" s="153" t="s">
        <v>16629</v>
      </c>
      <c r="D435" s="154">
        <v>10</v>
      </c>
      <c r="E435" s="155">
        <f>SUM(D435*100)</f>
        <v>1000</v>
      </c>
    </row>
    <row r="436" ht="16.5" spans="1:5">
      <c r="A436" s="151">
        <v>435</v>
      </c>
      <c r="B436" s="152" t="s">
        <v>1503</v>
      </c>
      <c r="C436" s="156" t="s">
        <v>16629</v>
      </c>
      <c r="D436" s="159">
        <v>10</v>
      </c>
      <c r="E436" s="155">
        <f>+D436*100</f>
        <v>1000</v>
      </c>
    </row>
    <row r="437" ht="16.5" spans="1:5">
      <c r="A437" s="151">
        <v>436</v>
      </c>
      <c r="B437" s="152" t="s">
        <v>1506</v>
      </c>
      <c r="C437" s="160" t="s">
        <v>16630</v>
      </c>
      <c r="D437" s="160">
        <v>500</v>
      </c>
      <c r="E437" s="161">
        <f>SUM(D437*100)</f>
        <v>50000</v>
      </c>
    </row>
    <row r="438" ht="16.5" spans="1:5">
      <c r="A438" s="151">
        <v>437</v>
      </c>
      <c r="B438" s="152" t="s">
        <v>1510</v>
      </c>
      <c r="C438" s="156" t="s">
        <v>16629</v>
      </c>
      <c r="D438" s="159">
        <v>10</v>
      </c>
      <c r="E438" s="155">
        <f>+D438*100</f>
        <v>1000</v>
      </c>
    </row>
    <row r="439" ht="16.5" spans="1:5">
      <c r="A439" s="151">
        <v>438</v>
      </c>
      <c r="B439" s="152" t="s">
        <v>1514</v>
      </c>
      <c r="C439" s="160" t="s">
        <v>16630</v>
      </c>
      <c r="D439" s="160">
        <v>100</v>
      </c>
      <c r="E439" s="161">
        <f>SUM(D439*100)</f>
        <v>10000</v>
      </c>
    </row>
    <row r="440" ht="16.5" spans="1:5">
      <c r="A440" s="151">
        <v>439</v>
      </c>
      <c r="B440" s="152" t="s">
        <v>1518</v>
      </c>
      <c r="C440" s="160" t="s">
        <v>16630</v>
      </c>
      <c r="D440" s="175">
        <v>100</v>
      </c>
      <c r="E440" s="161">
        <f>SUM(D440*100)</f>
        <v>10000</v>
      </c>
    </row>
    <row r="441" ht="16.5" spans="1:5">
      <c r="A441" s="151">
        <v>440</v>
      </c>
      <c r="B441" s="152" t="s">
        <v>1521</v>
      </c>
      <c r="C441" s="153" t="s">
        <v>16629</v>
      </c>
      <c r="D441" s="154">
        <v>10</v>
      </c>
      <c r="E441" s="155">
        <f>+D441*100</f>
        <v>1000</v>
      </c>
    </row>
    <row r="442" ht="16.5" spans="1:5">
      <c r="A442" s="151">
        <v>441</v>
      </c>
      <c r="B442" s="152" t="s">
        <v>1525</v>
      </c>
      <c r="C442" s="166" t="s">
        <v>16632</v>
      </c>
      <c r="D442" s="151">
        <f>IFERROR(__xludf.DUMMYFUNCTION("""COMPUTED_VALUE"""),10000)</f>
        <v>10000</v>
      </c>
      <c r="E442" s="167">
        <f>IFERROR(__xludf.DUMMYFUNCTION("""COMPUTED_VALUE"""),1500000)</f>
        <v>1500000</v>
      </c>
    </row>
    <row r="443" ht="16.5" spans="1:5">
      <c r="A443" s="151">
        <v>442</v>
      </c>
      <c r="B443" s="152" t="s">
        <v>1526</v>
      </c>
      <c r="C443" s="153" t="s">
        <v>16629</v>
      </c>
      <c r="D443" s="154">
        <v>10</v>
      </c>
      <c r="E443" s="155">
        <f>SUM(D443*100)</f>
        <v>1000</v>
      </c>
    </row>
    <row r="444" ht="16.5" spans="1:5">
      <c r="A444" s="151">
        <v>443</v>
      </c>
      <c r="B444" s="152" t="s">
        <v>1529</v>
      </c>
      <c r="C444" s="166" t="s">
        <v>16632</v>
      </c>
      <c r="D444" s="166">
        <f>IFERROR(__xludf.DUMMYFUNCTION("""COMPUTED_VALUE"""),10000)</f>
        <v>10000</v>
      </c>
      <c r="E444" s="168">
        <f>IFERROR(__xludf.DUMMYFUNCTION("""COMPUTED_VALUE"""),1500000)</f>
        <v>1500000</v>
      </c>
    </row>
    <row r="445" ht="16.5" spans="1:5">
      <c r="A445" s="151">
        <v>444</v>
      </c>
      <c r="B445" s="152" t="s">
        <v>1530</v>
      </c>
      <c r="C445" s="162" t="s">
        <v>16631</v>
      </c>
      <c r="D445" s="163">
        <v>1000</v>
      </c>
      <c r="E445" s="163">
        <f>D445*100</f>
        <v>100000</v>
      </c>
    </row>
    <row r="446" ht="16.5" spans="1:5">
      <c r="A446" s="151">
        <v>445</v>
      </c>
      <c r="B446" s="152" t="s">
        <v>1535</v>
      </c>
      <c r="C446" s="153" t="s">
        <v>16629</v>
      </c>
      <c r="D446" s="154">
        <v>10</v>
      </c>
      <c r="E446" s="155">
        <f>+D446*100</f>
        <v>1000</v>
      </c>
    </row>
    <row r="447" ht="16.5" spans="1:5">
      <c r="A447" s="151">
        <v>446</v>
      </c>
      <c r="B447" s="152" t="s">
        <v>1539</v>
      </c>
      <c r="C447" s="156" t="s">
        <v>16629</v>
      </c>
      <c r="D447" s="157">
        <v>10</v>
      </c>
      <c r="E447" s="155">
        <f>+D447*100</f>
        <v>1000</v>
      </c>
    </row>
    <row r="448" ht="16.5" spans="1:5">
      <c r="A448" s="151">
        <v>447</v>
      </c>
      <c r="B448" s="152" t="s">
        <v>1543</v>
      </c>
      <c r="C448" s="153" t="s">
        <v>16629</v>
      </c>
      <c r="D448" s="158">
        <v>10</v>
      </c>
      <c r="E448" s="155">
        <f>+D448*100</f>
        <v>1000</v>
      </c>
    </row>
    <row r="449" ht="16.5" spans="1:5">
      <c r="A449" s="151">
        <v>448</v>
      </c>
      <c r="B449" s="152" t="s">
        <v>1546</v>
      </c>
      <c r="C449" s="160" t="s">
        <v>16630</v>
      </c>
      <c r="D449" s="160">
        <v>100</v>
      </c>
      <c r="E449" s="161">
        <f>SUM(D449*100)</f>
        <v>10000</v>
      </c>
    </row>
    <row r="450" ht="16.5" spans="1:5">
      <c r="A450" s="151">
        <v>449</v>
      </c>
      <c r="B450" s="152" t="s">
        <v>1550</v>
      </c>
      <c r="C450" s="153" t="s">
        <v>16629</v>
      </c>
      <c r="D450" s="154">
        <v>10</v>
      </c>
      <c r="E450" s="155">
        <f>+D450*100</f>
        <v>1000</v>
      </c>
    </row>
    <row r="451" ht="16.5" spans="1:5">
      <c r="A451" s="151">
        <v>450</v>
      </c>
      <c r="B451" s="152" t="s">
        <v>1553</v>
      </c>
      <c r="C451" s="160" t="s">
        <v>16630</v>
      </c>
      <c r="D451" s="160">
        <v>100</v>
      </c>
      <c r="E451" s="161">
        <f>SUM(D451*100)</f>
        <v>10000</v>
      </c>
    </row>
    <row r="452" ht="16.5" spans="1:5">
      <c r="A452" s="151">
        <v>451</v>
      </c>
      <c r="B452" s="152" t="s">
        <v>1557</v>
      </c>
      <c r="C452" s="160" t="s">
        <v>16630</v>
      </c>
      <c r="D452" s="160">
        <v>100</v>
      </c>
      <c r="E452" s="161">
        <f>SUM(D452*100)</f>
        <v>10000</v>
      </c>
    </row>
    <row r="453" ht="16.5" spans="1:5">
      <c r="A453" s="151">
        <v>452</v>
      </c>
      <c r="B453" s="152" t="s">
        <v>1561</v>
      </c>
      <c r="C453" s="160" t="s">
        <v>16630</v>
      </c>
      <c r="D453" s="160">
        <v>80</v>
      </c>
      <c r="E453" s="161">
        <f>SUM(D453*100)</f>
        <v>8000</v>
      </c>
    </row>
    <row r="454" ht="16.5" spans="1:5">
      <c r="A454" s="151">
        <v>453</v>
      </c>
      <c r="B454" s="152" t="s">
        <v>1564</v>
      </c>
      <c r="C454" s="160" t="s">
        <v>16630</v>
      </c>
      <c r="D454" s="160">
        <v>100</v>
      </c>
      <c r="E454" s="161">
        <f>SUM(D454*100)</f>
        <v>10000</v>
      </c>
    </row>
    <row r="455" ht="16.5" spans="1:5">
      <c r="A455" s="151">
        <v>454</v>
      </c>
      <c r="B455" s="152" t="s">
        <v>1567</v>
      </c>
      <c r="C455" s="156" t="s">
        <v>16629</v>
      </c>
      <c r="D455" s="159">
        <v>10</v>
      </c>
      <c r="E455" s="155">
        <f>+D455*100</f>
        <v>1000</v>
      </c>
    </row>
    <row r="456" ht="16.5" spans="1:5">
      <c r="A456" s="151">
        <v>455</v>
      </c>
      <c r="B456" s="152" t="s">
        <v>1570</v>
      </c>
      <c r="C456" s="153" t="s">
        <v>16629</v>
      </c>
      <c r="D456" s="158">
        <v>10</v>
      </c>
      <c r="E456" s="155">
        <f>+D456*100</f>
        <v>1000</v>
      </c>
    </row>
    <row r="457" ht="16.5" spans="1:5">
      <c r="A457" s="151">
        <v>456</v>
      </c>
      <c r="B457" s="152" t="s">
        <v>1573</v>
      </c>
      <c r="C457" s="153" t="s">
        <v>16629</v>
      </c>
      <c r="D457" s="154">
        <v>10</v>
      </c>
      <c r="E457" s="155">
        <f>+D457*100</f>
        <v>1000</v>
      </c>
    </row>
    <row r="458" ht="16.5" spans="1:5">
      <c r="A458" s="151">
        <v>457</v>
      </c>
      <c r="B458" s="152" t="s">
        <v>1577</v>
      </c>
      <c r="C458" s="162" t="s">
        <v>16631</v>
      </c>
      <c r="D458" s="163">
        <v>1000</v>
      </c>
      <c r="E458" s="163">
        <f>D458*100</f>
        <v>100000</v>
      </c>
    </row>
    <row r="459" ht="16.5" spans="1:5">
      <c r="A459" s="151">
        <v>458</v>
      </c>
      <c r="B459" s="152" t="s">
        <v>1582</v>
      </c>
      <c r="C459" s="153" t="s">
        <v>16629</v>
      </c>
      <c r="D459" s="158">
        <v>10</v>
      </c>
      <c r="E459" s="155">
        <f>+D459*100</f>
        <v>1000</v>
      </c>
    </row>
    <row r="460" ht="16.5" spans="1:5">
      <c r="A460" s="151">
        <v>459</v>
      </c>
      <c r="B460" s="152" t="s">
        <v>1586</v>
      </c>
      <c r="C460" s="153" t="s">
        <v>16629</v>
      </c>
      <c r="D460" s="154">
        <v>10</v>
      </c>
      <c r="E460" s="155">
        <f>+D460*100</f>
        <v>1000</v>
      </c>
    </row>
    <row r="461" ht="16.5" spans="1:5">
      <c r="A461" s="151">
        <v>460</v>
      </c>
      <c r="B461" s="152" t="s">
        <v>1590</v>
      </c>
      <c r="C461" s="156" t="s">
        <v>16629</v>
      </c>
      <c r="D461" s="159">
        <v>10</v>
      </c>
      <c r="E461" s="155">
        <f>+D461*100</f>
        <v>1000</v>
      </c>
    </row>
    <row r="462" ht="16.5" spans="1:5">
      <c r="A462" s="151">
        <v>461</v>
      </c>
      <c r="B462" s="152" t="s">
        <v>1594</v>
      </c>
      <c r="C462" s="160" t="s">
        <v>16630</v>
      </c>
      <c r="D462" s="160">
        <v>5000</v>
      </c>
      <c r="E462" s="161">
        <f>SUM(D462*10)</f>
        <v>50000</v>
      </c>
    </row>
    <row r="463" ht="16.5" spans="1:5">
      <c r="A463" s="151">
        <v>462</v>
      </c>
      <c r="B463" s="152" t="s">
        <v>1599</v>
      </c>
      <c r="C463" s="156" t="s">
        <v>16629</v>
      </c>
      <c r="D463" s="157">
        <v>10</v>
      </c>
      <c r="E463" s="155">
        <f>+D463*100</f>
        <v>1000</v>
      </c>
    </row>
    <row r="464" ht="16.5" spans="1:5">
      <c r="A464" s="151">
        <v>463</v>
      </c>
      <c r="B464" s="152" t="s">
        <v>1602</v>
      </c>
      <c r="C464" s="153" t="s">
        <v>16629</v>
      </c>
      <c r="D464" s="154">
        <v>10</v>
      </c>
      <c r="E464" s="155">
        <f>+D464*100</f>
        <v>1000</v>
      </c>
    </row>
    <row r="465" ht="16.5" spans="1:5">
      <c r="A465" s="151">
        <v>464</v>
      </c>
      <c r="B465" s="152" t="s">
        <v>1606</v>
      </c>
      <c r="C465" s="153" t="s">
        <v>16629</v>
      </c>
      <c r="D465" s="154">
        <v>10</v>
      </c>
      <c r="E465" s="155">
        <f>+D465*100</f>
        <v>1000</v>
      </c>
    </row>
    <row r="466" ht="16.5" spans="1:5">
      <c r="A466" s="151">
        <v>465</v>
      </c>
      <c r="B466" s="152" t="s">
        <v>1610</v>
      </c>
      <c r="C466" s="156" t="s">
        <v>16629</v>
      </c>
      <c r="D466" s="157">
        <v>10</v>
      </c>
      <c r="E466" s="155">
        <f>+D466*100</f>
        <v>1000</v>
      </c>
    </row>
    <row r="467" ht="16.5" spans="1:5">
      <c r="A467" s="151">
        <v>466</v>
      </c>
      <c r="B467" s="152" t="s">
        <v>1613</v>
      </c>
      <c r="C467" s="153" t="s">
        <v>16629</v>
      </c>
      <c r="D467" s="154">
        <v>10</v>
      </c>
      <c r="E467" s="155">
        <f>+D467*100</f>
        <v>1000</v>
      </c>
    </row>
    <row r="468" ht="16.5" spans="1:5">
      <c r="A468" s="151">
        <v>467</v>
      </c>
      <c r="B468" s="152" t="s">
        <v>1616</v>
      </c>
      <c r="C468" s="160" t="s">
        <v>16630</v>
      </c>
      <c r="D468" s="160">
        <v>400</v>
      </c>
      <c r="E468" s="161">
        <f>SUM(D468*100)</f>
        <v>40000</v>
      </c>
    </row>
    <row r="469" ht="16.5" spans="1:5">
      <c r="A469" s="151">
        <v>468</v>
      </c>
      <c r="B469" s="152" t="s">
        <v>1616</v>
      </c>
      <c r="C469" s="162" t="s">
        <v>16631</v>
      </c>
      <c r="D469" s="163">
        <v>1000</v>
      </c>
      <c r="E469" s="163">
        <f>D469*100</f>
        <v>100000</v>
      </c>
    </row>
    <row r="470" ht="16.5" spans="1:5">
      <c r="A470" s="151">
        <v>469</v>
      </c>
      <c r="B470" s="152" t="s">
        <v>1620</v>
      </c>
      <c r="C470" s="153" t="s">
        <v>16629</v>
      </c>
      <c r="D470" s="158">
        <v>10</v>
      </c>
      <c r="E470" s="155">
        <f>+D470*100</f>
        <v>1000</v>
      </c>
    </row>
    <row r="471" ht="16.5" spans="1:5">
      <c r="A471" s="151">
        <v>470</v>
      </c>
      <c r="B471" s="152" t="s">
        <v>1624</v>
      </c>
      <c r="C471" s="160" t="s">
        <v>16630</v>
      </c>
      <c r="D471" s="160">
        <v>10</v>
      </c>
      <c r="E471" s="161">
        <f>SUM(D471*100)</f>
        <v>1000</v>
      </c>
    </row>
    <row r="472" ht="16.5" spans="1:5">
      <c r="A472" s="151">
        <v>471</v>
      </c>
      <c r="B472" s="152" t="s">
        <v>1628</v>
      </c>
      <c r="C472" s="156" t="s">
        <v>16629</v>
      </c>
      <c r="D472" s="157">
        <v>10</v>
      </c>
      <c r="E472" s="155">
        <f>+D472*100</f>
        <v>1000</v>
      </c>
    </row>
    <row r="473" ht="16.5" spans="1:5">
      <c r="A473" s="151">
        <v>472</v>
      </c>
      <c r="B473" s="152" t="s">
        <v>1631</v>
      </c>
      <c r="C473" s="156" t="s">
        <v>16629</v>
      </c>
      <c r="D473" s="159">
        <v>10</v>
      </c>
      <c r="E473" s="155">
        <f>SUM(D473*100)</f>
        <v>1000</v>
      </c>
    </row>
    <row r="474" ht="16.5" spans="1:5">
      <c r="A474" s="151">
        <v>473</v>
      </c>
      <c r="B474" s="152" t="s">
        <v>1635</v>
      </c>
      <c r="C474" s="153" t="s">
        <v>16629</v>
      </c>
      <c r="D474" s="154">
        <v>10</v>
      </c>
      <c r="E474" s="155">
        <f t="shared" ref="E474:E486" si="17">+D474*100</f>
        <v>1000</v>
      </c>
    </row>
    <row r="475" ht="16.5" spans="1:5">
      <c r="A475" s="151">
        <v>474</v>
      </c>
      <c r="B475" s="152" t="s">
        <v>1639</v>
      </c>
      <c r="C475" s="156" t="s">
        <v>16629</v>
      </c>
      <c r="D475" s="159">
        <v>10</v>
      </c>
      <c r="E475" s="155">
        <f t="shared" si="17"/>
        <v>1000</v>
      </c>
    </row>
    <row r="476" ht="16.5" spans="1:5">
      <c r="A476" s="151">
        <v>475</v>
      </c>
      <c r="B476" s="152" t="s">
        <v>1643</v>
      </c>
      <c r="C476" s="156" t="s">
        <v>16629</v>
      </c>
      <c r="D476" s="157">
        <v>10</v>
      </c>
      <c r="E476" s="155">
        <f t="shared" si="17"/>
        <v>1000</v>
      </c>
    </row>
    <row r="477" ht="16.5" spans="1:5">
      <c r="A477" s="151">
        <v>476</v>
      </c>
      <c r="B477" s="152" t="s">
        <v>1647</v>
      </c>
      <c r="C477" s="156" t="s">
        <v>16629</v>
      </c>
      <c r="D477" s="157">
        <v>10</v>
      </c>
      <c r="E477" s="155">
        <f t="shared" si="17"/>
        <v>1000</v>
      </c>
    </row>
    <row r="478" ht="16.5" spans="1:5">
      <c r="A478" s="151">
        <v>477</v>
      </c>
      <c r="B478" s="152" t="s">
        <v>1650</v>
      </c>
      <c r="C478" s="153" t="s">
        <v>16629</v>
      </c>
      <c r="D478" s="154">
        <v>10</v>
      </c>
      <c r="E478" s="155">
        <f t="shared" si="17"/>
        <v>1000</v>
      </c>
    </row>
    <row r="479" ht="16.5" spans="1:5">
      <c r="A479" s="151">
        <v>478</v>
      </c>
      <c r="B479" s="152" t="s">
        <v>1653</v>
      </c>
      <c r="C479" s="153" t="s">
        <v>16629</v>
      </c>
      <c r="D479" s="158">
        <v>10</v>
      </c>
      <c r="E479" s="155">
        <f t="shared" si="17"/>
        <v>1000</v>
      </c>
    </row>
    <row r="480" ht="16.5" spans="1:5">
      <c r="A480" s="151">
        <v>479</v>
      </c>
      <c r="B480" s="152" t="s">
        <v>1657</v>
      </c>
      <c r="C480" s="153" t="s">
        <v>16629</v>
      </c>
      <c r="D480" s="158">
        <v>10</v>
      </c>
      <c r="E480" s="155">
        <f t="shared" si="17"/>
        <v>1000</v>
      </c>
    </row>
    <row r="481" ht="16.5" spans="1:5">
      <c r="A481" s="151">
        <v>480</v>
      </c>
      <c r="B481" s="152" t="s">
        <v>1661</v>
      </c>
      <c r="C481" s="153" t="s">
        <v>16629</v>
      </c>
      <c r="D481" s="154">
        <v>10</v>
      </c>
      <c r="E481" s="155">
        <f t="shared" si="17"/>
        <v>1000</v>
      </c>
    </row>
    <row r="482" ht="16.5" spans="1:5">
      <c r="A482" s="151">
        <v>481</v>
      </c>
      <c r="B482" s="152" t="s">
        <v>1664</v>
      </c>
      <c r="C482" s="156" t="s">
        <v>16629</v>
      </c>
      <c r="D482" s="157">
        <v>10</v>
      </c>
      <c r="E482" s="155">
        <f t="shared" si="17"/>
        <v>1000</v>
      </c>
    </row>
    <row r="483" ht="16.5" spans="1:5">
      <c r="A483" s="151">
        <v>482</v>
      </c>
      <c r="B483" s="152" t="s">
        <v>1667</v>
      </c>
      <c r="C483" s="153" t="s">
        <v>16629</v>
      </c>
      <c r="D483" s="154">
        <v>10</v>
      </c>
      <c r="E483" s="155">
        <f t="shared" si="17"/>
        <v>1000</v>
      </c>
    </row>
    <row r="484" ht="16.5" spans="1:5">
      <c r="A484" s="151">
        <v>483</v>
      </c>
      <c r="B484" s="152" t="s">
        <v>1670</v>
      </c>
      <c r="C484" s="153" t="s">
        <v>16629</v>
      </c>
      <c r="D484" s="158">
        <v>10</v>
      </c>
      <c r="E484" s="155">
        <f t="shared" si="17"/>
        <v>1000</v>
      </c>
    </row>
    <row r="485" ht="16.5" spans="1:5">
      <c r="A485" s="151">
        <v>484</v>
      </c>
      <c r="B485" s="152" t="s">
        <v>1673</v>
      </c>
      <c r="C485" s="156" t="s">
        <v>16629</v>
      </c>
      <c r="D485" s="159">
        <v>10</v>
      </c>
      <c r="E485" s="155">
        <f t="shared" si="17"/>
        <v>1000</v>
      </c>
    </row>
    <row r="486" ht="16.5" spans="1:5">
      <c r="A486" s="151">
        <v>485</v>
      </c>
      <c r="B486" s="152" t="s">
        <v>1677</v>
      </c>
      <c r="C486" s="153" t="s">
        <v>16629</v>
      </c>
      <c r="D486" s="154">
        <v>10</v>
      </c>
      <c r="E486" s="155">
        <f t="shared" si="17"/>
        <v>1000</v>
      </c>
    </row>
    <row r="487" ht="16.5" spans="1:5">
      <c r="A487" s="151">
        <v>486</v>
      </c>
      <c r="B487" s="152" t="s">
        <v>1680</v>
      </c>
      <c r="C487" s="160" t="s">
        <v>16630</v>
      </c>
      <c r="D487" s="160">
        <v>150</v>
      </c>
      <c r="E487" s="161">
        <f>SUM(D487*100)</f>
        <v>15000</v>
      </c>
    </row>
    <row r="488" ht="16.5" spans="1:5">
      <c r="A488" s="151">
        <v>487</v>
      </c>
      <c r="B488" s="152" t="s">
        <v>1683</v>
      </c>
      <c r="C488" s="156" t="s">
        <v>16629</v>
      </c>
      <c r="D488" s="157">
        <v>10</v>
      </c>
      <c r="E488" s="155">
        <f>+D488*100</f>
        <v>1000</v>
      </c>
    </row>
    <row r="489" ht="16.5" spans="1:5">
      <c r="A489" s="151">
        <v>488</v>
      </c>
      <c r="B489" s="152" t="s">
        <v>1686</v>
      </c>
      <c r="C489" s="156" t="s">
        <v>16629</v>
      </c>
      <c r="D489" s="159">
        <v>10</v>
      </c>
      <c r="E489" s="155">
        <f>+D489*100</f>
        <v>1000</v>
      </c>
    </row>
    <row r="490" ht="16.5" spans="1:5">
      <c r="A490" s="151">
        <v>489</v>
      </c>
      <c r="B490" s="152" t="s">
        <v>1690</v>
      </c>
      <c r="C490" s="156" t="s">
        <v>16629</v>
      </c>
      <c r="D490" s="157">
        <v>10</v>
      </c>
      <c r="E490" s="155">
        <f>+D490*100</f>
        <v>1000</v>
      </c>
    </row>
    <row r="491" ht="16.5" spans="1:5">
      <c r="A491" s="151">
        <v>490</v>
      </c>
      <c r="B491" s="152" t="s">
        <v>1694</v>
      </c>
      <c r="C491" s="160" t="s">
        <v>16630</v>
      </c>
      <c r="D491" s="160">
        <v>20</v>
      </c>
      <c r="E491" s="161">
        <f>SUM(D491*100)</f>
        <v>2000</v>
      </c>
    </row>
    <row r="492" ht="16.5" spans="1:5">
      <c r="A492" s="151">
        <v>491</v>
      </c>
      <c r="B492" s="152" t="s">
        <v>1697</v>
      </c>
      <c r="C492" s="162" t="s">
        <v>16631</v>
      </c>
      <c r="D492" s="169">
        <v>1000</v>
      </c>
      <c r="E492" s="170">
        <f>D492*100</f>
        <v>100000</v>
      </c>
    </row>
    <row r="493" ht="16.5" spans="1:5">
      <c r="A493" s="151">
        <v>492</v>
      </c>
      <c r="B493" s="152" t="s">
        <v>1703</v>
      </c>
      <c r="C493" s="160" t="s">
        <v>16630</v>
      </c>
      <c r="D493" s="164">
        <v>200</v>
      </c>
      <c r="E493" s="161">
        <f>SUM(D493*100)</f>
        <v>20000</v>
      </c>
    </row>
    <row r="494" ht="16.5" spans="1:5">
      <c r="A494" s="151">
        <v>493</v>
      </c>
      <c r="B494" s="152" t="s">
        <v>1706</v>
      </c>
      <c r="C494" s="160" t="s">
        <v>16630</v>
      </c>
      <c r="D494" s="160">
        <v>500</v>
      </c>
      <c r="E494" s="161">
        <f>SUM(D494*100)</f>
        <v>50000</v>
      </c>
    </row>
    <row r="495" ht="16.5" spans="1:5">
      <c r="A495" s="151">
        <v>494</v>
      </c>
      <c r="B495" s="152" t="s">
        <v>1710</v>
      </c>
      <c r="C495" s="160" t="s">
        <v>16630</v>
      </c>
      <c r="D495" s="160">
        <v>200</v>
      </c>
      <c r="E495" s="161">
        <f>SUM(D495*100)</f>
        <v>20000</v>
      </c>
    </row>
    <row r="496" ht="16.5" spans="1:5">
      <c r="A496" s="151">
        <v>495</v>
      </c>
      <c r="B496" s="152" t="s">
        <v>1713</v>
      </c>
      <c r="C496" s="160" t="s">
        <v>16630</v>
      </c>
      <c r="D496" s="160">
        <v>40</v>
      </c>
      <c r="E496" s="161">
        <f>SUM(D496*100)</f>
        <v>4000</v>
      </c>
    </row>
    <row r="497" ht="16.5" spans="1:5">
      <c r="A497" s="151">
        <v>496</v>
      </c>
      <c r="B497" s="152" t="s">
        <v>1716</v>
      </c>
      <c r="C497" s="166" t="s">
        <v>16632</v>
      </c>
      <c r="D497" s="166">
        <v>10000</v>
      </c>
      <c r="E497" s="168">
        <v>1500000</v>
      </c>
    </row>
    <row r="498" ht="16.5" spans="1:5">
      <c r="A498" s="151">
        <v>497</v>
      </c>
      <c r="B498" s="152" t="s">
        <v>1719</v>
      </c>
      <c r="C498" s="160" t="s">
        <v>16630</v>
      </c>
      <c r="D498" s="160">
        <v>30</v>
      </c>
      <c r="E498" s="161">
        <f t="shared" ref="E498:E506" si="18">SUM(D498*100)</f>
        <v>3000</v>
      </c>
    </row>
    <row r="499" ht="16.5" spans="1:5">
      <c r="A499" s="151">
        <v>498</v>
      </c>
      <c r="B499" s="152" t="s">
        <v>1723</v>
      </c>
      <c r="C499" s="160" t="s">
        <v>16630</v>
      </c>
      <c r="D499" s="175">
        <v>30</v>
      </c>
      <c r="E499" s="161">
        <f t="shared" si="18"/>
        <v>3000</v>
      </c>
    </row>
    <row r="500" ht="16.5" spans="1:5">
      <c r="A500" s="151">
        <v>499</v>
      </c>
      <c r="B500" s="152" t="s">
        <v>1726</v>
      </c>
      <c r="C500" s="160" t="s">
        <v>16630</v>
      </c>
      <c r="D500" s="160">
        <v>10</v>
      </c>
      <c r="E500" s="161">
        <f t="shared" si="18"/>
        <v>1000</v>
      </c>
    </row>
    <row r="501" ht="16.5" spans="1:5">
      <c r="A501" s="151">
        <v>500</v>
      </c>
      <c r="B501" s="152" t="s">
        <v>1730</v>
      </c>
      <c r="C501" s="160" t="s">
        <v>16630</v>
      </c>
      <c r="D501" s="160">
        <v>500</v>
      </c>
      <c r="E501" s="161">
        <f t="shared" si="18"/>
        <v>50000</v>
      </c>
    </row>
    <row r="502" ht="16.5" spans="1:5">
      <c r="A502" s="151">
        <v>501</v>
      </c>
      <c r="B502" s="152" t="s">
        <v>1734</v>
      </c>
      <c r="C502" s="160" t="s">
        <v>16630</v>
      </c>
      <c r="D502" s="165">
        <v>900</v>
      </c>
      <c r="E502" s="161">
        <f t="shared" si="18"/>
        <v>90000</v>
      </c>
    </row>
    <row r="503" ht="16.5" spans="1:5">
      <c r="A503" s="151">
        <v>502</v>
      </c>
      <c r="B503" s="152" t="s">
        <v>1737</v>
      </c>
      <c r="C503" s="160" t="s">
        <v>16630</v>
      </c>
      <c r="D503" s="160">
        <v>100</v>
      </c>
      <c r="E503" s="161">
        <f t="shared" si="18"/>
        <v>10000</v>
      </c>
    </row>
    <row r="504" ht="16.5" spans="1:5">
      <c r="A504" s="151">
        <v>503</v>
      </c>
      <c r="B504" s="152" t="s">
        <v>1741</v>
      </c>
      <c r="C504" s="160" t="s">
        <v>16630</v>
      </c>
      <c r="D504" s="160">
        <v>100</v>
      </c>
      <c r="E504" s="161">
        <f t="shared" si="18"/>
        <v>10000</v>
      </c>
    </row>
    <row r="505" ht="16.5" spans="1:5">
      <c r="A505" s="151">
        <v>504</v>
      </c>
      <c r="B505" s="152" t="s">
        <v>1744</v>
      </c>
      <c r="C505" s="160" t="s">
        <v>16630</v>
      </c>
      <c r="D505" s="160">
        <v>400</v>
      </c>
      <c r="E505" s="161">
        <f t="shared" si="18"/>
        <v>40000</v>
      </c>
    </row>
    <row r="506" ht="16.5" spans="1:5">
      <c r="A506" s="151">
        <v>505</v>
      </c>
      <c r="B506" s="152" t="s">
        <v>1747</v>
      </c>
      <c r="C506" s="160" t="s">
        <v>16630</v>
      </c>
      <c r="D506" s="160">
        <v>150</v>
      </c>
      <c r="E506" s="161">
        <f t="shared" si="18"/>
        <v>15000</v>
      </c>
    </row>
    <row r="507" ht="16.5" spans="1:5">
      <c r="A507" s="151">
        <v>506</v>
      </c>
      <c r="B507" s="152" t="s">
        <v>1751</v>
      </c>
      <c r="C507" s="166" t="s">
        <v>16632</v>
      </c>
      <c r="D507" s="166">
        <f>IFERROR(__xludf.DUMMYFUNCTION("""COMPUTED_VALUE"""),10000)</f>
        <v>10000</v>
      </c>
      <c r="E507" s="168">
        <f>IFERROR(__xludf.DUMMYFUNCTION("""COMPUTED_VALUE"""),1500000)</f>
        <v>1500000</v>
      </c>
    </row>
    <row r="508" ht="16.5" spans="1:5">
      <c r="A508" s="151">
        <v>507</v>
      </c>
      <c r="B508" s="152" t="s">
        <v>1752</v>
      </c>
      <c r="C508" s="160" t="s">
        <v>16630</v>
      </c>
      <c r="D508" s="160">
        <v>100</v>
      </c>
      <c r="E508" s="161">
        <f>SUM(D508*100)</f>
        <v>10000</v>
      </c>
    </row>
    <row r="509" ht="16.5" spans="1:5">
      <c r="A509" s="151">
        <v>508</v>
      </c>
      <c r="B509" s="152" t="s">
        <v>1755</v>
      </c>
      <c r="C509" s="162" t="s">
        <v>16631</v>
      </c>
      <c r="D509" s="163">
        <v>1000</v>
      </c>
      <c r="E509" s="163">
        <f>D509*100</f>
        <v>100000</v>
      </c>
    </row>
    <row r="510" ht="16.5" spans="1:5">
      <c r="A510" s="151">
        <v>509</v>
      </c>
      <c r="B510" s="152" t="s">
        <v>1759</v>
      </c>
      <c r="C510" s="160" t="s">
        <v>16630</v>
      </c>
      <c r="D510" s="160">
        <v>30</v>
      </c>
      <c r="E510" s="161">
        <f>SUM(D510*100)</f>
        <v>3000</v>
      </c>
    </row>
    <row r="511" ht="16.5" spans="1:5">
      <c r="A511" s="151">
        <v>510</v>
      </c>
      <c r="B511" s="152" t="s">
        <v>1763</v>
      </c>
      <c r="C511" s="156" t="s">
        <v>16629</v>
      </c>
      <c r="D511" s="159">
        <v>10</v>
      </c>
      <c r="E511" s="155">
        <f>+D511*100</f>
        <v>1000</v>
      </c>
    </row>
    <row r="512" ht="16.5" spans="1:5">
      <c r="A512" s="151">
        <v>511</v>
      </c>
      <c r="B512" s="152" t="s">
        <v>1766</v>
      </c>
      <c r="C512" s="160" t="s">
        <v>16630</v>
      </c>
      <c r="D512" s="160">
        <v>1000</v>
      </c>
      <c r="E512" s="161">
        <f t="shared" ref="E512:E517" si="19">SUM(D512*100)</f>
        <v>100000</v>
      </c>
    </row>
    <row r="513" ht="16.5" spans="1:5">
      <c r="A513" s="151">
        <v>512</v>
      </c>
      <c r="B513" s="152" t="s">
        <v>1770</v>
      </c>
      <c r="C513" s="160" t="s">
        <v>16630</v>
      </c>
      <c r="D513" s="160">
        <v>50</v>
      </c>
      <c r="E513" s="161">
        <f t="shared" si="19"/>
        <v>5000</v>
      </c>
    </row>
    <row r="514" ht="16.5" spans="1:5">
      <c r="A514" s="151">
        <v>513</v>
      </c>
      <c r="B514" s="152" t="s">
        <v>1774</v>
      </c>
      <c r="C514" s="160" t="s">
        <v>16630</v>
      </c>
      <c r="D514" s="160">
        <v>100</v>
      </c>
      <c r="E514" s="161">
        <f t="shared" si="19"/>
        <v>10000</v>
      </c>
    </row>
    <row r="515" ht="16.5" spans="1:5">
      <c r="A515" s="151">
        <v>514</v>
      </c>
      <c r="B515" s="152" t="s">
        <v>1777</v>
      </c>
      <c r="C515" s="160" t="s">
        <v>16630</v>
      </c>
      <c r="D515" s="160">
        <v>1200</v>
      </c>
      <c r="E515" s="161">
        <f t="shared" si="19"/>
        <v>120000</v>
      </c>
    </row>
    <row r="516" ht="16.5" spans="1:5">
      <c r="A516" s="151">
        <v>515</v>
      </c>
      <c r="B516" s="152" t="s">
        <v>1781</v>
      </c>
      <c r="C516" s="160" t="s">
        <v>16630</v>
      </c>
      <c r="D516" s="160">
        <v>350</v>
      </c>
      <c r="E516" s="161">
        <f t="shared" si="19"/>
        <v>35000</v>
      </c>
    </row>
    <row r="517" ht="16.5" spans="1:5">
      <c r="A517" s="151">
        <v>516</v>
      </c>
      <c r="B517" s="152" t="s">
        <v>1785</v>
      </c>
      <c r="C517" s="160" t="s">
        <v>16630</v>
      </c>
      <c r="D517" s="160">
        <v>300</v>
      </c>
      <c r="E517" s="161">
        <f t="shared" si="19"/>
        <v>30000</v>
      </c>
    </row>
    <row r="518" ht="16.5" spans="1:5">
      <c r="A518" s="151">
        <v>517</v>
      </c>
      <c r="B518" s="152" t="s">
        <v>1785</v>
      </c>
      <c r="C518" s="162" t="s">
        <v>16631</v>
      </c>
      <c r="D518" s="163">
        <v>1000</v>
      </c>
      <c r="E518" s="163">
        <f>D518*100</f>
        <v>100000</v>
      </c>
    </row>
    <row r="519" ht="16.5" spans="1:5">
      <c r="A519" s="151">
        <v>518</v>
      </c>
      <c r="B519" s="152" t="s">
        <v>1789</v>
      </c>
      <c r="C519" s="160" t="s">
        <v>16630</v>
      </c>
      <c r="D519" s="160">
        <v>100</v>
      </c>
      <c r="E519" s="161">
        <f t="shared" ref="E519:E528" si="20">SUM(D519*100)</f>
        <v>10000</v>
      </c>
    </row>
    <row r="520" ht="16.5" spans="1:5">
      <c r="A520" s="151">
        <v>519</v>
      </c>
      <c r="B520" s="152" t="s">
        <v>1794</v>
      </c>
      <c r="C520" s="160" t="s">
        <v>16630</v>
      </c>
      <c r="D520" s="160">
        <v>25</v>
      </c>
      <c r="E520" s="161">
        <f t="shared" si="20"/>
        <v>2500</v>
      </c>
    </row>
    <row r="521" ht="16.5" spans="1:5">
      <c r="A521" s="151">
        <v>520</v>
      </c>
      <c r="B521" s="152" t="s">
        <v>1798</v>
      </c>
      <c r="C521" s="160" t="s">
        <v>16630</v>
      </c>
      <c r="D521" s="160">
        <v>45</v>
      </c>
      <c r="E521" s="161">
        <f t="shared" si="20"/>
        <v>4500</v>
      </c>
    </row>
    <row r="522" ht="16.5" spans="1:5">
      <c r="A522" s="151">
        <v>521</v>
      </c>
      <c r="B522" s="152" t="s">
        <v>1803</v>
      </c>
      <c r="C522" s="160" t="s">
        <v>16630</v>
      </c>
      <c r="D522" s="160">
        <v>90</v>
      </c>
      <c r="E522" s="161">
        <f t="shared" si="20"/>
        <v>9000</v>
      </c>
    </row>
    <row r="523" ht="16.5" spans="1:5">
      <c r="A523" s="151">
        <v>522</v>
      </c>
      <c r="B523" s="152" t="s">
        <v>1806</v>
      </c>
      <c r="C523" s="160" t="s">
        <v>16630</v>
      </c>
      <c r="D523" s="160">
        <v>100</v>
      </c>
      <c r="E523" s="161">
        <f t="shared" si="20"/>
        <v>10000</v>
      </c>
    </row>
    <row r="524" ht="16.5" spans="1:5">
      <c r="A524" s="151">
        <v>523</v>
      </c>
      <c r="B524" s="152" t="s">
        <v>1810</v>
      </c>
      <c r="C524" s="160" t="s">
        <v>16630</v>
      </c>
      <c r="D524" s="160">
        <v>10</v>
      </c>
      <c r="E524" s="161">
        <f t="shared" si="20"/>
        <v>1000</v>
      </c>
    </row>
    <row r="525" ht="16.5" spans="1:5">
      <c r="A525" s="151">
        <v>524</v>
      </c>
      <c r="B525" s="152" t="s">
        <v>1814</v>
      </c>
      <c r="C525" s="160" t="s">
        <v>16630</v>
      </c>
      <c r="D525" s="160">
        <v>300</v>
      </c>
      <c r="E525" s="161">
        <f t="shared" si="20"/>
        <v>30000</v>
      </c>
    </row>
    <row r="526" ht="16.5" spans="1:5">
      <c r="A526" s="151">
        <v>525</v>
      </c>
      <c r="B526" s="152" t="s">
        <v>1817</v>
      </c>
      <c r="C526" s="160" t="s">
        <v>16630</v>
      </c>
      <c r="D526" s="160">
        <v>400</v>
      </c>
      <c r="E526" s="161">
        <f t="shared" si="20"/>
        <v>40000</v>
      </c>
    </row>
    <row r="527" ht="16.5" spans="1:5">
      <c r="A527" s="151">
        <v>526</v>
      </c>
      <c r="B527" s="152" t="s">
        <v>1821</v>
      </c>
      <c r="C527" s="160" t="s">
        <v>16630</v>
      </c>
      <c r="D527" s="160">
        <v>100</v>
      </c>
      <c r="E527" s="161">
        <f t="shared" si="20"/>
        <v>10000</v>
      </c>
    </row>
    <row r="528" ht="16.5" spans="1:5">
      <c r="A528" s="151">
        <v>527</v>
      </c>
      <c r="B528" s="152" t="s">
        <v>1825</v>
      </c>
      <c r="C528" s="160" t="s">
        <v>16630</v>
      </c>
      <c r="D528" s="160">
        <v>500</v>
      </c>
      <c r="E528" s="161">
        <f t="shared" si="20"/>
        <v>50000</v>
      </c>
    </row>
    <row r="529" ht="16.5" spans="1:5">
      <c r="A529" s="151">
        <v>528</v>
      </c>
      <c r="B529" s="152" t="s">
        <v>1829</v>
      </c>
      <c r="C529" s="162" t="s">
        <v>16631</v>
      </c>
      <c r="D529" s="163">
        <v>1000</v>
      </c>
      <c r="E529" s="163">
        <f>D529*100</f>
        <v>100000</v>
      </c>
    </row>
    <row r="530" ht="16.5" spans="1:5">
      <c r="A530" s="151">
        <v>529</v>
      </c>
      <c r="B530" s="152" t="s">
        <v>1834</v>
      </c>
      <c r="C530" s="153" t="s">
        <v>16629</v>
      </c>
      <c r="D530" s="154">
        <v>10</v>
      </c>
      <c r="E530" s="155">
        <f>+D530*100</f>
        <v>1000</v>
      </c>
    </row>
    <row r="531" ht="16.5" spans="1:5">
      <c r="A531" s="151">
        <v>530</v>
      </c>
      <c r="B531" s="152" t="s">
        <v>1837</v>
      </c>
      <c r="C531" s="166" t="s">
        <v>16632</v>
      </c>
      <c r="D531" s="166">
        <f>IFERROR(__xludf.DUMMYFUNCTION("""COMPUTED_VALUE"""),10000)</f>
        <v>10000</v>
      </c>
      <c r="E531" s="168">
        <f>IFERROR(__xludf.DUMMYFUNCTION("""COMPUTED_VALUE"""),1500000)</f>
        <v>1500000</v>
      </c>
    </row>
    <row r="532" ht="16.5" spans="1:5">
      <c r="A532" s="151">
        <v>531</v>
      </c>
      <c r="B532" s="152" t="s">
        <v>1838</v>
      </c>
      <c r="C532" s="160" t="s">
        <v>16630</v>
      </c>
      <c r="D532" s="160">
        <v>100</v>
      </c>
      <c r="E532" s="161">
        <f>SUM(D532*100)</f>
        <v>10000</v>
      </c>
    </row>
    <row r="533" ht="16.5" spans="1:5">
      <c r="A533" s="151">
        <v>532</v>
      </c>
      <c r="B533" s="152" t="s">
        <v>1842</v>
      </c>
      <c r="C533" s="160" t="s">
        <v>16630</v>
      </c>
      <c r="D533" s="41">
        <v>1000</v>
      </c>
      <c r="E533" s="161">
        <f>SUM(D533*100)</f>
        <v>100000</v>
      </c>
    </row>
    <row r="534" ht="16.5" spans="1:5">
      <c r="A534" s="151">
        <v>533</v>
      </c>
      <c r="B534" s="152" t="s">
        <v>1845</v>
      </c>
      <c r="C534" s="153" t="s">
        <v>16629</v>
      </c>
      <c r="D534" s="158">
        <v>10</v>
      </c>
      <c r="E534" s="155">
        <f>+D534*100</f>
        <v>1000</v>
      </c>
    </row>
    <row r="535" ht="16.5" spans="1:5">
      <c r="A535" s="151">
        <v>534</v>
      </c>
      <c r="B535" s="152" t="s">
        <v>1849</v>
      </c>
      <c r="C535" s="156" t="s">
        <v>16629</v>
      </c>
      <c r="D535" s="157">
        <v>10</v>
      </c>
      <c r="E535" s="155">
        <f>+D535*100</f>
        <v>1000</v>
      </c>
    </row>
    <row r="536" ht="16.5" spans="1:5">
      <c r="A536" s="151">
        <v>535</v>
      </c>
      <c r="B536" s="152" t="s">
        <v>1853</v>
      </c>
      <c r="C536" s="160" t="s">
        <v>16630</v>
      </c>
      <c r="D536" s="160">
        <v>10</v>
      </c>
      <c r="E536" s="161">
        <f>SUM(D536*100)</f>
        <v>1000</v>
      </c>
    </row>
    <row r="537" ht="16.5" spans="1:5">
      <c r="A537" s="151">
        <v>536</v>
      </c>
      <c r="B537" s="152" t="s">
        <v>1857</v>
      </c>
      <c r="C537" s="160" t="s">
        <v>16630</v>
      </c>
      <c r="D537" s="160">
        <v>100</v>
      </c>
      <c r="E537" s="161">
        <f>SUM(D537*100)</f>
        <v>10000</v>
      </c>
    </row>
    <row r="538" ht="16.5" spans="1:5">
      <c r="A538" s="151">
        <v>537</v>
      </c>
      <c r="B538" s="152" t="s">
        <v>1862</v>
      </c>
      <c r="C538" s="160" t="s">
        <v>16630</v>
      </c>
      <c r="D538" s="164">
        <v>300</v>
      </c>
      <c r="E538" s="161">
        <f>SUM(D538*100)</f>
        <v>30000</v>
      </c>
    </row>
    <row r="539" ht="16.5" spans="1:5">
      <c r="A539" s="151">
        <v>538</v>
      </c>
      <c r="B539" s="152" t="s">
        <v>1865</v>
      </c>
      <c r="C539" s="160" t="s">
        <v>16630</v>
      </c>
      <c r="D539" s="160">
        <v>100</v>
      </c>
      <c r="E539" s="161">
        <f>SUM(D539*100)</f>
        <v>10000</v>
      </c>
    </row>
    <row r="540" ht="16.5" spans="1:5">
      <c r="A540" s="151">
        <v>539</v>
      </c>
      <c r="B540" s="152" t="s">
        <v>1868</v>
      </c>
      <c r="C540" s="153" t="s">
        <v>16629</v>
      </c>
      <c r="D540" s="158">
        <v>10</v>
      </c>
      <c r="E540" s="155">
        <f>+D540*100</f>
        <v>1000</v>
      </c>
    </row>
    <row r="541" ht="16.5" spans="1:5">
      <c r="A541" s="151">
        <v>540</v>
      </c>
      <c r="B541" s="152" t="s">
        <v>1871</v>
      </c>
      <c r="C541" s="160" t="s">
        <v>16630</v>
      </c>
      <c r="D541" s="160">
        <v>200</v>
      </c>
      <c r="E541" s="161">
        <f>SUM(D541*100)</f>
        <v>20000</v>
      </c>
    </row>
    <row r="542" ht="16.5" spans="1:5">
      <c r="A542" s="151">
        <v>541</v>
      </c>
      <c r="B542" s="152" t="s">
        <v>1874</v>
      </c>
      <c r="C542" s="153" t="s">
        <v>16629</v>
      </c>
      <c r="D542" s="154">
        <v>20</v>
      </c>
      <c r="E542" s="155">
        <f>+D542*100</f>
        <v>2000</v>
      </c>
    </row>
    <row r="543" ht="16.5" spans="1:5">
      <c r="A543" s="151">
        <v>542</v>
      </c>
      <c r="B543" s="152" t="s">
        <v>1878</v>
      </c>
      <c r="C543" s="160" t="s">
        <v>16630</v>
      </c>
      <c r="D543" s="160">
        <v>10</v>
      </c>
      <c r="E543" s="161">
        <f>SUM(D543*100)</f>
        <v>1000</v>
      </c>
    </row>
    <row r="544" ht="16.5" spans="1:5">
      <c r="A544" s="151">
        <v>543</v>
      </c>
      <c r="B544" s="152" t="s">
        <v>1883</v>
      </c>
      <c r="C544" s="160" t="s">
        <v>16630</v>
      </c>
      <c r="D544" s="160">
        <v>10</v>
      </c>
      <c r="E544" s="161">
        <f>SUM(D544*100)</f>
        <v>1000</v>
      </c>
    </row>
    <row r="545" ht="16.5" spans="1:5">
      <c r="A545" s="151">
        <v>544</v>
      </c>
      <c r="B545" s="152" t="s">
        <v>1887</v>
      </c>
      <c r="C545" s="160" t="s">
        <v>16630</v>
      </c>
      <c r="D545" s="160">
        <v>10</v>
      </c>
      <c r="E545" s="161">
        <f>SUM(D545*100)</f>
        <v>1000</v>
      </c>
    </row>
    <row r="546" ht="16.5" spans="1:5">
      <c r="A546" s="151">
        <v>545</v>
      </c>
      <c r="B546" s="152" t="s">
        <v>1891</v>
      </c>
      <c r="C546" s="160" t="s">
        <v>16630</v>
      </c>
      <c r="D546" s="41">
        <v>20</v>
      </c>
      <c r="E546" s="161">
        <f>SUM(D546*100)</f>
        <v>2000</v>
      </c>
    </row>
    <row r="547" ht="16.5" spans="1:5">
      <c r="A547" s="151">
        <v>546</v>
      </c>
      <c r="B547" s="152" t="s">
        <v>1894</v>
      </c>
      <c r="C547" s="162" t="s">
        <v>16631</v>
      </c>
      <c r="D547" s="163">
        <v>1000</v>
      </c>
      <c r="E547" s="163">
        <f>D547*100</f>
        <v>100000</v>
      </c>
    </row>
    <row r="548" ht="16.5" spans="1:5">
      <c r="A548" s="151">
        <v>547</v>
      </c>
      <c r="B548" s="152" t="s">
        <v>1899</v>
      </c>
      <c r="C548" s="160" t="s">
        <v>16630</v>
      </c>
      <c r="D548" s="164">
        <v>200</v>
      </c>
      <c r="E548" s="161">
        <f t="shared" ref="E548:E554" si="21">SUM(D548*100)</f>
        <v>20000</v>
      </c>
    </row>
    <row r="549" ht="16.5" spans="1:5">
      <c r="A549" s="151">
        <v>548</v>
      </c>
      <c r="B549" s="152" t="s">
        <v>1902</v>
      </c>
      <c r="C549" s="160" t="s">
        <v>16630</v>
      </c>
      <c r="D549" s="160">
        <v>50</v>
      </c>
      <c r="E549" s="161">
        <f t="shared" si="21"/>
        <v>5000</v>
      </c>
    </row>
    <row r="550" ht="16.5" spans="1:5">
      <c r="A550" s="151">
        <v>549</v>
      </c>
      <c r="B550" s="152" t="s">
        <v>1907</v>
      </c>
      <c r="C550" s="160" t="s">
        <v>16630</v>
      </c>
      <c r="D550" s="160">
        <v>100</v>
      </c>
      <c r="E550" s="161">
        <f t="shared" si="21"/>
        <v>10000</v>
      </c>
    </row>
    <row r="551" ht="16.5" spans="1:5">
      <c r="A551" s="151">
        <v>550</v>
      </c>
      <c r="B551" s="152" t="s">
        <v>1911</v>
      </c>
      <c r="C551" s="160" t="s">
        <v>16630</v>
      </c>
      <c r="D551" s="160">
        <v>100</v>
      </c>
      <c r="E551" s="161">
        <f t="shared" si="21"/>
        <v>10000</v>
      </c>
    </row>
    <row r="552" ht="16.5" spans="1:5">
      <c r="A552" s="151">
        <v>551</v>
      </c>
      <c r="B552" s="152" t="s">
        <v>1915</v>
      </c>
      <c r="C552" s="160" t="s">
        <v>16630</v>
      </c>
      <c r="D552" s="160">
        <v>50</v>
      </c>
      <c r="E552" s="161">
        <f t="shared" si="21"/>
        <v>5000</v>
      </c>
    </row>
    <row r="553" ht="16.5" spans="1:5">
      <c r="A553" s="151">
        <v>552</v>
      </c>
      <c r="B553" s="152" t="s">
        <v>1919</v>
      </c>
      <c r="C553" s="160" t="s">
        <v>16630</v>
      </c>
      <c r="D553" s="160">
        <v>10</v>
      </c>
      <c r="E553" s="161">
        <f t="shared" si="21"/>
        <v>1000</v>
      </c>
    </row>
    <row r="554" ht="16.5" spans="1:5">
      <c r="A554" s="151">
        <v>553</v>
      </c>
      <c r="B554" s="152" t="s">
        <v>1923</v>
      </c>
      <c r="C554" s="160" t="s">
        <v>16630</v>
      </c>
      <c r="D554" s="160">
        <v>500</v>
      </c>
      <c r="E554" s="161">
        <f t="shared" si="21"/>
        <v>50000</v>
      </c>
    </row>
    <row r="555" ht="16.5" spans="1:5">
      <c r="A555" s="151">
        <v>554</v>
      </c>
      <c r="B555" s="152" t="s">
        <v>1927</v>
      </c>
      <c r="C555" s="156" t="s">
        <v>16629</v>
      </c>
      <c r="D555" s="157">
        <v>10</v>
      </c>
      <c r="E555" s="155">
        <f>+D555*100</f>
        <v>1000</v>
      </c>
    </row>
    <row r="556" ht="16.5" spans="1:5">
      <c r="A556" s="151">
        <v>555</v>
      </c>
      <c r="B556" s="152" t="s">
        <v>1930</v>
      </c>
      <c r="C556" s="153" t="s">
        <v>16629</v>
      </c>
      <c r="D556" s="154">
        <v>10</v>
      </c>
      <c r="E556" s="155">
        <f>+D556*100</f>
        <v>1000</v>
      </c>
    </row>
    <row r="557" ht="16.5" spans="1:5">
      <c r="A557" s="151">
        <v>556</v>
      </c>
      <c r="B557" s="152" t="s">
        <v>1934</v>
      </c>
      <c r="C557" s="153" t="s">
        <v>16629</v>
      </c>
      <c r="D557" s="158">
        <v>100</v>
      </c>
      <c r="E557" s="155">
        <f>+D557*100</f>
        <v>10000</v>
      </c>
    </row>
    <row r="558" ht="16.5" spans="1:5">
      <c r="A558" s="151">
        <v>557</v>
      </c>
      <c r="B558" s="152" t="s">
        <v>1937</v>
      </c>
      <c r="C558" s="156" t="s">
        <v>16629</v>
      </c>
      <c r="D558" s="159">
        <v>10</v>
      </c>
      <c r="E558" s="155">
        <f>+D558*100</f>
        <v>1000</v>
      </c>
    </row>
    <row r="559" ht="16.5" spans="1:5">
      <c r="A559" s="151">
        <v>558</v>
      </c>
      <c r="B559" s="152" t="s">
        <v>1941</v>
      </c>
      <c r="C559" s="153" t="s">
        <v>16629</v>
      </c>
      <c r="D559" s="154">
        <v>10</v>
      </c>
      <c r="E559" s="155">
        <f>+D559*100</f>
        <v>1000</v>
      </c>
    </row>
    <row r="560" ht="16.5" spans="1:5">
      <c r="A560" s="151">
        <v>559</v>
      </c>
      <c r="B560" s="152" t="s">
        <v>1945</v>
      </c>
      <c r="C560" s="160" t="s">
        <v>16630</v>
      </c>
      <c r="D560" s="160">
        <v>10</v>
      </c>
      <c r="E560" s="161">
        <f>SUM(D560*100)</f>
        <v>1000</v>
      </c>
    </row>
    <row r="561" ht="16.5" spans="1:5">
      <c r="A561" s="151">
        <v>560</v>
      </c>
      <c r="B561" s="152" t="s">
        <v>1948</v>
      </c>
      <c r="C561" s="156" t="s">
        <v>16629</v>
      </c>
      <c r="D561" s="157">
        <v>10</v>
      </c>
      <c r="E561" s="155">
        <f t="shared" ref="E561:E570" si="22">+D561*100</f>
        <v>1000</v>
      </c>
    </row>
    <row r="562" ht="16.5" spans="1:5">
      <c r="A562" s="151">
        <v>561</v>
      </c>
      <c r="B562" s="152" t="s">
        <v>1951</v>
      </c>
      <c r="C562" s="156" t="s">
        <v>16629</v>
      </c>
      <c r="D562" s="159">
        <v>10</v>
      </c>
      <c r="E562" s="155">
        <f t="shared" si="22"/>
        <v>1000</v>
      </c>
    </row>
    <row r="563" ht="16.5" spans="1:5">
      <c r="A563" s="151">
        <v>562</v>
      </c>
      <c r="B563" s="152" t="s">
        <v>1955</v>
      </c>
      <c r="C563" s="156" t="s">
        <v>16629</v>
      </c>
      <c r="D563" s="157">
        <v>10</v>
      </c>
      <c r="E563" s="155">
        <f t="shared" si="22"/>
        <v>1000</v>
      </c>
    </row>
    <row r="564" ht="16.5" spans="1:5">
      <c r="A564" s="151">
        <v>563</v>
      </c>
      <c r="B564" s="152" t="s">
        <v>1959</v>
      </c>
      <c r="C564" s="153" t="s">
        <v>16629</v>
      </c>
      <c r="D564" s="158">
        <v>10</v>
      </c>
      <c r="E564" s="155">
        <f t="shared" si="22"/>
        <v>1000</v>
      </c>
    </row>
    <row r="565" ht="16.5" spans="1:5">
      <c r="A565" s="151">
        <v>564</v>
      </c>
      <c r="B565" s="152" t="s">
        <v>1963</v>
      </c>
      <c r="C565" s="156" t="s">
        <v>16629</v>
      </c>
      <c r="D565" s="159">
        <v>10</v>
      </c>
      <c r="E565" s="155">
        <f t="shared" si="22"/>
        <v>1000</v>
      </c>
    </row>
    <row r="566" ht="16.5" spans="1:5">
      <c r="A566" s="151">
        <v>565</v>
      </c>
      <c r="B566" s="152" t="s">
        <v>1967</v>
      </c>
      <c r="C566" s="153" t="s">
        <v>16629</v>
      </c>
      <c r="D566" s="158">
        <v>10</v>
      </c>
      <c r="E566" s="155">
        <f t="shared" si="22"/>
        <v>1000</v>
      </c>
    </row>
    <row r="567" ht="16.5" spans="1:5">
      <c r="A567" s="151">
        <v>566</v>
      </c>
      <c r="B567" s="152" t="s">
        <v>1970</v>
      </c>
      <c r="C567" s="153" t="s">
        <v>16629</v>
      </c>
      <c r="D567" s="154">
        <v>10</v>
      </c>
      <c r="E567" s="155">
        <f t="shared" si="22"/>
        <v>1000</v>
      </c>
    </row>
    <row r="568" ht="16.5" spans="1:5">
      <c r="A568" s="151">
        <v>567</v>
      </c>
      <c r="B568" s="152" t="s">
        <v>1973</v>
      </c>
      <c r="C568" s="153" t="s">
        <v>16629</v>
      </c>
      <c r="D568" s="154">
        <v>10</v>
      </c>
      <c r="E568" s="155">
        <f t="shared" si="22"/>
        <v>1000</v>
      </c>
    </row>
    <row r="569" ht="16.5" spans="1:5">
      <c r="A569" s="151">
        <v>568</v>
      </c>
      <c r="B569" s="152" t="s">
        <v>1976</v>
      </c>
      <c r="C569" s="153" t="s">
        <v>16629</v>
      </c>
      <c r="D569" s="158">
        <v>10</v>
      </c>
      <c r="E569" s="155">
        <f t="shared" si="22"/>
        <v>1000</v>
      </c>
    </row>
    <row r="570" ht="16.5" spans="1:5">
      <c r="A570" s="151">
        <v>569</v>
      </c>
      <c r="B570" s="152" t="s">
        <v>1979</v>
      </c>
      <c r="C570" s="153" t="s">
        <v>16629</v>
      </c>
      <c r="D570" s="154">
        <v>10</v>
      </c>
      <c r="E570" s="155">
        <f t="shared" si="22"/>
        <v>1000</v>
      </c>
    </row>
    <row r="571" ht="16.5" spans="1:5">
      <c r="A571" s="151">
        <v>570</v>
      </c>
      <c r="B571" s="152" t="s">
        <v>1982</v>
      </c>
      <c r="C571" s="160" t="s">
        <v>16630</v>
      </c>
      <c r="D571" s="41">
        <v>10</v>
      </c>
      <c r="E571" s="161">
        <f>SUM(D571*100)</f>
        <v>1000</v>
      </c>
    </row>
    <row r="572" ht="16.5" spans="1:5">
      <c r="A572" s="151">
        <v>571</v>
      </c>
      <c r="B572" s="152" t="s">
        <v>1985</v>
      </c>
      <c r="C572" s="156" t="s">
        <v>16629</v>
      </c>
      <c r="D572" s="159">
        <v>10</v>
      </c>
      <c r="E572" s="155">
        <f t="shared" ref="E572:E579" si="23">+D572*100</f>
        <v>1000</v>
      </c>
    </row>
    <row r="573" ht="16.5" spans="1:5">
      <c r="A573" s="151">
        <v>572</v>
      </c>
      <c r="B573" s="152" t="s">
        <v>1989</v>
      </c>
      <c r="C573" s="153" t="s">
        <v>16629</v>
      </c>
      <c r="D573" s="158">
        <v>10</v>
      </c>
      <c r="E573" s="155">
        <f t="shared" si="23"/>
        <v>1000</v>
      </c>
    </row>
    <row r="574" ht="16.5" spans="1:5">
      <c r="A574" s="151">
        <v>573</v>
      </c>
      <c r="B574" s="152" t="s">
        <v>1992</v>
      </c>
      <c r="C574" s="156" t="s">
        <v>16629</v>
      </c>
      <c r="D574" s="159">
        <v>10</v>
      </c>
      <c r="E574" s="155">
        <f t="shared" si="23"/>
        <v>1000</v>
      </c>
    </row>
    <row r="575" ht="16.5" spans="1:5">
      <c r="A575" s="151">
        <v>574</v>
      </c>
      <c r="B575" s="152" t="s">
        <v>1995</v>
      </c>
      <c r="C575" s="153" t="s">
        <v>16629</v>
      </c>
      <c r="D575" s="154">
        <v>10</v>
      </c>
      <c r="E575" s="155">
        <f t="shared" si="23"/>
        <v>1000</v>
      </c>
    </row>
    <row r="576" ht="16.5" spans="1:5">
      <c r="A576" s="151">
        <v>575</v>
      </c>
      <c r="B576" s="152" t="s">
        <v>1998</v>
      </c>
      <c r="C576" s="153" t="s">
        <v>16629</v>
      </c>
      <c r="D576" s="154">
        <v>10</v>
      </c>
      <c r="E576" s="155">
        <f t="shared" si="23"/>
        <v>1000</v>
      </c>
    </row>
    <row r="577" ht="16.5" spans="1:5">
      <c r="A577" s="151">
        <v>576</v>
      </c>
      <c r="B577" s="152" t="s">
        <v>2001</v>
      </c>
      <c r="C577" s="153" t="s">
        <v>16629</v>
      </c>
      <c r="D577" s="154">
        <v>10</v>
      </c>
      <c r="E577" s="155">
        <f t="shared" si="23"/>
        <v>1000</v>
      </c>
    </row>
    <row r="578" ht="16.5" spans="1:5">
      <c r="A578" s="151">
        <v>577</v>
      </c>
      <c r="B578" s="152" t="s">
        <v>2005</v>
      </c>
      <c r="C578" s="156" t="s">
        <v>16629</v>
      </c>
      <c r="D578" s="154">
        <v>10</v>
      </c>
      <c r="E578" s="155">
        <f t="shared" si="23"/>
        <v>1000</v>
      </c>
    </row>
    <row r="579" ht="16.5" spans="1:5">
      <c r="A579" s="151">
        <v>578</v>
      </c>
      <c r="B579" s="152" t="s">
        <v>2008</v>
      </c>
      <c r="C579" s="153" t="s">
        <v>16629</v>
      </c>
      <c r="D579" s="158">
        <v>10</v>
      </c>
      <c r="E579" s="155">
        <f t="shared" si="23"/>
        <v>1000</v>
      </c>
    </row>
    <row r="580" ht="16.5" spans="1:5">
      <c r="A580" s="151">
        <v>579</v>
      </c>
      <c r="B580" s="152" t="s">
        <v>2012</v>
      </c>
      <c r="C580" s="160" t="s">
        <v>16630</v>
      </c>
      <c r="D580" s="160">
        <v>100</v>
      </c>
      <c r="E580" s="161">
        <f>SUM(D580*100)</f>
        <v>10000</v>
      </c>
    </row>
    <row r="581" ht="16.5" spans="1:5">
      <c r="A581" s="151">
        <v>580</v>
      </c>
      <c r="B581" s="152" t="s">
        <v>2012</v>
      </c>
      <c r="C581" s="162" t="s">
        <v>16631</v>
      </c>
      <c r="D581" s="163">
        <v>1000</v>
      </c>
      <c r="E581" s="163">
        <f>D581*100</f>
        <v>100000</v>
      </c>
    </row>
    <row r="582" ht="16.5" spans="1:5">
      <c r="A582" s="151">
        <v>581</v>
      </c>
      <c r="B582" s="152" t="s">
        <v>2016</v>
      </c>
      <c r="C582" s="156" t="s">
        <v>16629</v>
      </c>
      <c r="D582" s="157">
        <v>10</v>
      </c>
      <c r="E582" s="155">
        <f>+D582*100</f>
        <v>1000</v>
      </c>
    </row>
    <row r="583" ht="16.5" spans="1:5">
      <c r="A583" s="151">
        <v>582</v>
      </c>
      <c r="B583" s="152" t="s">
        <v>2019</v>
      </c>
      <c r="C583" s="153" t="s">
        <v>16629</v>
      </c>
      <c r="D583" s="154">
        <v>10</v>
      </c>
      <c r="E583" s="155">
        <f>+D583*100</f>
        <v>1000</v>
      </c>
    </row>
    <row r="584" ht="16.5" spans="1:5">
      <c r="A584" s="151">
        <v>583</v>
      </c>
      <c r="B584" s="152" t="s">
        <v>2023</v>
      </c>
      <c r="C584" s="153" t="s">
        <v>16629</v>
      </c>
      <c r="D584" s="154">
        <v>10</v>
      </c>
      <c r="E584" s="155">
        <f>+D584*100</f>
        <v>1000</v>
      </c>
    </row>
    <row r="585" ht="16.5" spans="1:5">
      <c r="A585" s="151">
        <v>584</v>
      </c>
      <c r="B585" s="152" t="s">
        <v>2026</v>
      </c>
      <c r="C585" s="160" t="s">
        <v>16630</v>
      </c>
      <c r="D585" s="160">
        <v>150</v>
      </c>
      <c r="E585" s="161">
        <f>SUM(D585*100)</f>
        <v>15000</v>
      </c>
    </row>
    <row r="586" ht="16.5" spans="1:5">
      <c r="A586" s="151">
        <v>585</v>
      </c>
      <c r="B586" s="152" t="s">
        <v>2030</v>
      </c>
      <c r="C586" s="153" t="s">
        <v>16629</v>
      </c>
      <c r="D586" s="154">
        <v>10</v>
      </c>
      <c r="E586" s="155">
        <f>+D586*100</f>
        <v>1000</v>
      </c>
    </row>
    <row r="587" ht="16.5" spans="1:5">
      <c r="A587" s="151">
        <v>586</v>
      </c>
      <c r="B587" s="152" t="s">
        <v>2034</v>
      </c>
      <c r="C587" s="156" t="s">
        <v>16629</v>
      </c>
      <c r="D587" s="159">
        <v>10</v>
      </c>
      <c r="E587" s="155">
        <f>+D587*100</f>
        <v>1000</v>
      </c>
    </row>
    <row r="588" ht="16.5" spans="1:5">
      <c r="A588" s="151">
        <v>587</v>
      </c>
      <c r="B588" s="152" t="s">
        <v>2037</v>
      </c>
      <c r="C588" s="160" t="s">
        <v>16630</v>
      </c>
      <c r="D588" s="160">
        <v>10</v>
      </c>
      <c r="E588" s="161">
        <f>SUM(D588*100)</f>
        <v>1000</v>
      </c>
    </row>
    <row r="589" ht="16.5" spans="1:5">
      <c r="A589" s="151">
        <v>588</v>
      </c>
      <c r="B589" s="152" t="s">
        <v>2041</v>
      </c>
      <c r="C589" s="153" t="s">
        <v>16629</v>
      </c>
      <c r="D589" s="154">
        <v>10</v>
      </c>
      <c r="E589" s="155">
        <f>+D589*100</f>
        <v>1000</v>
      </c>
    </row>
    <row r="590" ht="16.5" spans="1:5">
      <c r="A590" s="151">
        <v>589</v>
      </c>
      <c r="B590" s="152" t="s">
        <v>2045</v>
      </c>
      <c r="C590" s="153" t="s">
        <v>16629</v>
      </c>
      <c r="D590" s="154">
        <v>100</v>
      </c>
      <c r="E590" s="155">
        <f>+D590*100</f>
        <v>10000</v>
      </c>
    </row>
    <row r="591" ht="16.5" spans="1:5">
      <c r="A591" s="151">
        <v>590</v>
      </c>
      <c r="B591" s="152" t="s">
        <v>2049</v>
      </c>
      <c r="C591" s="160" t="s">
        <v>16630</v>
      </c>
      <c r="D591" s="41">
        <v>100</v>
      </c>
      <c r="E591" s="161">
        <f>SUM(D591*100)</f>
        <v>10000</v>
      </c>
    </row>
    <row r="592" ht="16.5" spans="1:5">
      <c r="A592" s="151">
        <v>591</v>
      </c>
      <c r="B592" s="152" t="s">
        <v>2052</v>
      </c>
      <c r="C592" s="153" t="s">
        <v>16629</v>
      </c>
      <c r="D592" s="154">
        <v>10</v>
      </c>
      <c r="E592" s="155">
        <f>+D592*100</f>
        <v>1000</v>
      </c>
    </row>
    <row r="593" ht="16.5" spans="1:5">
      <c r="A593" s="151">
        <v>592</v>
      </c>
      <c r="B593" s="152" t="s">
        <v>2055</v>
      </c>
      <c r="C593" s="153" t="s">
        <v>16629</v>
      </c>
      <c r="D593" s="154">
        <v>20</v>
      </c>
      <c r="E593" s="155">
        <f>+D593*100</f>
        <v>2000</v>
      </c>
    </row>
    <row r="594" ht="16.5" spans="1:5">
      <c r="A594" s="151">
        <v>593</v>
      </c>
      <c r="B594" s="152" t="s">
        <v>2059</v>
      </c>
      <c r="C594" s="160" t="s">
        <v>16630</v>
      </c>
      <c r="D594" s="160">
        <v>40</v>
      </c>
      <c r="E594" s="161">
        <f>SUM(D594*100)</f>
        <v>4000</v>
      </c>
    </row>
    <row r="595" ht="16.5" spans="1:5">
      <c r="A595" s="151">
        <v>594</v>
      </c>
      <c r="B595" s="152" t="s">
        <v>2063</v>
      </c>
      <c r="C595" s="160" t="s">
        <v>16630</v>
      </c>
      <c r="D595" s="160">
        <v>1000</v>
      </c>
      <c r="E595" s="161">
        <f>SUM(D595*100)</f>
        <v>100000</v>
      </c>
    </row>
    <row r="596" ht="16.5" spans="1:5">
      <c r="A596" s="151">
        <v>595</v>
      </c>
      <c r="B596" s="152" t="s">
        <v>2063</v>
      </c>
      <c r="C596" s="162" t="s">
        <v>16631</v>
      </c>
      <c r="D596" s="163">
        <v>1000</v>
      </c>
      <c r="E596" s="163">
        <f>D596*100</f>
        <v>100000</v>
      </c>
    </row>
    <row r="597" ht="16.5" spans="1:5">
      <c r="A597" s="151">
        <v>596</v>
      </c>
      <c r="B597" s="152" t="s">
        <v>2069</v>
      </c>
      <c r="C597" s="156" t="s">
        <v>16629</v>
      </c>
      <c r="D597" s="159">
        <v>10</v>
      </c>
      <c r="E597" s="155">
        <f>+D597*100</f>
        <v>1000</v>
      </c>
    </row>
    <row r="598" ht="16.5" spans="1:5">
      <c r="A598" s="151">
        <v>597</v>
      </c>
      <c r="B598" s="152" t="s">
        <v>2072</v>
      </c>
      <c r="C598" s="153" t="s">
        <v>16629</v>
      </c>
      <c r="D598" s="158">
        <v>10</v>
      </c>
      <c r="E598" s="155">
        <f>+D598*100</f>
        <v>1000</v>
      </c>
    </row>
    <row r="599" ht="16.5" spans="1:5">
      <c r="A599" s="151">
        <v>598</v>
      </c>
      <c r="B599" s="152" t="s">
        <v>2075</v>
      </c>
      <c r="C599" s="156" t="s">
        <v>16629</v>
      </c>
      <c r="D599" s="159">
        <v>10</v>
      </c>
      <c r="E599" s="155">
        <f>+D599*100</f>
        <v>1000</v>
      </c>
    </row>
    <row r="600" ht="16.5" spans="1:5">
      <c r="A600" s="151">
        <v>599</v>
      </c>
      <c r="B600" s="152" t="s">
        <v>2079</v>
      </c>
      <c r="C600" s="166" t="s">
        <v>16632</v>
      </c>
      <c r="D600" s="151">
        <f>IFERROR(__xludf.DUMMYFUNCTION("""COMPUTED_VALUE"""),10000)</f>
        <v>10000</v>
      </c>
      <c r="E600" s="167">
        <f>IFERROR(__xludf.DUMMYFUNCTION("""COMPUTED_VALUE"""),1500000)</f>
        <v>1500000</v>
      </c>
    </row>
    <row r="601" ht="16.5" spans="1:5">
      <c r="A601" s="151">
        <v>600</v>
      </c>
      <c r="B601" s="152" t="s">
        <v>2080</v>
      </c>
      <c r="C601" s="156" t="s">
        <v>16629</v>
      </c>
      <c r="D601" s="157">
        <v>10</v>
      </c>
      <c r="E601" s="155">
        <f t="shared" ref="E601:E607" si="24">+D601*100</f>
        <v>1000</v>
      </c>
    </row>
    <row r="602" ht="16.5" spans="1:5">
      <c r="A602" s="151">
        <v>601</v>
      </c>
      <c r="B602" s="152" t="s">
        <v>2084</v>
      </c>
      <c r="C602" s="156" t="s">
        <v>16629</v>
      </c>
      <c r="D602" s="157">
        <v>20</v>
      </c>
      <c r="E602" s="155">
        <f t="shared" si="24"/>
        <v>2000</v>
      </c>
    </row>
    <row r="603" ht="16.5" spans="1:5">
      <c r="A603" s="151">
        <v>602</v>
      </c>
      <c r="B603" s="152" t="s">
        <v>2088</v>
      </c>
      <c r="C603" s="156" t="s">
        <v>16629</v>
      </c>
      <c r="D603" s="159">
        <v>10</v>
      </c>
      <c r="E603" s="155">
        <f t="shared" si="24"/>
        <v>1000</v>
      </c>
    </row>
    <row r="604" ht="16.5" spans="1:5">
      <c r="A604" s="151">
        <v>603</v>
      </c>
      <c r="B604" s="152" t="s">
        <v>2091</v>
      </c>
      <c r="C604" s="153" t="s">
        <v>16629</v>
      </c>
      <c r="D604" s="154">
        <v>10</v>
      </c>
      <c r="E604" s="155">
        <f t="shared" si="24"/>
        <v>1000</v>
      </c>
    </row>
    <row r="605" ht="16.5" spans="1:5">
      <c r="A605" s="151">
        <v>604</v>
      </c>
      <c r="B605" s="152" t="s">
        <v>2094</v>
      </c>
      <c r="C605" s="156" t="s">
        <v>16629</v>
      </c>
      <c r="D605" s="159">
        <v>10</v>
      </c>
      <c r="E605" s="155">
        <f t="shared" si="24"/>
        <v>1000</v>
      </c>
    </row>
    <row r="606" ht="16.5" spans="1:5">
      <c r="A606" s="151">
        <v>605</v>
      </c>
      <c r="B606" s="152" t="s">
        <v>2097</v>
      </c>
      <c r="C606" s="153" t="s">
        <v>16629</v>
      </c>
      <c r="D606" s="154">
        <v>10</v>
      </c>
      <c r="E606" s="155">
        <f t="shared" si="24"/>
        <v>1000</v>
      </c>
    </row>
    <row r="607" ht="16.5" spans="1:5">
      <c r="A607" s="151">
        <v>606</v>
      </c>
      <c r="B607" s="152" t="s">
        <v>2101</v>
      </c>
      <c r="C607" s="156" t="s">
        <v>16629</v>
      </c>
      <c r="D607" s="159">
        <v>10</v>
      </c>
      <c r="E607" s="155">
        <f t="shared" si="24"/>
        <v>1000</v>
      </c>
    </row>
    <row r="608" ht="16.5" spans="1:5">
      <c r="A608" s="151">
        <v>607</v>
      </c>
      <c r="B608" s="152" t="s">
        <v>2104</v>
      </c>
      <c r="C608" s="160" t="s">
        <v>16630</v>
      </c>
      <c r="D608" s="160">
        <v>1000</v>
      </c>
      <c r="E608" s="161">
        <f>SUM(D608*100)</f>
        <v>100000</v>
      </c>
    </row>
    <row r="609" ht="16.5" spans="1:5">
      <c r="A609" s="151">
        <v>608</v>
      </c>
      <c r="B609" s="152" t="s">
        <v>2109</v>
      </c>
      <c r="C609" s="156" t="s">
        <v>16629</v>
      </c>
      <c r="D609" s="159">
        <v>10</v>
      </c>
      <c r="E609" s="155">
        <f>+D609*100</f>
        <v>1000</v>
      </c>
    </row>
    <row r="610" ht="16.5" spans="1:5">
      <c r="A610" s="151">
        <v>609</v>
      </c>
      <c r="B610" s="152" t="s">
        <v>2112</v>
      </c>
      <c r="C610" s="153" t="s">
        <v>16629</v>
      </c>
      <c r="D610" s="154">
        <v>10</v>
      </c>
      <c r="E610" s="155">
        <f>+D610*100</f>
        <v>1000</v>
      </c>
    </row>
    <row r="611" ht="16.5" spans="1:5">
      <c r="A611" s="151">
        <v>610</v>
      </c>
      <c r="B611" s="152" t="s">
        <v>2115</v>
      </c>
      <c r="C611" s="156" t="s">
        <v>16629</v>
      </c>
      <c r="D611" s="159">
        <v>10</v>
      </c>
      <c r="E611" s="155">
        <f>+D611*100</f>
        <v>1000</v>
      </c>
    </row>
    <row r="612" ht="16.5" spans="1:5">
      <c r="A612" s="151">
        <v>611</v>
      </c>
      <c r="B612" s="152" t="s">
        <v>2119</v>
      </c>
      <c r="C612" s="160" t="s">
        <v>16630</v>
      </c>
      <c r="D612" s="160">
        <v>10</v>
      </c>
      <c r="E612" s="161">
        <f>SUM(D612*100)</f>
        <v>1000</v>
      </c>
    </row>
    <row r="613" ht="16.5" spans="1:5">
      <c r="A613" s="151">
        <v>612</v>
      </c>
      <c r="B613" s="152" t="s">
        <v>2122</v>
      </c>
      <c r="C613" s="156" t="s">
        <v>16629</v>
      </c>
      <c r="D613" s="158">
        <v>10</v>
      </c>
      <c r="E613" s="155">
        <f>+D613*100</f>
        <v>1000</v>
      </c>
    </row>
    <row r="614" ht="16.5" spans="1:5">
      <c r="A614" s="151">
        <v>613</v>
      </c>
      <c r="B614" s="152" t="s">
        <v>2125</v>
      </c>
      <c r="C614" s="160" t="s">
        <v>16630</v>
      </c>
      <c r="D614" s="165">
        <v>100</v>
      </c>
      <c r="E614" s="161">
        <f>SUM(D614*100)</f>
        <v>10000</v>
      </c>
    </row>
    <row r="615" ht="16.5" spans="1:5">
      <c r="A615" s="151">
        <v>614</v>
      </c>
      <c r="B615" s="152" t="s">
        <v>2128</v>
      </c>
      <c r="C615" s="153" t="s">
        <v>16629</v>
      </c>
      <c r="D615" s="154">
        <v>10</v>
      </c>
      <c r="E615" s="155">
        <f>+D615*100</f>
        <v>1000</v>
      </c>
    </row>
    <row r="616" ht="16.5" spans="1:5">
      <c r="A616" s="151">
        <v>615</v>
      </c>
      <c r="B616" s="152" t="s">
        <v>2131</v>
      </c>
      <c r="C616" s="162" t="s">
        <v>16631</v>
      </c>
      <c r="D616" s="163">
        <v>1000</v>
      </c>
      <c r="E616" s="163">
        <f>D616*100</f>
        <v>100000</v>
      </c>
    </row>
    <row r="617" ht="16.5" spans="1:5">
      <c r="A617" s="151">
        <v>616</v>
      </c>
      <c r="B617" s="152" t="s">
        <v>2136</v>
      </c>
      <c r="C617" s="160" t="s">
        <v>16630</v>
      </c>
      <c r="D617" s="160">
        <v>50</v>
      </c>
      <c r="E617" s="161">
        <f>SUM(D617*100)</f>
        <v>5000</v>
      </c>
    </row>
    <row r="618" ht="16.5" spans="1:5">
      <c r="A618" s="151">
        <v>617</v>
      </c>
      <c r="B618" s="152" t="s">
        <v>2141</v>
      </c>
      <c r="C618" s="153" t="s">
        <v>16629</v>
      </c>
      <c r="D618" s="154">
        <v>10</v>
      </c>
      <c r="E618" s="155">
        <f>+D618*100</f>
        <v>1000</v>
      </c>
    </row>
    <row r="619" ht="16.5" spans="1:5">
      <c r="A619" s="151">
        <v>618</v>
      </c>
      <c r="B619" s="152" t="s">
        <v>2144</v>
      </c>
      <c r="C619" s="153" t="s">
        <v>16629</v>
      </c>
      <c r="D619" s="154">
        <v>10</v>
      </c>
      <c r="E619" s="155">
        <f>+D619*100</f>
        <v>1000</v>
      </c>
    </row>
    <row r="620" ht="16.5" spans="1:5">
      <c r="A620" s="151">
        <v>619</v>
      </c>
      <c r="B620" s="152" t="s">
        <v>2148</v>
      </c>
      <c r="C620" s="166" t="s">
        <v>16632</v>
      </c>
      <c r="D620" s="166">
        <f>IFERROR(__xludf.DUMMYFUNCTION("""COMPUTED_VALUE"""),15000)</f>
        <v>15000</v>
      </c>
      <c r="E620" s="168">
        <f>IFERROR(__xludf.DUMMYFUNCTION("""COMPUTED_VALUE"""),1500000)</f>
        <v>1500000</v>
      </c>
    </row>
    <row r="621" ht="16.5" spans="1:5">
      <c r="A621" s="151">
        <v>620</v>
      </c>
      <c r="B621" s="152" t="s">
        <v>2149</v>
      </c>
      <c r="C621" s="156" t="s">
        <v>16629</v>
      </c>
      <c r="D621" s="159">
        <v>10</v>
      </c>
      <c r="E621" s="155">
        <f t="shared" ref="E621:E636" si="25">+D621*100</f>
        <v>1000</v>
      </c>
    </row>
    <row r="622" ht="16.5" spans="1:5">
      <c r="A622" s="151">
        <v>621</v>
      </c>
      <c r="B622" s="152" t="s">
        <v>2152</v>
      </c>
      <c r="C622" s="156" t="s">
        <v>16629</v>
      </c>
      <c r="D622" s="159">
        <v>10</v>
      </c>
      <c r="E622" s="155">
        <f t="shared" si="25"/>
        <v>1000</v>
      </c>
    </row>
    <row r="623" ht="16.5" spans="1:5">
      <c r="A623" s="151">
        <v>622</v>
      </c>
      <c r="B623" s="152" t="s">
        <v>2156</v>
      </c>
      <c r="C623" s="153" t="s">
        <v>16629</v>
      </c>
      <c r="D623" s="154">
        <v>10</v>
      </c>
      <c r="E623" s="155">
        <f t="shared" si="25"/>
        <v>1000</v>
      </c>
    </row>
    <row r="624" ht="16.5" spans="1:5">
      <c r="A624" s="151">
        <v>623</v>
      </c>
      <c r="B624" s="152" t="s">
        <v>2160</v>
      </c>
      <c r="C624" s="153" t="s">
        <v>16629</v>
      </c>
      <c r="D624" s="154">
        <v>10</v>
      </c>
      <c r="E624" s="155">
        <f t="shared" si="25"/>
        <v>1000</v>
      </c>
    </row>
    <row r="625" ht="16.5" spans="1:5">
      <c r="A625" s="151">
        <v>624</v>
      </c>
      <c r="B625" s="152" t="s">
        <v>2163</v>
      </c>
      <c r="C625" s="156" t="s">
        <v>16629</v>
      </c>
      <c r="D625" s="159">
        <v>10</v>
      </c>
      <c r="E625" s="155">
        <f t="shared" si="25"/>
        <v>1000</v>
      </c>
    </row>
    <row r="626" ht="16.5" spans="1:5">
      <c r="A626" s="151">
        <v>625</v>
      </c>
      <c r="B626" s="152" t="s">
        <v>2166</v>
      </c>
      <c r="C626" s="156" t="s">
        <v>16629</v>
      </c>
      <c r="D626" s="154">
        <v>10</v>
      </c>
      <c r="E626" s="155">
        <f t="shared" si="25"/>
        <v>1000</v>
      </c>
    </row>
    <row r="627" ht="16.5" spans="1:5">
      <c r="A627" s="151">
        <v>626</v>
      </c>
      <c r="B627" s="152" t="s">
        <v>2170</v>
      </c>
      <c r="C627" s="153" t="s">
        <v>16629</v>
      </c>
      <c r="D627" s="154">
        <v>10</v>
      </c>
      <c r="E627" s="155">
        <f t="shared" si="25"/>
        <v>1000</v>
      </c>
    </row>
    <row r="628" ht="16.5" spans="1:5">
      <c r="A628" s="151">
        <v>627</v>
      </c>
      <c r="B628" s="152" t="s">
        <v>2173</v>
      </c>
      <c r="C628" s="153" t="s">
        <v>16629</v>
      </c>
      <c r="D628" s="154">
        <v>10</v>
      </c>
      <c r="E628" s="155">
        <f t="shared" si="25"/>
        <v>1000</v>
      </c>
    </row>
    <row r="629" ht="16.5" spans="1:5">
      <c r="A629" s="151">
        <v>628</v>
      </c>
      <c r="B629" s="152" t="s">
        <v>2176</v>
      </c>
      <c r="C629" s="153" t="s">
        <v>16629</v>
      </c>
      <c r="D629" s="154">
        <v>10</v>
      </c>
      <c r="E629" s="155">
        <f t="shared" si="25"/>
        <v>1000</v>
      </c>
    </row>
    <row r="630" ht="16.5" spans="1:5">
      <c r="A630" s="151">
        <v>629</v>
      </c>
      <c r="B630" s="152" t="s">
        <v>2179</v>
      </c>
      <c r="C630" s="156" t="s">
        <v>16629</v>
      </c>
      <c r="D630" s="159">
        <v>10</v>
      </c>
      <c r="E630" s="155">
        <f t="shared" si="25"/>
        <v>1000</v>
      </c>
    </row>
    <row r="631" ht="16.5" spans="1:5">
      <c r="A631" s="151">
        <v>630</v>
      </c>
      <c r="B631" s="152" t="s">
        <v>2182</v>
      </c>
      <c r="C631" s="153" t="s">
        <v>16629</v>
      </c>
      <c r="D631" s="158">
        <v>10</v>
      </c>
      <c r="E631" s="155">
        <f t="shared" si="25"/>
        <v>1000</v>
      </c>
    </row>
    <row r="632" ht="16.5" spans="1:5">
      <c r="A632" s="151">
        <v>631</v>
      </c>
      <c r="B632" s="152" t="s">
        <v>2186</v>
      </c>
      <c r="C632" s="153" t="s">
        <v>16629</v>
      </c>
      <c r="D632" s="158">
        <v>10</v>
      </c>
      <c r="E632" s="155">
        <f t="shared" si="25"/>
        <v>1000</v>
      </c>
    </row>
    <row r="633" ht="16.5" spans="1:5">
      <c r="A633" s="151">
        <v>632</v>
      </c>
      <c r="B633" s="152" t="s">
        <v>2189</v>
      </c>
      <c r="C633" s="153" t="s">
        <v>16629</v>
      </c>
      <c r="D633" s="158">
        <v>10</v>
      </c>
      <c r="E633" s="155">
        <f t="shared" si="25"/>
        <v>1000</v>
      </c>
    </row>
    <row r="634" ht="16.5" spans="1:5">
      <c r="A634" s="151">
        <v>633</v>
      </c>
      <c r="B634" s="152" t="s">
        <v>2192</v>
      </c>
      <c r="C634" s="156" t="s">
        <v>16629</v>
      </c>
      <c r="D634" s="157">
        <v>10</v>
      </c>
      <c r="E634" s="155">
        <f t="shared" si="25"/>
        <v>1000</v>
      </c>
    </row>
    <row r="635" ht="16.5" spans="1:5">
      <c r="A635" s="151">
        <v>634</v>
      </c>
      <c r="B635" s="152" t="s">
        <v>2196</v>
      </c>
      <c r="C635" s="153" t="s">
        <v>16629</v>
      </c>
      <c r="D635" s="158">
        <v>10</v>
      </c>
      <c r="E635" s="155">
        <f t="shared" si="25"/>
        <v>1000</v>
      </c>
    </row>
    <row r="636" ht="16.5" spans="1:5">
      <c r="A636" s="151">
        <v>635</v>
      </c>
      <c r="B636" s="152" t="s">
        <v>2199</v>
      </c>
      <c r="C636" s="156" t="s">
        <v>16629</v>
      </c>
      <c r="D636" s="157">
        <v>10</v>
      </c>
      <c r="E636" s="155">
        <f t="shared" si="25"/>
        <v>1000</v>
      </c>
    </row>
    <row r="637" ht="16.5" spans="1:5">
      <c r="A637" s="151">
        <v>636</v>
      </c>
      <c r="B637" s="152" t="s">
        <v>2202</v>
      </c>
      <c r="C637" s="160" t="s">
        <v>16630</v>
      </c>
      <c r="D637" s="160">
        <v>30</v>
      </c>
      <c r="E637" s="161">
        <f>SUM(D637*100)</f>
        <v>3000</v>
      </c>
    </row>
    <row r="638" ht="16.5" spans="1:5">
      <c r="A638" s="151">
        <v>637</v>
      </c>
      <c r="B638" s="152" t="s">
        <v>2205</v>
      </c>
      <c r="C638" s="156" t="s">
        <v>16629</v>
      </c>
      <c r="D638" s="159">
        <v>10</v>
      </c>
      <c r="E638" s="155">
        <f>+D638*100</f>
        <v>1000</v>
      </c>
    </row>
    <row r="639" ht="16.5" spans="1:5">
      <c r="A639" s="151">
        <v>638</v>
      </c>
      <c r="B639" s="152" t="s">
        <v>2208</v>
      </c>
      <c r="C639" s="160" t="s">
        <v>16630</v>
      </c>
      <c r="D639" s="41">
        <v>200</v>
      </c>
      <c r="E639" s="161">
        <f>SUM(D639*100)</f>
        <v>20000</v>
      </c>
    </row>
    <row r="640" ht="16.5" spans="1:5">
      <c r="A640" s="151">
        <v>639</v>
      </c>
      <c r="B640" s="152" t="s">
        <v>2211</v>
      </c>
      <c r="C640" s="160" t="s">
        <v>16630</v>
      </c>
      <c r="D640" s="41">
        <v>50</v>
      </c>
      <c r="E640" s="161">
        <f>SUM(D640*100)</f>
        <v>5000</v>
      </c>
    </row>
    <row r="641" ht="16.5" spans="1:5">
      <c r="A641" s="151">
        <v>640</v>
      </c>
      <c r="B641" s="152" t="s">
        <v>2214</v>
      </c>
      <c r="C641" s="153" t="s">
        <v>16629</v>
      </c>
      <c r="D641" s="158">
        <v>10</v>
      </c>
      <c r="E641" s="155">
        <f>+D641*100</f>
        <v>1000</v>
      </c>
    </row>
    <row r="642" ht="16.5" spans="1:5">
      <c r="A642" s="151">
        <v>641</v>
      </c>
      <c r="B642" s="152" t="s">
        <v>2218</v>
      </c>
      <c r="C642" s="166" t="s">
        <v>16632</v>
      </c>
      <c r="D642" s="166">
        <f>IFERROR(__xludf.DUMMYFUNCTION("""COMPUTED_VALUE"""),10000)</f>
        <v>10000</v>
      </c>
      <c r="E642" s="168">
        <f>IFERROR(__xludf.DUMMYFUNCTION("""COMPUTED_VALUE"""),1500000)</f>
        <v>1500000</v>
      </c>
    </row>
    <row r="643" ht="16.5" spans="1:5">
      <c r="A643" s="151">
        <v>642</v>
      </c>
      <c r="B643" s="152" t="s">
        <v>2219</v>
      </c>
      <c r="C643" s="162" t="s">
        <v>16631</v>
      </c>
      <c r="D643" s="163">
        <v>1000</v>
      </c>
      <c r="E643" s="163">
        <f>D643*100</f>
        <v>100000</v>
      </c>
    </row>
    <row r="644" ht="16.5" spans="1:5">
      <c r="A644" s="151">
        <v>643</v>
      </c>
      <c r="B644" s="152" t="s">
        <v>2224</v>
      </c>
      <c r="C644" s="156" t="s">
        <v>16629</v>
      </c>
      <c r="D644" s="157">
        <v>10</v>
      </c>
      <c r="E644" s="155">
        <f>+D644*100</f>
        <v>1000</v>
      </c>
    </row>
    <row r="645" ht="16.5" spans="1:5">
      <c r="A645" s="151">
        <v>644</v>
      </c>
      <c r="B645" s="152" t="s">
        <v>2227</v>
      </c>
      <c r="C645" s="153" t="s">
        <v>16629</v>
      </c>
      <c r="D645" s="154">
        <v>10</v>
      </c>
      <c r="E645" s="155">
        <f>+D645*100</f>
        <v>1000</v>
      </c>
    </row>
    <row r="646" ht="16.5" spans="1:5">
      <c r="A646" s="151">
        <v>645</v>
      </c>
      <c r="B646" s="152" t="s">
        <v>2230</v>
      </c>
      <c r="C646" s="160" t="s">
        <v>16630</v>
      </c>
      <c r="D646" s="160">
        <v>100</v>
      </c>
      <c r="E646" s="161">
        <f>SUM(D646*100)</f>
        <v>10000</v>
      </c>
    </row>
    <row r="647" ht="16.5" spans="1:5">
      <c r="A647" s="151">
        <v>646</v>
      </c>
      <c r="B647" s="152" t="s">
        <v>2235</v>
      </c>
      <c r="C647" s="160" t="s">
        <v>16630</v>
      </c>
      <c r="D647" s="41">
        <v>100</v>
      </c>
      <c r="E647" s="161">
        <f>SUM(D647*100)</f>
        <v>10000</v>
      </c>
    </row>
    <row r="648" ht="16.5" spans="1:5">
      <c r="A648" s="151">
        <v>647</v>
      </c>
      <c r="B648" s="152" t="s">
        <v>2237</v>
      </c>
      <c r="C648" s="153" t="s">
        <v>16629</v>
      </c>
      <c r="D648" s="154">
        <v>10</v>
      </c>
      <c r="E648" s="155">
        <f>+D648*100</f>
        <v>1000</v>
      </c>
    </row>
    <row r="649" ht="16.5" spans="1:5">
      <c r="A649" s="151">
        <v>648</v>
      </c>
      <c r="B649" s="152" t="s">
        <v>2241</v>
      </c>
      <c r="C649" s="156" t="s">
        <v>16629</v>
      </c>
      <c r="D649" s="159">
        <v>10</v>
      </c>
      <c r="E649" s="155">
        <f>+D649*100</f>
        <v>1000</v>
      </c>
    </row>
    <row r="650" ht="16.5" spans="1:5">
      <c r="A650" s="151">
        <v>649</v>
      </c>
      <c r="B650" s="152" t="s">
        <v>2244</v>
      </c>
      <c r="C650" s="160" t="s">
        <v>16630</v>
      </c>
      <c r="D650" s="160">
        <v>10</v>
      </c>
      <c r="E650" s="161">
        <f>SUM(D650*100)</f>
        <v>1000</v>
      </c>
    </row>
    <row r="651" ht="16.5" spans="1:5">
      <c r="A651" s="151">
        <v>650</v>
      </c>
      <c r="B651" s="152" t="s">
        <v>2248</v>
      </c>
      <c r="C651" s="153" t="s">
        <v>16629</v>
      </c>
      <c r="D651" s="154">
        <v>10</v>
      </c>
      <c r="E651" s="155">
        <f>+D651*100</f>
        <v>1000</v>
      </c>
    </row>
    <row r="652" ht="16.5" spans="1:5">
      <c r="A652" s="151">
        <v>651</v>
      </c>
      <c r="B652" s="152" t="s">
        <v>2252</v>
      </c>
      <c r="C652" s="162" t="s">
        <v>16631</v>
      </c>
      <c r="D652" s="169">
        <v>1000</v>
      </c>
      <c r="E652" s="170">
        <f>D652*100</f>
        <v>100000</v>
      </c>
    </row>
    <row r="653" ht="16.5" spans="1:5">
      <c r="A653" s="151">
        <v>652</v>
      </c>
      <c r="B653" s="152" t="s">
        <v>2256</v>
      </c>
      <c r="C653" s="153" t="s">
        <v>16629</v>
      </c>
      <c r="D653" s="158">
        <v>10</v>
      </c>
      <c r="E653" s="155">
        <f t="shared" ref="E653:E658" si="26">+D653*100</f>
        <v>1000</v>
      </c>
    </row>
    <row r="654" ht="16.5" spans="1:5">
      <c r="A654" s="151">
        <v>653</v>
      </c>
      <c r="B654" s="152" t="s">
        <v>2259</v>
      </c>
      <c r="C654" s="156" t="s">
        <v>16629</v>
      </c>
      <c r="D654" s="159">
        <v>10</v>
      </c>
      <c r="E654" s="155">
        <f t="shared" si="26"/>
        <v>1000</v>
      </c>
    </row>
    <row r="655" ht="16.5" spans="1:5">
      <c r="A655" s="151">
        <v>654</v>
      </c>
      <c r="B655" s="152" t="s">
        <v>2262</v>
      </c>
      <c r="C655" s="153" t="s">
        <v>16629</v>
      </c>
      <c r="D655" s="158">
        <v>10</v>
      </c>
      <c r="E655" s="155">
        <f t="shared" si="26"/>
        <v>1000</v>
      </c>
    </row>
    <row r="656" ht="16.5" spans="1:5">
      <c r="A656" s="151">
        <v>655</v>
      </c>
      <c r="B656" s="152" t="s">
        <v>2265</v>
      </c>
      <c r="C656" s="153" t="s">
        <v>16629</v>
      </c>
      <c r="D656" s="158">
        <v>10</v>
      </c>
      <c r="E656" s="155">
        <f t="shared" si="26"/>
        <v>1000</v>
      </c>
    </row>
    <row r="657" ht="16.5" spans="1:5">
      <c r="A657" s="151">
        <v>656</v>
      </c>
      <c r="B657" s="152" t="s">
        <v>2268</v>
      </c>
      <c r="C657" s="153" t="s">
        <v>16629</v>
      </c>
      <c r="D657" s="158">
        <v>10</v>
      </c>
      <c r="E657" s="155">
        <f t="shared" si="26"/>
        <v>1000</v>
      </c>
    </row>
    <row r="658" ht="16.5" spans="1:5">
      <c r="A658" s="151">
        <v>657</v>
      </c>
      <c r="B658" s="152" t="s">
        <v>2271</v>
      </c>
      <c r="C658" s="153" t="s">
        <v>16629</v>
      </c>
      <c r="D658" s="158">
        <v>10</v>
      </c>
      <c r="E658" s="155">
        <f t="shared" si="26"/>
        <v>1000</v>
      </c>
    </row>
    <row r="659" ht="16.5" spans="1:5">
      <c r="A659" s="151">
        <v>658</v>
      </c>
      <c r="B659" s="152" t="s">
        <v>2274</v>
      </c>
      <c r="C659" s="160" t="s">
        <v>16630</v>
      </c>
      <c r="D659" s="41">
        <v>10</v>
      </c>
      <c r="E659" s="161">
        <f>SUM(D659*100)</f>
        <v>1000</v>
      </c>
    </row>
    <row r="660" ht="16.5" spans="1:5">
      <c r="A660" s="151">
        <v>659</v>
      </c>
      <c r="B660" s="152" t="s">
        <v>2277</v>
      </c>
      <c r="C660" s="156" t="s">
        <v>16629</v>
      </c>
      <c r="D660" s="159">
        <v>10</v>
      </c>
      <c r="E660" s="155">
        <f t="shared" ref="E660:E672" si="27">+D660*100</f>
        <v>1000</v>
      </c>
    </row>
    <row r="661" ht="16.5" spans="1:5">
      <c r="A661" s="151">
        <v>660</v>
      </c>
      <c r="B661" s="152" t="s">
        <v>2281</v>
      </c>
      <c r="C661" s="153" t="s">
        <v>16629</v>
      </c>
      <c r="D661" s="154">
        <v>10</v>
      </c>
      <c r="E661" s="155">
        <f t="shared" si="27"/>
        <v>1000</v>
      </c>
    </row>
    <row r="662" ht="16.5" spans="1:5">
      <c r="A662" s="151">
        <v>661</v>
      </c>
      <c r="B662" s="152" t="s">
        <v>2285</v>
      </c>
      <c r="C662" s="156" t="s">
        <v>16629</v>
      </c>
      <c r="D662" s="159">
        <v>10</v>
      </c>
      <c r="E662" s="155">
        <f t="shared" si="27"/>
        <v>1000</v>
      </c>
    </row>
    <row r="663" ht="16.5" spans="1:5">
      <c r="A663" s="151">
        <v>662</v>
      </c>
      <c r="B663" s="152" t="s">
        <v>2288</v>
      </c>
      <c r="C663" s="156" t="s">
        <v>16629</v>
      </c>
      <c r="D663" s="157">
        <v>10</v>
      </c>
      <c r="E663" s="155">
        <f t="shared" si="27"/>
        <v>1000</v>
      </c>
    </row>
    <row r="664" ht="16.5" spans="1:5">
      <c r="A664" s="151">
        <v>663</v>
      </c>
      <c r="B664" s="152" t="s">
        <v>2291</v>
      </c>
      <c r="C664" s="156" t="s">
        <v>16629</v>
      </c>
      <c r="D664" s="159">
        <v>10</v>
      </c>
      <c r="E664" s="155">
        <f t="shared" si="27"/>
        <v>1000</v>
      </c>
    </row>
    <row r="665" ht="16.5" spans="1:5">
      <c r="A665" s="151">
        <v>664</v>
      </c>
      <c r="B665" s="152" t="s">
        <v>2294</v>
      </c>
      <c r="C665" s="156" t="s">
        <v>16629</v>
      </c>
      <c r="D665" s="159">
        <v>10</v>
      </c>
      <c r="E665" s="155">
        <f t="shared" si="27"/>
        <v>1000</v>
      </c>
    </row>
    <row r="666" ht="16.5" spans="1:5">
      <c r="A666" s="151">
        <v>665</v>
      </c>
      <c r="B666" s="152" t="s">
        <v>2297</v>
      </c>
      <c r="C666" s="156" t="s">
        <v>16629</v>
      </c>
      <c r="D666" s="154">
        <v>10</v>
      </c>
      <c r="E666" s="155">
        <f t="shared" si="27"/>
        <v>1000</v>
      </c>
    </row>
    <row r="667" ht="16.5" spans="1:5">
      <c r="A667" s="151">
        <v>666</v>
      </c>
      <c r="B667" s="152" t="s">
        <v>2301</v>
      </c>
      <c r="C667" s="156" t="s">
        <v>16629</v>
      </c>
      <c r="D667" s="157">
        <v>10</v>
      </c>
      <c r="E667" s="155">
        <f t="shared" si="27"/>
        <v>1000</v>
      </c>
    </row>
    <row r="668" ht="16.5" spans="1:5">
      <c r="A668" s="151">
        <v>667</v>
      </c>
      <c r="B668" s="152" t="s">
        <v>2305</v>
      </c>
      <c r="C668" s="156" t="s">
        <v>16629</v>
      </c>
      <c r="D668" s="159">
        <v>10</v>
      </c>
      <c r="E668" s="155">
        <f t="shared" si="27"/>
        <v>1000</v>
      </c>
    </row>
    <row r="669" ht="16.5" spans="1:5">
      <c r="A669" s="151">
        <v>668</v>
      </c>
      <c r="B669" s="152" t="s">
        <v>2308</v>
      </c>
      <c r="C669" s="156" t="s">
        <v>16629</v>
      </c>
      <c r="D669" s="159">
        <v>10</v>
      </c>
      <c r="E669" s="155">
        <f t="shared" si="27"/>
        <v>1000</v>
      </c>
    </row>
    <row r="670" ht="16.5" spans="1:5">
      <c r="A670" s="151">
        <v>669</v>
      </c>
      <c r="B670" s="152" t="s">
        <v>2311</v>
      </c>
      <c r="C670" s="153" t="s">
        <v>16629</v>
      </c>
      <c r="D670" s="158">
        <v>10</v>
      </c>
      <c r="E670" s="155">
        <f t="shared" si="27"/>
        <v>1000</v>
      </c>
    </row>
    <row r="671" ht="16.5" spans="1:5">
      <c r="A671" s="151">
        <v>670</v>
      </c>
      <c r="B671" s="152" t="s">
        <v>2314</v>
      </c>
      <c r="C671" s="156" t="s">
        <v>16629</v>
      </c>
      <c r="D671" s="157">
        <v>10</v>
      </c>
      <c r="E671" s="155">
        <f t="shared" si="27"/>
        <v>1000</v>
      </c>
    </row>
    <row r="672" ht="16.5" spans="1:5">
      <c r="A672" s="151">
        <v>671</v>
      </c>
      <c r="B672" s="152" t="s">
        <v>2317</v>
      </c>
      <c r="C672" s="153" t="s">
        <v>16629</v>
      </c>
      <c r="D672" s="158">
        <v>10</v>
      </c>
      <c r="E672" s="155">
        <f t="shared" si="27"/>
        <v>1000</v>
      </c>
    </row>
    <row r="673" ht="16.5" spans="1:5">
      <c r="A673" s="151">
        <v>672</v>
      </c>
      <c r="B673" s="152" t="s">
        <v>2320</v>
      </c>
      <c r="C673" s="160" t="s">
        <v>16630</v>
      </c>
      <c r="D673" s="160">
        <v>10</v>
      </c>
      <c r="E673" s="161">
        <f>SUM(D673*100)</f>
        <v>1000</v>
      </c>
    </row>
    <row r="674" ht="16.5" spans="1:5">
      <c r="A674" s="151">
        <v>673</v>
      </c>
      <c r="B674" s="152" t="s">
        <v>2324</v>
      </c>
      <c r="C674" s="166" t="s">
        <v>16632</v>
      </c>
      <c r="D674" s="166">
        <f>IFERROR(__xludf.DUMMYFUNCTION("""COMPUTED_VALUE"""),10000)</f>
        <v>10000</v>
      </c>
      <c r="E674" s="168">
        <f>IFERROR(__xludf.DUMMYFUNCTION("""COMPUTED_VALUE"""),1500000)</f>
        <v>1500000</v>
      </c>
    </row>
    <row r="675" ht="16.5" spans="1:5">
      <c r="A675" s="151">
        <v>674</v>
      </c>
      <c r="B675" s="152" t="s">
        <v>2325</v>
      </c>
      <c r="C675" s="153" t="s">
        <v>16629</v>
      </c>
      <c r="D675" s="154">
        <v>10</v>
      </c>
      <c r="E675" s="155">
        <f>+D675*100</f>
        <v>1000</v>
      </c>
    </row>
    <row r="676" ht="16.5" spans="1:5">
      <c r="A676" s="151">
        <v>675</v>
      </c>
      <c r="B676" s="152" t="s">
        <v>2328</v>
      </c>
      <c r="C676" s="160" t="s">
        <v>16630</v>
      </c>
      <c r="D676" s="160">
        <v>30</v>
      </c>
      <c r="E676" s="161">
        <f>SUM(D676*100)</f>
        <v>3000</v>
      </c>
    </row>
    <row r="677" ht="16.5" spans="1:5">
      <c r="A677" s="151">
        <v>676</v>
      </c>
      <c r="B677" s="152" t="s">
        <v>2332</v>
      </c>
      <c r="C677" s="166" t="s">
        <v>16632</v>
      </c>
      <c r="D677" s="166">
        <f>IFERROR(__xludf.DUMMYFUNCTION("""COMPUTED_VALUE"""),15000)</f>
        <v>15000</v>
      </c>
      <c r="E677" s="168">
        <f>IFERROR(__xludf.DUMMYFUNCTION("""COMPUTED_VALUE"""),1500000)</f>
        <v>1500000</v>
      </c>
    </row>
    <row r="678" ht="16.5" spans="1:5">
      <c r="A678" s="151">
        <v>677</v>
      </c>
      <c r="B678" s="152" t="s">
        <v>2333</v>
      </c>
      <c r="C678" s="160" t="s">
        <v>16630</v>
      </c>
      <c r="D678" s="160">
        <v>300</v>
      </c>
      <c r="E678" s="161">
        <f>SUM(D678*100)</f>
        <v>30000</v>
      </c>
    </row>
    <row r="679" ht="16.5" spans="1:5">
      <c r="A679" s="151">
        <v>678</v>
      </c>
      <c r="B679" s="152" t="s">
        <v>2337</v>
      </c>
      <c r="C679" s="160" t="s">
        <v>16630</v>
      </c>
      <c r="D679" s="160">
        <v>20</v>
      </c>
      <c r="E679" s="161">
        <f>SUM(D679*100)</f>
        <v>2000</v>
      </c>
    </row>
    <row r="680" ht="16.5" spans="1:5">
      <c r="A680" s="151">
        <v>679</v>
      </c>
      <c r="B680" s="152" t="s">
        <v>2340</v>
      </c>
      <c r="C680" s="160" t="s">
        <v>16630</v>
      </c>
      <c r="D680" s="160">
        <v>10</v>
      </c>
      <c r="E680" s="161">
        <f>SUM(D680*100)</f>
        <v>1000</v>
      </c>
    </row>
    <row r="681" ht="16.5" spans="1:5">
      <c r="A681" s="151">
        <v>680</v>
      </c>
      <c r="B681" s="152" t="s">
        <v>2344</v>
      </c>
      <c r="C681" s="162" t="s">
        <v>16631</v>
      </c>
      <c r="D681" s="163">
        <v>1000</v>
      </c>
      <c r="E681" s="163">
        <f>D681*100</f>
        <v>100000</v>
      </c>
    </row>
    <row r="682" ht="16.5" spans="1:5">
      <c r="A682" s="151">
        <v>681</v>
      </c>
      <c r="B682" s="152" t="s">
        <v>2349</v>
      </c>
      <c r="C682" s="162" t="s">
        <v>16633</v>
      </c>
      <c r="D682" s="171">
        <f>G682/100</f>
        <v>0</v>
      </c>
      <c r="E682" s="171">
        <f>G682</f>
        <v>0</v>
      </c>
    </row>
    <row r="683" ht="16.5" spans="1:5">
      <c r="A683" s="151">
        <v>682</v>
      </c>
      <c r="B683" s="152" t="s">
        <v>2351</v>
      </c>
      <c r="C683" s="153" t="s">
        <v>16629</v>
      </c>
      <c r="D683" s="154">
        <v>10</v>
      </c>
      <c r="E683" s="155">
        <f>+D683*100</f>
        <v>1000</v>
      </c>
    </row>
    <row r="684" ht="16.5" spans="1:5">
      <c r="A684" s="151">
        <v>683</v>
      </c>
      <c r="B684" s="152" t="s">
        <v>2354</v>
      </c>
      <c r="C684" s="160" t="s">
        <v>16630</v>
      </c>
      <c r="D684" s="160">
        <v>200</v>
      </c>
      <c r="E684" s="161">
        <f>SUM(D684*100)</f>
        <v>20000</v>
      </c>
    </row>
    <row r="685" ht="16.5" spans="1:5">
      <c r="A685" s="151">
        <v>684</v>
      </c>
      <c r="B685" s="152" t="s">
        <v>2358</v>
      </c>
      <c r="C685" s="166" t="s">
        <v>16632</v>
      </c>
      <c r="D685" s="166">
        <f>IFERROR(__xludf.DUMMYFUNCTION("""COMPUTED_VALUE"""),15000)</f>
        <v>15000</v>
      </c>
      <c r="E685" s="168">
        <f>IFERROR(__xludf.DUMMYFUNCTION("""COMPUTED_VALUE"""),1500000)</f>
        <v>1500000</v>
      </c>
    </row>
    <row r="686" ht="16.5" spans="1:5">
      <c r="A686" s="151">
        <v>685</v>
      </c>
      <c r="B686" s="152" t="s">
        <v>2359</v>
      </c>
      <c r="C686" s="160" t="s">
        <v>16630</v>
      </c>
      <c r="D686" s="160">
        <v>10</v>
      </c>
      <c r="E686" s="161">
        <f>SUM(D686*100)</f>
        <v>1000</v>
      </c>
    </row>
    <row r="687" ht="16.5" spans="1:5">
      <c r="A687" s="151">
        <v>686</v>
      </c>
      <c r="B687" s="152" t="s">
        <v>2362</v>
      </c>
      <c r="C687" s="156" t="s">
        <v>16629</v>
      </c>
      <c r="D687" s="159">
        <v>10</v>
      </c>
      <c r="E687" s="155">
        <f t="shared" ref="E687:E707" si="28">+D687*100</f>
        <v>1000</v>
      </c>
    </row>
    <row r="688" ht="16.5" spans="1:5">
      <c r="A688" s="151">
        <v>687</v>
      </c>
      <c r="B688" s="152" t="s">
        <v>2365</v>
      </c>
      <c r="C688" s="156" t="s">
        <v>16629</v>
      </c>
      <c r="D688" s="159">
        <v>10</v>
      </c>
      <c r="E688" s="155">
        <f t="shared" si="28"/>
        <v>1000</v>
      </c>
    </row>
    <row r="689" ht="16.5" spans="1:5">
      <c r="A689" s="151">
        <v>688</v>
      </c>
      <c r="B689" s="152" t="s">
        <v>2369</v>
      </c>
      <c r="C689" s="153" t="s">
        <v>16629</v>
      </c>
      <c r="D689" s="158">
        <v>10</v>
      </c>
      <c r="E689" s="155">
        <f t="shared" si="28"/>
        <v>1000</v>
      </c>
    </row>
    <row r="690" ht="16.5" spans="1:5">
      <c r="A690" s="151">
        <v>689</v>
      </c>
      <c r="B690" s="152" t="s">
        <v>2372</v>
      </c>
      <c r="C690" s="156" t="s">
        <v>16629</v>
      </c>
      <c r="D690" s="157">
        <v>10</v>
      </c>
      <c r="E690" s="155">
        <f t="shared" si="28"/>
        <v>1000</v>
      </c>
    </row>
    <row r="691" ht="16.5" spans="1:5">
      <c r="A691" s="151">
        <v>690</v>
      </c>
      <c r="B691" s="152" t="s">
        <v>2376</v>
      </c>
      <c r="C691" s="156" t="s">
        <v>16629</v>
      </c>
      <c r="D691" s="159">
        <v>10</v>
      </c>
      <c r="E691" s="155">
        <f t="shared" si="28"/>
        <v>1000</v>
      </c>
    </row>
    <row r="692" ht="16.5" spans="1:5">
      <c r="A692" s="151">
        <v>691</v>
      </c>
      <c r="B692" s="152" t="s">
        <v>2379</v>
      </c>
      <c r="C692" s="156" t="s">
        <v>16629</v>
      </c>
      <c r="D692" s="154">
        <v>10</v>
      </c>
      <c r="E692" s="155">
        <f t="shared" si="28"/>
        <v>1000</v>
      </c>
    </row>
    <row r="693" ht="16.5" spans="1:5">
      <c r="A693" s="151">
        <v>692</v>
      </c>
      <c r="B693" s="152" t="s">
        <v>2383</v>
      </c>
      <c r="C693" s="153" t="s">
        <v>16629</v>
      </c>
      <c r="D693" s="154">
        <v>10</v>
      </c>
      <c r="E693" s="155">
        <f t="shared" si="28"/>
        <v>1000</v>
      </c>
    </row>
    <row r="694" ht="16.5" spans="1:5">
      <c r="A694" s="151">
        <v>693</v>
      </c>
      <c r="B694" s="152" t="s">
        <v>2387</v>
      </c>
      <c r="C694" s="156" t="s">
        <v>16629</v>
      </c>
      <c r="D694" s="159">
        <v>10</v>
      </c>
      <c r="E694" s="155">
        <f t="shared" si="28"/>
        <v>1000</v>
      </c>
    </row>
    <row r="695" ht="16.5" spans="1:5">
      <c r="A695" s="151">
        <v>694</v>
      </c>
      <c r="B695" s="152" t="s">
        <v>2390</v>
      </c>
      <c r="C695" s="153" t="s">
        <v>16629</v>
      </c>
      <c r="D695" s="154">
        <v>10</v>
      </c>
      <c r="E695" s="155">
        <f t="shared" si="28"/>
        <v>1000</v>
      </c>
    </row>
    <row r="696" ht="16.5" spans="1:5">
      <c r="A696" s="151">
        <v>695</v>
      </c>
      <c r="B696" s="152" t="s">
        <v>2393</v>
      </c>
      <c r="C696" s="156" t="s">
        <v>16629</v>
      </c>
      <c r="D696" s="157">
        <v>10</v>
      </c>
      <c r="E696" s="155">
        <f t="shared" si="28"/>
        <v>1000</v>
      </c>
    </row>
    <row r="697" ht="16.5" spans="1:5">
      <c r="A697" s="151">
        <v>696</v>
      </c>
      <c r="B697" s="152" t="s">
        <v>2397</v>
      </c>
      <c r="C697" s="156" t="s">
        <v>16629</v>
      </c>
      <c r="D697" s="159">
        <v>10</v>
      </c>
      <c r="E697" s="155">
        <f t="shared" si="28"/>
        <v>1000</v>
      </c>
    </row>
    <row r="698" ht="16.5" spans="1:5">
      <c r="A698" s="151">
        <v>697</v>
      </c>
      <c r="B698" s="152" t="s">
        <v>2401</v>
      </c>
      <c r="C698" s="153" t="s">
        <v>16629</v>
      </c>
      <c r="D698" s="154">
        <v>10</v>
      </c>
      <c r="E698" s="155">
        <f t="shared" si="28"/>
        <v>1000</v>
      </c>
    </row>
    <row r="699" ht="16.5" spans="1:5">
      <c r="A699" s="151">
        <v>698</v>
      </c>
      <c r="B699" s="152" t="s">
        <v>2404</v>
      </c>
      <c r="C699" s="153" t="s">
        <v>16629</v>
      </c>
      <c r="D699" s="158">
        <v>10</v>
      </c>
      <c r="E699" s="155">
        <f t="shared" si="28"/>
        <v>1000</v>
      </c>
    </row>
    <row r="700" ht="16.5" spans="1:5">
      <c r="A700" s="151">
        <v>699</v>
      </c>
      <c r="B700" s="152" t="s">
        <v>2408</v>
      </c>
      <c r="C700" s="153" t="s">
        <v>16629</v>
      </c>
      <c r="D700" s="154">
        <v>10</v>
      </c>
      <c r="E700" s="155">
        <f t="shared" si="28"/>
        <v>1000</v>
      </c>
    </row>
    <row r="701" ht="16.5" spans="1:5">
      <c r="A701" s="151">
        <v>700</v>
      </c>
      <c r="B701" s="152" t="s">
        <v>2411</v>
      </c>
      <c r="C701" s="153" t="s">
        <v>16629</v>
      </c>
      <c r="D701" s="154">
        <v>10</v>
      </c>
      <c r="E701" s="155">
        <f t="shared" si="28"/>
        <v>1000</v>
      </c>
    </row>
    <row r="702" ht="16.5" spans="1:5">
      <c r="A702" s="151">
        <v>701</v>
      </c>
      <c r="B702" s="152" t="s">
        <v>2415</v>
      </c>
      <c r="C702" s="153" t="s">
        <v>16629</v>
      </c>
      <c r="D702" s="154">
        <v>10</v>
      </c>
      <c r="E702" s="155">
        <f t="shared" si="28"/>
        <v>1000</v>
      </c>
    </row>
    <row r="703" ht="16.5" spans="1:5">
      <c r="A703" s="151">
        <v>702</v>
      </c>
      <c r="B703" s="152" t="s">
        <v>2418</v>
      </c>
      <c r="C703" s="153" t="s">
        <v>16629</v>
      </c>
      <c r="D703" s="154">
        <v>10</v>
      </c>
      <c r="E703" s="155">
        <f t="shared" si="28"/>
        <v>1000</v>
      </c>
    </row>
    <row r="704" ht="16.5" spans="1:5">
      <c r="A704" s="151">
        <v>703</v>
      </c>
      <c r="B704" s="152" t="s">
        <v>2422</v>
      </c>
      <c r="C704" s="156" t="s">
        <v>16629</v>
      </c>
      <c r="D704" s="157">
        <v>10</v>
      </c>
      <c r="E704" s="155">
        <f t="shared" si="28"/>
        <v>1000</v>
      </c>
    </row>
    <row r="705" ht="16.5" spans="1:5">
      <c r="A705" s="151">
        <v>704</v>
      </c>
      <c r="B705" s="152" t="s">
        <v>2425</v>
      </c>
      <c r="C705" s="156" t="s">
        <v>16629</v>
      </c>
      <c r="D705" s="159">
        <v>10</v>
      </c>
      <c r="E705" s="155">
        <f t="shared" si="28"/>
        <v>1000</v>
      </c>
    </row>
    <row r="706" ht="16.5" spans="1:5">
      <c r="A706" s="151">
        <v>705</v>
      </c>
      <c r="B706" s="152" t="s">
        <v>2429</v>
      </c>
      <c r="C706" s="156" t="s">
        <v>16629</v>
      </c>
      <c r="D706" s="159">
        <v>10</v>
      </c>
      <c r="E706" s="155">
        <f t="shared" si="28"/>
        <v>1000</v>
      </c>
    </row>
    <row r="707" ht="16.5" spans="1:5">
      <c r="A707" s="151">
        <v>706</v>
      </c>
      <c r="B707" s="152" t="s">
        <v>2432</v>
      </c>
      <c r="C707" s="156" t="s">
        <v>16629</v>
      </c>
      <c r="D707" s="159">
        <v>100</v>
      </c>
      <c r="E707" s="155">
        <f t="shared" si="28"/>
        <v>10000</v>
      </c>
    </row>
    <row r="708" ht="16.5" spans="1:5">
      <c r="A708" s="151">
        <v>707</v>
      </c>
      <c r="B708" s="152" t="s">
        <v>2435</v>
      </c>
      <c r="C708" s="160" t="s">
        <v>16630</v>
      </c>
      <c r="D708" s="160">
        <v>50</v>
      </c>
      <c r="E708" s="161">
        <f>SUM(D708*100)</f>
        <v>5000</v>
      </c>
    </row>
    <row r="709" ht="16.5" spans="1:5">
      <c r="A709" s="151">
        <v>708</v>
      </c>
      <c r="B709" s="152" t="s">
        <v>2438</v>
      </c>
      <c r="C709" s="153" t="s">
        <v>16629</v>
      </c>
      <c r="D709" s="154">
        <v>10</v>
      </c>
      <c r="E709" s="155">
        <f t="shared" ref="E709:E718" si="29">+D709*100</f>
        <v>1000</v>
      </c>
    </row>
    <row r="710" ht="16.5" spans="1:5">
      <c r="A710" s="151">
        <v>709</v>
      </c>
      <c r="B710" s="152" t="s">
        <v>2441</v>
      </c>
      <c r="C710" s="156" t="s">
        <v>16629</v>
      </c>
      <c r="D710" s="157">
        <v>10</v>
      </c>
      <c r="E710" s="155">
        <f t="shared" si="29"/>
        <v>1000</v>
      </c>
    </row>
    <row r="711" ht="16.5" spans="1:5">
      <c r="A711" s="151">
        <v>710</v>
      </c>
      <c r="B711" s="152" t="s">
        <v>2444</v>
      </c>
      <c r="C711" s="156" t="s">
        <v>16629</v>
      </c>
      <c r="D711" s="159">
        <v>10</v>
      </c>
      <c r="E711" s="155">
        <f t="shared" si="29"/>
        <v>1000</v>
      </c>
    </row>
    <row r="712" ht="16.5" spans="1:5">
      <c r="A712" s="151">
        <v>711</v>
      </c>
      <c r="B712" s="152" t="s">
        <v>2448</v>
      </c>
      <c r="C712" s="153" t="s">
        <v>16629</v>
      </c>
      <c r="D712" s="154">
        <v>10</v>
      </c>
      <c r="E712" s="155">
        <f t="shared" si="29"/>
        <v>1000</v>
      </c>
    </row>
    <row r="713" ht="16.5" spans="1:5">
      <c r="A713" s="151">
        <v>712</v>
      </c>
      <c r="B713" s="152" t="s">
        <v>2451</v>
      </c>
      <c r="C713" s="153" t="s">
        <v>16629</v>
      </c>
      <c r="D713" s="158">
        <v>10</v>
      </c>
      <c r="E713" s="155">
        <f t="shared" si="29"/>
        <v>1000</v>
      </c>
    </row>
    <row r="714" ht="16.5" spans="1:5">
      <c r="A714" s="151">
        <v>713</v>
      </c>
      <c r="B714" s="152" t="s">
        <v>2454</v>
      </c>
      <c r="C714" s="153" t="s">
        <v>16629</v>
      </c>
      <c r="D714" s="154">
        <v>10</v>
      </c>
      <c r="E714" s="155">
        <f t="shared" si="29"/>
        <v>1000</v>
      </c>
    </row>
    <row r="715" ht="16.5" spans="1:5">
      <c r="A715" s="151">
        <v>714</v>
      </c>
      <c r="B715" s="152" t="s">
        <v>2457</v>
      </c>
      <c r="C715" s="153" t="s">
        <v>16629</v>
      </c>
      <c r="D715" s="154">
        <v>10</v>
      </c>
      <c r="E715" s="155">
        <f t="shared" si="29"/>
        <v>1000</v>
      </c>
    </row>
    <row r="716" ht="16.5" spans="1:5">
      <c r="A716" s="151">
        <v>715</v>
      </c>
      <c r="B716" s="152" t="s">
        <v>2460</v>
      </c>
      <c r="C716" s="156" t="s">
        <v>16629</v>
      </c>
      <c r="D716" s="159">
        <v>10</v>
      </c>
      <c r="E716" s="155">
        <f t="shared" si="29"/>
        <v>1000</v>
      </c>
    </row>
    <row r="717" ht="16.5" spans="1:5">
      <c r="A717" s="151">
        <v>716</v>
      </c>
      <c r="B717" s="152" t="s">
        <v>2464</v>
      </c>
      <c r="C717" s="153" t="s">
        <v>16629</v>
      </c>
      <c r="D717" s="154">
        <v>10</v>
      </c>
      <c r="E717" s="155">
        <f t="shared" si="29"/>
        <v>1000</v>
      </c>
    </row>
    <row r="718" ht="16.5" spans="1:5">
      <c r="A718" s="151">
        <v>717</v>
      </c>
      <c r="B718" s="152" t="s">
        <v>2468</v>
      </c>
      <c r="C718" s="156" t="s">
        <v>16629</v>
      </c>
      <c r="D718" s="159">
        <v>10</v>
      </c>
      <c r="E718" s="155">
        <f t="shared" si="29"/>
        <v>1000</v>
      </c>
    </row>
    <row r="719" ht="16.5" spans="1:5">
      <c r="A719" s="151">
        <v>718</v>
      </c>
      <c r="B719" s="152" t="s">
        <v>2472</v>
      </c>
      <c r="C719" s="160" t="s">
        <v>16630</v>
      </c>
      <c r="D719" s="160">
        <v>500</v>
      </c>
      <c r="E719" s="161">
        <f>SUM(D719*100)</f>
        <v>50000</v>
      </c>
    </row>
    <row r="720" ht="16.5" spans="1:5">
      <c r="A720" s="151">
        <v>719</v>
      </c>
      <c r="B720" s="152" t="s">
        <v>2475</v>
      </c>
      <c r="C720" s="160" t="s">
        <v>16630</v>
      </c>
      <c r="D720" s="165">
        <v>100</v>
      </c>
      <c r="E720" s="161">
        <f>SUM(D720*100)</f>
        <v>10000</v>
      </c>
    </row>
    <row r="721" ht="16.5" spans="1:5">
      <c r="A721" s="151">
        <v>720</v>
      </c>
      <c r="B721" s="152" t="s">
        <v>2478</v>
      </c>
      <c r="C721" s="162" t="s">
        <v>16633</v>
      </c>
      <c r="D721" s="171">
        <f>G721/100</f>
        <v>0</v>
      </c>
      <c r="E721" s="171">
        <f>G721</f>
        <v>0</v>
      </c>
    </row>
    <row r="722" ht="16.5" spans="1:5">
      <c r="A722" s="151">
        <v>721</v>
      </c>
      <c r="B722" s="152" t="s">
        <v>2483</v>
      </c>
      <c r="C722" s="160" t="s">
        <v>16630</v>
      </c>
      <c r="D722" s="160">
        <v>50</v>
      </c>
      <c r="E722" s="161">
        <f>SUM(D722*100)</f>
        <v>5000</v>
      </c>
    </row>
    <row r="723" ht="16.5" spans="1:5">
      <c r="A723" s="151">
        <v>722</v>
      </c>
      <c r="B723" s="152" t="s">
        <v>2487</v>
      </c>
      <c r="C723" s="160" t="s">
        <v>16630</v>
      </c>
      <c r="D723" s="160">
        <v>20</v>
      </c>
      <c r="E723" s="161">
        <f>SUM(D723*100)</f>
        <v>2000</v>
      </c>
    </row>
    <row r="724" ht="16.5" spans="1:5">
      <c r="A724" s="151">
        <v>723</v>
      </c>
      <c r="B724" s="152" t="s">
        <v>2492</v>
      </c>
      <c r="C724" s="160" t="s">
        <v>16630</v>
      </c>
      <c r="D724" s="160">
        <v>20</v>
      </c>
      <c r="E724" s="161">
        <f>SUM(D724*100)</f>
        <v>2000</v>
      </c>
    </row>
    <row r="725" ht="16.5" spans="1:5">
      <c r="A725" s="151">
        <v>724</v>
      </c>
      <c r="B725" s="152" t="s">
        <v>2495</v>
      </c>
      <c r="C725" s="160" t="s">
        <v>16630</v>
      </c>
      <c r="D725" s="160">
        <v>100</v>
      </c>
      <c r="E725" s="161">
        <f>SUM(D725*100)</f>
        <v>10000</v>
      </c>
    </row>
    <row r="726" ht="16.5" spans="1:5">
      <c r="A726" s="151">
        <v>725</v>
      </c>
      <c r="B726" s="152" t="s">
        <v>2499</v>
      </c>
      <c r="C726" s="160" t="s">
        <v>16630</v>
      </c>
      <c r="D726" s="160">
        <v>100</v>
      </c>
      <c r="E726" s="161">
        <f>SUM(D726*100)</f>
        <v>10000</v>
      </c>
    </row>
    <row r="727" ht="16.5" spans="1:5">
      <c r="A727" s="151">
        <v>726</v>
      </c>
      <c r="B727" s="152" t="s">
        <v>2504</v>
      </c>
      <c r="C727" s="166" t="s">
        <v>16632</v>
      </c>
      <c r="D727" s="151">
        <f>IFERROR(__xludf.DUMMYFUNCTION("""COMPUTED_VALUE"""),10000)</f>
        <v>10000</v>
      </c>
      <c r="E727" s="167">
        <f>IFERROR(__xludf.DUMMYFUNCTION("""COMPUTED_VALUE"""),1500000)</f>
        <v>1500000</v>
      </c>
    </row>
    <row r="728" ht="16.5" spans="1:5">
      <c r="A728" s="151">
        <v>727</v>
      </c>
      <c r="B728" s="152" t="s">
        <v>2504</v>
      </c>
      <c r="C728" s="166" t="s">
        <v>16632</v>
      </c>
      <c r="D728" s="166">
        <f>IFERROR(__xludf.DUMMYFUNCTION("""COMPUTED_VALUE"""),10000)</f>
        <v>10000</v>
      </c>
      <c r="E728" s="168">
        <f>IFERROR(__xludf.DUMMYFUNCTION("""COMPUTED_VALUE"""),1500000)</f>
        <v>1500000</v>
      </c>
    </row>
    <row r="729" ht="16.5" spans="1:5">
      <c r="A729" s="151">
        <v>728</v>
      </c>
      <c r="B729" s="152" t="s">
        <v>2505</v>
      </c>
      <c r="C729" s="162" t="s">
        <v>16631</v>
      </c>
      <c r="D729" s="163">
        <v>8000</v>
      </c>
      <c r="E729" s="163">
        <f>D729*100</f>
        <v>800000</v>
      </c>
    </row>
    <row r="730" ht="16.5" spans="1:5">
      <c r="A730" s="151">
        <v>729</v>
      </c>
      <c r="B730" s="152" t="s">
        <v>2505</v>
      </c>
      <c r="C730" s="162" t="s">
        <v>16633</v>
      </c>
      <c r="D730" s="171">
        <f>G730/100</f>
        <v>0</v>
      </c>
      <c r="E730" s="171">
        <f>G730</f>
        <v>0</v>
      </c>
    </row>
    <row r="731" ht="16.5" spans="1:5">
      <c r="A731" s="151">
        <v>730</v>
      </c>
      <c r="B731" s="152" t="s">
        <v>2510</v>
      </c>
      <c r="C731" s="160" t="s">
        <v>16630</v>
      </c>
      <c r="D731" s="175">
        <v>100</v>
      </c>
      <c r="E731" s="161">
        <f>SUM(D731*100)</f>
        <v>10000</v>
      </c>
    </row>
    <row r="732" ht="16.5" spans="1:5">
      <c r="A732" s="151">
        <v>731</v>
      </c>
      <c r="B732" s="152" t="s">
        <v>2513</v>
      </c>
      <c r="C732" s="166" t="s">
        <v>16632</v>
      </c>
      <c r="D732" s="166">
        <f>IFERROR(__xludf.DUMMYFUNCTION("""COMPUTED_VALUE"""),10000)</f>
        <v>10000</v>
      </c>
      <c r="E732" s="168">
        <f>IFERROR(__xludf.DUMMYFUNCTION("""COMPUTED_VALUE"""),1500000)</f>
        <v>1500000</v>
      </c>
    </row>
    <row r="733" ht="16.5" spans="1:5">
      <c r="A733" s="151">
        <v>732</v>
      </c>
      <c r="B733" s="152" t="s">
        <v>2514</v>
      </c>
      <c r="C733" s="162" t="s">
        <v>16631</v>
      </c>
      <c r="D733" s="163">
        <v>1000</v>
      </c>
      <c r="E733" s="163">
        <f>D733*100</f>
        <v>100000</v>
      </c>
    </row>
    <row r="734" ht="16.5" spans="1:5">
      <c r="A734" s="151">
        <v>733</v>
      </c>
      <c r="B734" s="152" t="s">
        <v>2518</v>
      </c>
      <c r="C734" s="162" t="s">
        <v>16631</v>
      </c>
      <c r="D734" s="169">
        <v>1000</v>
      </c>
      <c r="E734" s="170">
        <f>D734*100</f>
        <v>100000</v>
      </c>
    </row>
    <row r="735" ht="16.5" spans="1:5">
      <c r="A735" s="151">
        <v>734</v>
      </c>
      <c r="B735" s="152" t="s">
        <v>2518</v>
      </c>
      <c r="C735" s="162" t="s">
        <v>16631</v>
      </c>
      <c r="D735" s="163">
        <v>2000</v>
      </c>
      <c r="E735" s="163">
        <f>D735*100</f>
        <v>200000</v>
      </c>
    </row>
    <row r="736" ht="16.5" spans="1:5">
      <c r="A736" s="151">
        <v>735</v>
      </c>
      <c r="B736" s="152" t="s">
        <v>2523</v>
      </c>
      <c r="C736" s="153" t="s">
        <v>16629</v>
      </c>
      <c r="D736" s="158">
        <v>10</v>
      </c>
      <c r="E736" s="155">
        <f>+D736*100</f>
        <v>1000</v>
      </c>
    </row>
    <row r="737" ht="16.5" spans="1:5">
      <c r="A737" s="151">
        <v>736</v>
      </c>
      <c r="B737" s="152" t="s">
        <v>2526</v>
      </c>
      <c r="C737" s="166" t="s">
        <v>16632</v>
      </c>
      <c r="D737" s="177">
        <f>IFERROR(__xludf.DUMMYFUNCTION("""COMPUTED_VALUE"""),10000)</f>
        <v>10000</v>
      </c>
      <c r="E737" s="178">
        <f>IFERROR(__xludf.DUMMYFUNCTION("""COMPUTED_VALUE"""),1500000)</f>
        <v>1500000</v>
      </c>
    </row>
    <row r="738" ht="16.5" spans="1:5">
      <c r="A738" s="151">
        <v>737</v>
      </c>
      <c r="B738" s="152" t="s">
        <v>2526</v>
      </c>
      <c r="C738" s="166" t="s">
        <v>16632</v>
      </c>
      <c r="D738" s="177">
        <f>IFERROR(__xludf.DUMMYFUNCTION("""COMPUTED_VALUE"""),10000)</f>
        <v>10000</v>
      </c>
      <c r="E738" s="178">
        <f>IFERROR(__xludf.DUMMYFUNCTION("""COMPUTED_VALUE"""),1500000)</f>
        <v>1500000</v>
      </c>
    </row>
    <row r="739" ht="16.5" spans="1:5">
      <c r="A739" s="151">
        <v>738</v>
      </c>
      <c r="B739" s="152" t="s">
        <v>2527</v>
      </c>
      <c r="C739" s="160" t="s">
        <v>16630</v>
      </c>
      <c r="D739" s="164">
        <v>150</v>
      </c>
      <c r="E739" s="161">
        <f>SUM(D739*100)</f>
        <v>15000</v>
      </c>
    </row>
    <row r="740" ht="16.5" spans="1:5">
      <c r="A740" s="151">
        <v>739</v>
      </c>
      <c r="B740" s="152" t="s">
        <v>2530</v>
      </c>
      <c r="C740" s="162" t="s">
        <v>16631</v>
      </c>
      <c r="D740" s="163">
        <v>1000</v>
      </c>
      <c r="E740" s="163">
        <f>D740*100</f>
        <v>100000</v>
      </c>
    </row>
    <row r="741" ht="16.5" spans="1:5">
      <c r="A741" s="151">
        <v>740</v>
      </c>
      <c r="B741" s="152" t="s">
        <v>2535</v>
      </c>
      <c r="C741" s="160" t="s">
        <v>16630</v>
      </c>
      <c r="D741" s="160">
        <v>200</v>
      </c>
      <c r="E741" s="161">
        <f>SUM(D741*100)</f>
        <v>20000</v>
      </c>
    </row>
    <row r="742" ht="16.5" spans="1:5">
      <c r="A742" s="151">
        <v>741</v>
      </c>
      <c r="B742" s="152" t="s">
        <v>2540</v>
      </c>
      <c r="C742" s="153" t="s">
        <v>16629</v>
      </c>
      <c r="D742" s="158">
        <v>10</v>
      </c>
      <c r="E742" s="155">
        <f>+D742*100</f>
        <v>1000</v>
      </c>
    </row>
    <row r="743" ht="16.5" spans="1:5">
      <c r="A743" s="151">
        <v>742</v>
      </c>
      <c r="B743" s="152" t="s">
        <v>2543</v>
      </c>
      <c r="C743" s="160" t="s">
        <v>16630</v>
      </c>
      <c r="D743" s="160">
        <v>10</v>
      </c>
      <c r="E743" s="161">
        <f>SUM(D743*100)</f>
        <v>1000</v>
      </c>
    </row>
    <row r="744" ht="16.5" spans="1:5">
      <c r="A744" s="151">
        <v>743</v>
      </c>
      <c r="B744" s="152" t="s">
        <v>2546</v>
      </c>
      <c r="C744" s="156" t="s">
        <v>16629</v>
      </c>
      <c r="D744" s="157">
        <v>10</v>
      </c>
      <c r="E744" s="179">
        <f>+D744*100</f>
        <v>1000</v>
      </c>
    </row>
    <row r="745" ht="16.5" spans="1:5">
      <c r="A745" s="151">
        <v>744</v>
      </c>
      <c r="B745" s="152" t="s">
        <v>2549</v>
      </c>
      <c r="C745" s="156" t="s">
        <v>16629</v>
      </c>
      <c r="D745" s="159">
        <v>10</v>
      </c>
      <c r="E745" s="155">
        <f>+D745*100</f>
        <v>1000</v>
      </c>
    </row>
    <row r="746" ht="16.5" spans="1:5">
      <c r="A746" s="151">
        <v>745</v>
      </c>
      <c r="B746" s="152" t="s">
        <v>2552</v>
      </c>
      <c r="C746" s="160" t="s">
        <v>16630</v>
      </c>
      <c r="D746" s="164">
        <v>200</v>
      </c>
      <c r="E746" s="161">
        <f>SUM(D746*100)</f>
        <v>20000</v>
      </c>
    </row>
    <row r="747" ht="16.5" spans="1:5">
      <c r="A747" s="151">
        <v>746</v>
      </c>
      <c r="B747" s="152" t="s">
        <v>2555</v>
      </c>
      <c r="C747" s="156" t="s">
        <v>16629</v>
      </c>
      <c r="D747" s="159">
        <v>10</v>
      </c>
      <c r="E747" s="155">
        <f t="shared" ref="E747:E764" si="30">+D747*100</f>
        <v>1000</v>
      </c>
    </row>
    <row r="748" ht="16.5" spans="1:5">
      <c r="A748" s="151">
        <v>747</v>
      </c>
      <c r="B748" s="152" t="s">
        <v>2558</v>
      </c>
      <c r="C748" s="153" t="s">
        <v>16629</v>
      </c>
      <c r="D748" s="154">
        <v>10</v>
      </c>
      <c r="E748" s="155">
        <f t="shared" si="30"/>
        <v>1000</v>
      </c>
    </row>
    <row r="749" ht="16.5" spans="1:5">
      <c r="A749" s="151">
        <v>748</v>
      </c>
      <c r="B749" s="152" t="s">
        <v>2561</v>
      </c>
      <c r="C749" s="156" t="s">
        <v>16629</v>
      </c>
      <c r="D749" s="157">
        <v>10</v>
      </c>
      <c r="E749" s="155">
        <f t="shared" si="30"/>
        <v>1000</v>
      </c>
    </row>
    <row r="750" ht="16.5" spans="1:5">
      <c r="A750" s="151">
        <v>749</v>
      </c>
      <c r="B750" s="152" t="s">
        <v>2564</v>
      </c>
      <c r="C750" s="156" t="s">
        <v>16629</v>
      </c>
      <c r="D750" s="159">
        <v>10</v>
      </c>
      <c r="E750" s="155">
        <f t="shared" si="30"/>
        <v>1000</v>
      </c>
    </row>
    <row r="751" ht="16.5" spans="1:5">
      <c r="A751" s="151">
        <v>750</v>
      </c>
      <c r="B751" s="152" t="s">
        <v>2567</v>
      </c>
      <c r="C751" s="153" t="s">
        <v>16629</v>
      </c>
      <c r="D751" s="158">
        <v>10</v>
      </c>
      <c r="E751" s="155">
        <f t="shared" si="30"/>
        <v>1000</v>
      </c>
    </row>
    <row r="752" ht="16.5" spans="1:5">
      <c r="A752" s="151">
        <v>751</v>
      </c>
      <c r="B752" s="152" t="s">
        <v>2570</v>
      </c>
      <c r="C752" s="153" t="s">
        <v>16629</v>
      </c>
      <c r="D752" s="154">
        <v>60</v>
      </c>
      <c r="E752" s="155">
        <f t="shared" si="30"/>
        <v>6000</v>
      </c>
    </row>
    <row r="753" ht="16.5" spans="1:5">
      <c r="A753" s="151">
        <v>752</v>
      </c>
      <c r="B753" s="152" t="s">
        <v>2574</v>
      </c>
      <c r="C753" s="156" t="s">
        <v>16629</v>
      </c>
      <c r="D753" s="154">
        <v>10</v>
      </c>
      <c r="E753" s="155">
        <f t="shared" si="30"/>
        <v>1000</v>
      </c>
    </row>
    <row r="754" ht="16.5" spans="1:5">
      <c r="A754" s="151">
        <v>753</v>
      </c>
      <c r="B754" s="152" t="s">
        <v>2578</v>
      </c>
      <c r="C754" s="156" t="s">
        <v>16629</v>
      </c>
      <c r="D754" s="157">
        <v>10</v>
      </c>
      <c r="E754" s="155">
        <f t="shared" si="30"/>
        <v>1000</v>
      </c>
    </row>
    <row r="755" ht="16.5" spans="1:5">
      <c r="A755" s="151">
        <v>754</v>
      </c>
      <c r="B755" s="152" t="s">
        <v>2581</v>
      </c>
      <c r="C755" s="156" t="s">
        <v>16629</v>
      </c>
      <c r="D755" s="154">
        <v>10</v>
      </c>
      <c r="E755" s="155">
        <f t="shared" si="30"/>
        <v>1000</v>
      </c>
    </row>
    <row r="756" ht="16.5" spans="1:5">
      <c r="A756" s="151">
        <v>755</v>
      </c>
      <c r="B756" s="152" t="s">
        <v>2584</v>
      </c>
      <c r="C756" s="153" t="s">
        <v>16629</v>
      </c>
      <c r="D756" s="154">
        <v>10</v>
      </c>
      <c r="E756" s="155">
        <f t="shared" si="30"/>
        <v>1000</v>
      </c>
    </row>
    <row r="757" ht="16.5" spans="1:5">
      <c r="A757" s="151">
        <v>756</v>
      </c>
      <c r="B757" s="152" t="s">
        <v>2587</v>
      </c>
      <c r="C757" s="156" t="s">
        <v>16629</v>
      </c>
      <c r="D757" s="157">
        <v>10</v>
      </c>
      <c r="E757" s="155">
        <f t="shared" si="30"/>
        <v>1000</v>
      </c>
    </row>
    <row r="758" ht="16.5" spans="1:5">
      <c r="A758" s="151">
        <v>757</v>
      </c>
      <c r="B758" s="152" t="s">
        <v>2591</v>
      </c>
      <c r="C758" s="156" t="s">
        <v>16629</v>
      </c>
      <c r="D758" s="159">
        <v>10</v>
      </c>
      <c r="E758" s="155">
        <f t="shared" si="30"/>
        <v>1000</v>
      </c>
    </row>
    <row r="759" ht="16.5" spans="1:5">
      <c r="A759" s="151">
        <v>758</v>
      </c>
      <c r="B759" s="152" t="s">
        <v>2595</v>
      </c>
      <c r="C759" s="153" t="s">
        <v>16629</v>
      </c>
      <c r="D759" s="154">
        <v>10</v>
      </c>
      <c r="E759" s="155">
        <f t="shared" si="30"/>
        <v>1000</v>
      </c>
    </row>
    <row r="760" ht="16.5" spans="1:5">
      <c r="A760" s="151">
        <v>759</v>
      </c>
      <c r="B760" s="152" t="s">
        <v>2599</v>
      </c>
      <c r="C760" s="153" t="s">
        <v>16629</v>
      </c>
      <c r="D760" s="154">
        <v>100</v>
      </c>
      <c r="E760" s="155">
        <f t="shared" si="30"/>
        <v>10000</v>
      </c>
    </row>
    <row r="761" ht="16.5" spans="1:5">
      <c r="A761" s="151">
        <v>760</v>
      </c>
      <c r="B761" s="152" t="s">
        <v>2603</v>
      </c>
      <c r="C761" s="156" t="s">
        <v>16629</v>
      </c>
      <c r="D761" s="157">
        <v>10</v>
      </c>
      <c r="E761" s="155">
        <f t="shared" si="30"/>
        <v>1000</v>
      </c>
    </row>
    <row r="762" ht="16.5" spans="1:5">
      <c r="A762" s="151">
        <v>761</v>
      </c>
      <c r="B762" s="152" t="s">
        <v>2606</v>
      </c>
      <c r="C762" s="153" t="s">
        <v>16629</v>
      </c>
      <c r="D762" s="154">
        <v>10</v>
      </c>
      <c r="E762" s="155">
        <f t="shared" si="30"/>
        <v>1000</v>
      </c>
    </row>
    <row r="763" ht="16.5" spans="1:5">
      <c r="A763" s="151">
        <v>762</v>
      </c>
      <c r="B763" s="152" t="s">
        <v>2610</v>
      </c>
      <c r="C763" s="156" t="s">
        <v>16629</v>
      </c>
      <c r="D763" s="159">
        <v>10</v>
      </c>
      <c r="E763" s="155">
        <f t="shared" si="30"/>
        <v>1000</v>
      </c>
    </row>
    <row r="764" ht="16.5" spans="1:5">
      <c r="A764" s="151">
        <v>763</v>
      </c>
      <c r="B764" s="152" t="s">
        <v>2614</v>
      </c>
      <c r="C764" s="156" t="s">
        <v>16629</v>
      </c>
      <c r="D764" s="157">
        <v>10</v>
      </c>
      <c r="E764" s="155">
        <f t="shared" si="30"/>
        <v>1000</v>
      </c>
    </row>
    <row r="765" ht="16.5" spans="1:5">
      <c r="A765" s="151">
        <v>764</v>
      </c>
      <c r="B765" s="152" t="s">
        <v>2617</v>
      </c>
      <c r="C765" s="162" t="s">
        <v>16631</v>
      </c>
      <c r="D765" s="169">
        <v>3000</v>
      </c>
      <c r="E765" s="170">
        <f>D765*100</f>
        <v>300000</v>
      </c>
    </row>
    <row r="766" ht="16.5" spans="1:5">
      <c r="A766" s="151">
        <v>765</v>
      </c>
      <c r="B766" s="152" t="s">
        <v>2621</v>
      </c>
      <c r="C766" s="153" t="s">
        <v>16629</v>
      </c>
      <c r="D766" s="154">
        <v>10</v>
      </c>
      <c r="E766" s="155">
        <f>+D766*100</f>
        <v>1000</v>
      </c>
    </row>
    <row r="767" ht="16.5" spans="1:5">
      <c r="A767" s="151">
        <v>766</v>
      </c>
      <c r="B767" s="152" t="s">
        <v>2624</v>
      </c>
      <c r="C767" s="153" t="s">
        <v>16629</v>
      </c>
      <c r="D767" s="154">
        <v>10</v>
      </c>
      <c r="E767" s="155">
        <f>+D767*100</f>
        <v>1000</v>
      </c>
    </row>
    <row r="768" ht="16.5" spans="1:5">
      <c r="A768" s="151">
        <v>767</v>
      </c>
      <c r="B768" s="152" t="s">
        <v>2627</v>
      </c>
      <c r="C768" s="160" t="s">
        <v>16630</v>
      </c>
      <c r="D768" s="160">
        <v>200</v>
      </c>
      <c r="E768" s="161">
        <f>SUM(D768*100)</f>
        <v>20000</v>
      </c>
    </row>
    <row r="769" ht="16.5" spans="1:5">
      <c r="A769" s="151">
        <v>768</v>
      </c>
      <c r="B769" s="152" t="s">
        <v>2631</v>
      </c>
      <c r="C769" s="162" t="s">
        <v>16631</v>
      </c>
      <c r="D769" s="163">
        <v>1000</v>
      </c>
      <c r="E769" s="163">
        <f>D769*100</f>
        <v>100000</v>
      </c>
    </row>
    <row r="770" ht="16.5" spans="1:5">
      <c r="A770" s="151">
        <v>769</v>
      </c>
      <c r="B770" s="152" t="s">
        <v>2636</v>
      </c>
      <c r="C770" s="160" t="s">
        <v>16630</v>
      </c>
      <c r="D770" s="164">
        <v>21</v>
      </c>
      <c r="E770" s="161">
        <f>SUM(D770*100)</f>
        <v>2100</v>
      </c>
    </row>
    <row r="771" ht="16.5" spans="1:5">
      <c r="A771" s="151">
        <v>770</v>
      </c>
      <c r="B771" s="152" t="s">
        <v>2639</v>
      </c>
      <c r="C771" s="166" t="s">
        <v>16632</v>
      </c>
      <c r="D771" s="36">
        <v>10000</v>
      </c>
      <c r="E771" s="45">
        <v>3500000</v>
      </c>
    </row>
    <row r="772" ht="16.5" spans="1:5">
      <c r="A772" s="151">
        <v>771</v>
      </c>
      <c r="B772" s="152" t="s">
        <v>2643</v>
      </c>
      <c r="C772" s="156" t="s">
        <v>16629</v>
      </c>
      <c r="D772" s="159">
        <v>10</v>
      </c>
      <c r="E772" s="155">
        <f>+D772*100</f>
        <v>1000</v>
      </c>
    </row>
    <row r="773" ht="16.5" spans="1:5">
      <c r="A773" s="151">
        <v>772</v>
      </c>
      <c r="B773" s="152" t="s">
        <v>2646</v>
      </c>
      <c r="C773" s="160" t="s">
        <v>16630</v>
      </c>
      <c r="D773" s="160">
        <v>190</v>
      </c>
      <c r="E773" s="161">
        <f>SUM(D773*100)</f>
        <v>19000</v>
      </c>
    </row>
    <row r="774" ht="16.5" spans="1:5">
      <c r="A774" s="151">
        <v>773</v>
      </c>
      <c r="B774" s="152" t="s">
        <v>2649</v>
      </c>
      <c r="C774" s="156" t="s">
        <v>16629</v>
      </c>
      <c r="D774" s="159">
        <v>10</v>
      </c>
      <c r="E774" s="155">
        <f>+D774*100</f>
        <v>1000</v>
      </c>
    </row>
    <row r="775" ht="16.5" spans="1:5">
      <c r="A775" s="151">
        <v>774</v>
      </c>
      <c r="B775" s="152" t="s">
        <v>2653</v>
      </c>
      <c r="C775" s="156" t="s">
        <v>16629</v>
      </c>
      <c r="D775" s="154">
        <v>10</v>
      </c>
      <c r="E775" s="155">
        <f>+D775*100</f>
        <v>1000</v>
      </c>
    </row>
    <row r="776" ht="16.5" spans="1:5">
      <c r="A776" s="151">
        <v>775</v>
      </c>
      <c r="B776" s="152" t="s">
        <v>2657</v>
      </c>
      <c r="C776" s="160" t="s">
        <v>16630</v>
      </c>
      <c r="D776" s="160">
        <v>10</v>
      </c>
      <c r="E776" s="161">
        <f>SUM(D776*100)</f>
        <v>1000</v>
      </c>
    </row>
    <row r="777" ht="16.5" spans="1:5">
      <c r="A777" s="151">
        <v>776</v>
      </c>
      <c r="B777" s="152" t="s">
        <v>2661</v>
      </c>
      <c r="C777" s="153" t="s">
        <v>16629</v>
      </c>
      <c r="D777" s="154">
        <v>10</v>
      </c>
      <c r="E777" s="155">
        <f>+D777*100</f>
        <v>1000</v>
      </c>
    </row>
    <row r="778" ht="16.5" spans="1:5">
      <c r="A778" s="151">
        <v>777</v>
      </c>
      <c r="B778" s="152" t="s">
        <v>2665</v>
      </c>
      <c r="C778" s="162" t="s">
        <v>16631</v>
      </c>
      <c r="D778" s="163">
        <v>1000</v>
      </c>
      <c r="E778" s="163">
        <f>D778*100</f>
        <v>100000</v>
      </c>
    </row>
    <row r="779" ht="16.5" spans="1:5">
      <c r="A779" s="151">
        <v>778</v>
      </c>
      <c r="B779" s="152" t="s">
        <v>2669</v>
      </c>
      <c r="C779" s="166" t="s">
        <v>16632</v>
      </c>
      <c r="D779" s="166">
        <f>IFERROR(__xludf.DUMMYFUNCTION("""COMPUTED_VALUE"""),10000)</f>
        <v>10000</v>
      </c>
      <c r="E779" s="168">
        <f>IFERROR(__xludf.DUMMYFUNCTION("""COMPUTED_VALUE"""),1500000)</f>
        <v>1500000</v>
      </c>
    </row>
    <row r="780" ht="16.5" spans="1:5">
      <c r="A780" s="151">
        <v>779</v>
      </c>
      <c r="B780" s="152" t="s">
        <v>2670</v>
      </c>
      <c r="C780" s="160" t="s">
        <v>16630</v>
      </c>
      <c r="D780" s="160">
        <v>50</v>
      </c>
      <c r="E780" s="161">
        <f>SUM(D780*100)</f>
        <v>5000</v>
      </c>
    </row>
    <row r="781" ht="16.5" spans="1:5">
      <c r="A781" s="151">
        <v>780</v>
      </c>
      <c r="B781" s="152" t="s">
        <v>2673</v>
      </c>
      <c r="C781" s="153" t="s">
        <v>16629</v>
      </c>
      <c r="D781" s="154">
        <v>10</v>
      </c>
      <c r="E781" s="155">
        <f>+D781*100</f>
        <v>1000</v>
      </c>
    </row>
    <row r="782" ht="16.5" spans="1:5">
      <c r="A782" s="151">
        <v>781</v>
      </c>
      <c r="B782" s="152" t="s">
        <v>2677</v>
      </c>
      <c r="C782" s="153" t="s">
        <v>16629</v>
      </c>
      <c r="D782" s="154">
        <v>10</v>
      </c>
      <c r="E782" s="155">
        <f>+D782*100</f>
        <v>1000</v>
      </c>
    </row>
    <row r="783" ht="16.5" spans="1:5">
      <c r="A783" s="151">
        <v>782</v>
      </c>
      <c r="B783" s="152" t="s">
        <v>2681</v>
      </c>
      <c r="C783" s="153" t="s">
        <v>16629</v>
      </c>
      <c r="D783" s="158">
        <v>10</v>
      </c>
      <c r="E783" s="155">
        <f>+D783*100</f>
        <v>1000</v>
      </c>
    </row>
    <row r="784" ht="16.5" spans="1:5">
      <c r="A784" s="151">
        <v>783</v>
      </c>
      <c r="B784" s="152" t="s">
        <v>2685</v>
      </c>
      <c r="C784" s="162" t="s">
        <v>16631</v>
      </c>
      <c r="D784" s="163">
        <v>1000</v>
      </c>
      <c r="E784" s="163">
        <f>D784*100</f>
        <v>100000</v>
      </c>
    </row>
    <row r="785" ht="16.5" spans="1:5">
      <c r="A785" s="151">
        <v>784</v>
      </c>
      <c r="B785" s="152" t="s">
        <v>2689</v>
      </c>
      <c r="C785" s="162" t="s">
        <v>16633</v>
      </c>
      <c r="D785" s="171">
        <f>G785/100</f>
        <v>0</v>
      </c>
      <c r="E785" s="171">
        <f>G785</f>
        <v>0</v>
      </c>
    </row>
    <row r="786" ht="16.5" spans="1:5">
      <c r="A786" s="151">
        <v>785</v>
      </c>
      <c r="B786" s="152" t="s">
        <v>2694</v>
      </c>
      <c r="C786" s="156" t="s">
        <v>16629</v>
      </c>
      <c r="D786" s="159">
        <v>10</v>
      </c>
      <c r="E786" s="155">
        <f>+D786*100</f>
        <v>1000</v>
      </c>
    </row>
    <row r="787" ht="16.5" spans="1:5">
      <c r="A787" s="151">
        <v>786</v>
      </c>
      <c r="B787" s="152" t="s">
        <v>2698</v>
      </c>
      <c r="C787" s="160" t="s">
        <v>16630</v>
      </c>
      <c r="D787" s="160">
        <v>10</v>
      </c>
      <c r="E787" s="161">
        <f>SUM(D787*100)</f>
        <v>1000</v>
      </c>
    </row>
    <row r="788" ht="16.5" spans="1:5">
      <c r="A788" s="151">
        <v>787</v>
      </c>
      <c r="B788" s="152" t="s">
        <v>2702</v>
      </c>
      <c r="C788" s="160" t="s">
        <v>16630</v>
      </c>
      <c r="D788" s="165">
        <v>1000</v>
      </c>
      <c r="E788" s="161">
        <f>SUM(D788*100)</f>
        <v>100000</v>
      </c>
    </row>
    <row r="789" ht="16.5" spans="1:5">
      <c r="A789" s="151">
        <v>788</v>
      </c>
      <c r="B789" s="152" t="s">
        <v>2705</v>
      </c>
      <c r="C789" s="160" t="s">
        <v>16630</v>
      </c>
      <c r="D789" s="160">
        <v>500</v>
      </c>
      <c r="E789" s="161">
        <f>SUM(D789*100)</f>
        <v>50000</v>
      </c>
    </row>
    <row r="790" ht="16.5" spans="1:5">
      <c r="A790" s="151">
        <v>789</v>
      </c>
      <c r="B790" s="152" t="s">
        <v>2708</v>
      </c>
      <c r="C790" s="162" t="s">
        <v>16631</v>
      </c>
      <c r="D790" s="163">
        <v>2000</v>
      </c>
      <c r="E790" s="163">
        <f>D790*100</f>
        <v>200000</v>
      </c>
    </row>
    <row r="791" ht="16.5" spans="1:5">
      <c r="A791" s="151">
        <v>790</v>
      </c>
      <c r="B791" s="152" t="s">
        <v>2713</v>
      </c>
      <c r="C791" s="153" t="s">
        <v>16629</v>
      </c>
      <c r="D791" s="154">
        <v>10</v>
      </c>
      <c r="E791" s="155">
        <f>+D791*100</f>
        <v>1000</v>
      </c>
    </row>
    <row r="792" ht="16.5" spans="1:5">
      <c r="A792" s="151">
        <v>791</v>
      </c>
      <c r="B792" s="152" t="s">
        <v>2716</v>
      </c>
      <c r="C792" s="153" t="s">
        <v>16629</v>
      </c>
      <c r="D792" s="154">
        <v>10</v>
      </c>
      <c r="E792" s="155">
        <f>+D792*100</f>
        <v>1000</v>
      </c>
    </row>
    <row r="793" ht="16.5" spans="1:5">
      <c r="A793" s="151">
        <v>792</v>
      </c>
      <c r="B793" s="152" t="s">
        <v>2720</v>
      </c>
      <c r="C793" s="160" t="s">
        <v>16630</v>
      </c>
      <c r="D793" s="41">
        <v>30</v>
      </c>
      <c r="E793" s="161">
        <f>SUM(D793*100)</f>
        <v>3000</v>
      </c>
    </row>
    <row r="794" ht="16.5" spans="1:5">
      <c r="A794" s="151">
        <v>793</v>
      </c>
      <c r="B794" s="152" t="s">
        <v>2723</v>
      </c>
      <c r="C794" s="162" t="s">
        <v>16631</v>
      </c>
      <c r="D794" s="163">
        <v>1000</v>
      </c>
      <c r="E794" s="163">
        <f>D794*100</f>
        <v>100000</v>
      </c>
    </row>
    <row r="795" ht="16.5" spans="1:5">
      <c r="A795" s="151">
        <v>794</v>
      </c>
      <c r="B795" s="152" t="s">
        <v>2728</v>
      </c>
      <c r="C795" s="160" t="s">
        <v>16630</v>
      </c>
      <c r="D795" s="160">
        <v>100</v>
      </c>
      <c r="E795" s="161">
        <f>SUM(D795*100)</f>
        <v>10000</v>
      </c>
    </row>
    <row r="796" ht="16.5" spans="1:5">
      <c r="A796" s="151">
        <v>795</v>
      </c>
      <c r="B796" s="152" t="s">
        <v>2734</v>
      </c>
      <c r="C796" s="156" t="s">
        <v>16629</v>
      </c>
      <c r="D796" s="159">
        <v>10</v>
      </c>
      <c r="E796" s="155">
        <f>+D796*100</f>
        <v>1000</v>
      </c>
    </row>
    <row r="797" ht="16.5" spans="1:5">
      <c r="A797" s="151">
        <v>796</v>
      </c>
      <c r="B797" s="152" t="s">
        <v>2738</v>
      </c>
      <c r="C797" s="160" t="s">
        <v>16630</v>
      </c>
      <c r="D797" s="160">
        <v>1000</v>
      </c>
      <c r="E797" s="161">
        <f>SUM(D797*100)</f>
        <v>100000</v>
      </c>
    </row>
    <row r="798" ht="16.5" spans="1:5">
      <c r="A798" s="151">
        <v>797</v>
      </c>
      <c r="B798" s="152" t="s">
        <v>2741</v>
      </c>
      <c r="C798" s="162" t="s">
        <v>16631</v>
      </c>
      <c r="D798" s="163">
        <v>2000</v>
      </c>
      <c r="E798" s="163">
        <f>D798*100</f>
        <v>200000</v>
      </c>
    </row>
    <row r="799" ht="16.5" spans="1:5">
      <c r="A799" s="151">
        <v>798</v>
      </c>
      <c r="B799" s="152" t="s">
        <v>2746</v>
      </c>
      <c r="C799" s="166" t="s">
        <v>16632</v>
      </c>
      <c r="D799" s="166">
        <f>IFERROR(__xludf.DUMMYFUNCTION("""COMPUTED_VALUE"""),10000)</f>
        <v>10000</v>
      </c>
      <c r="E799" s="168">
        <f>IFERROR(__xludf.DUMMYFUNCTION("""COMPUTED_VALUE"""),1500000)</f>
        <v>1500000</v>
      </c>
    </row>
    <row r="800" ht="16.5" spans="1:5">
      <c r="A800" s="151">
        <v>799</v>
      </c>
      <c r="B800" s="152" t="s">
        <v>2747</v>
      </c>
      <c r="C800" s="156" t="s">
        <v>16629</v>
      </c>
      <c r="D800" s="157">
        <v>10</v>
      </c>
      <c r="E800" s="155">
        <f>+D800*100</f>
        <v>1000</v>
      </c>
    </row>
    <row r="801" ht="16.5" spans="1:5">
      <c r="A801" s="151">
        <v>800</v>
      </c>
      <c r="B801" s="152" t="s">
        <v>2750</v>
      </c>
      <c r="C801" s="162" t="s">
        <v>16631</v>
      </c>
      <c r="D801" s="163">
        <v>1000</v>
      </c>
      <c r="E801" s="163">
        <f>D801*100</f>
        <v>100000</v>
      </c>
    </row>
    <row r="802" ht="16.5" spans="1:5">
      <c r="A802" s="151">
        <v>801</v>
      </c>
      <c r="B802" s="152" t="s">
        <v>2755</v>
      </c>
      <c r="C802" s="153" t="s">
        <v>16629</v>
      </c>
      <c r="D802" s="154">
        <v>10</v>
      </c>
      <c r="E802" s="155">
        <f t="shared" ref="E802:E808" si="31">+D802*100</f>
        <v>1000</v>
      </c>
    </row>
    <row r="803" ht="16.5" spans="1:5">
      <c r="A803" s="151">
        <v>802</v>
      </c>
      <c r="B803" s="152" t="s">
        <v>2758</v>
      </c>
      <c r="C803" s="153" t="s">
        <v>16629</v>
      </c>
      <c r="D803" s="158">
        <v>10</v>
      </c>
      <c r="E803" s="155">
        <f t="shared" si="31"/>
        <v>1000</v>
      </c>
    </row>
    <row r="804" ht="16.5" spans="1:5">
      <c r="A804" s="151">
        <v>803</v>
      </c>
      <c r="B804" s="152" t="s">
        <v>2761</v>
      </c>
      <c r="C804" s="156" t="s">
        <v>16629</v>
      </c>
      <c r="D804" s="157">
        <v>10</v>
      </c>
      <c r="E804" s="155">
        <f t="shared" si="31"/>
        <v>1000</v>
      </c>
    </row>
    <row r="805" ht="16.5" spans="1:5">
      <c r="A805" s="151">
        <v>804</v>
      </c>
      <c r="B805" s="152" t="s">
        <v>2764</v>
      </c>
      <c r="C805" s="153" t="s">
        <v>16629</v>
      </c>
      <c r="D805" s="154">
        <v>10</v>
      </c>
      <c r="E805" s="155">
        <f t="shared" si="31"/>
        <v>1000</v>
      </c>
    </row>
    <row r="806" ht="16.5" spans="1:5">
      <c r="A806" s="151">
        <v>805</v>
      </c>
      <c r="B806" s="152" t="s">
        <v>2767</v>
      </c>
      <c r="C806" s="153" t="s">
        <v>16629</v>
      </c>
      <c r="D806" s="154">
        <v>10</v>
      </c>
      <c r="E806" s="155">
        <f t="shared" si="31"/>
        <v>1000</v>
      </c>
    </row>
    <row r="807" ht="16.5" spans="1:5">
      <c r="A807" s="151">
        <v>806</v>
      </c>
      <c r="B807" s="152" t="s">
        <v>2770</v>
      </c>
      <c r="C807" s="156" t="s">
        <v>16629</v>
      </c>
      <c r="D807" s="157">
        <v>10</v>
      </c>
      <c r="E807" s="155">
        <f t="shared" si="31"/>
        <v>1000</v>
      </c>
    </row>
    <row r="808" ht="16.5" spans="1:5">
      <c r="A808" s="151">
        <v>807</v>
      </c>
      <c r="B808" s="152" t="s">
        <v>2773</v>
      </c>
      <c r="C808" s="153" t="s">
        <v>16629</v>
      </c>
      <c r="D808" s="158">
        <v>10</v>
      </c>
      <c r="E808" s="155">
        <f t="shared" si="31"/>
        <v>1000</v>
      </c>
    </row>
    <row r="809" ht="16.5" spans="1:5">
      <c r="A809" s="151">
        <v>808</v>
      </c>
      <c r="B809" s="152" t="s">
        <v>2776</v>
      </c>
      <c r="C809" s="160" t="s">
        <v>16630</v>
      </c>
      <c r="D809" s="41">
        <v>10</v>
      </c>
      <c r="E809" s="161">
        <f>SUM(D809*100)</f>
        <v>1000</v>
      </c>
    </row>
    <row r="810" ht="16.5" spans="1:5">
      <c r="A810" s="151">
        <v>809</v>
      </c>
      <c r="B810" s="152" t="s">
        <v>2779</v>
      </c>
      <c r="C810" s="153" t="s">
        <v>16629</v>
      </c>
      <c r="D810" s="158">
        <v>10</v>
      </c>
      <c r="E810" s="155">
        <f>+D810*100</f>
        <v>1000</v>
      </c>
    </row>
    <row r="811" ht="16.5" spans="1:5">
      <c r="A811" s="151">
        <v>810</v>
      </c>
      <c r="B811" s="152" t="s">
        <v>2784</v>
      </c>
      <c r="C811" s="153" t="s">
        <v>16629</v>
      </c>
      <c r="D811" s="158">
        <v>10</v>
      </c>
      <c r="E811" s="155">
        <f>+D811*100</f>
        <v>1000</v>
      </c>
    </row>
    <row r="812" ht="16.5" spans="1:5">
      <c r="A812" s="151">
        <v>811</v>
      </c>
      <c r="B812" s="152" t="s">
        <v>2787</v>
      </c>
      <c r="C812" s="162" t="s">
        <v>16631</v>
      </c>
      <c r="D812" s="163">
        <v>1000</v>
      </c>
      <c r="E812" s="163">
        <f>D812*100</f>
        <v>100000</v>
      </c>
    </row>
    <row r="813" ht="16.5" spans="1:5">
      <c r="A813" s="151">
        <v>812</v>
      </c>
      <c r="B813" s="152" t="s">
        <v>2791</v>
      </c>
      <c r="C813" s="160" t="s">
        <v>16630</v>
      </c>
      <c r="D813" s="160">
        <v>1000</v>
      </c>
      <c r="E813" s="161">
        <f>SUM(D813*100)</f>
        <v>100000</v>
      </c>
    </row>
    <row r="814" ht="16.5" spans="1:5">
      <c r="A814" s="151">
        <v>813</v>
      </c>
      <c r="B814" s="152" t="s">
        <v>2795</v>
      </c>
      <c r="C814" s="162" t="s">
        <v>16631</v>
      </c>
      <c r="D814" s="163">
        <v>2000</v>
      </c>
      <c r="E814" s="163">
        <f>D814*100</f>
        <v>200000</v>
      </c>
    </row>
    <row r="815" ht="16.5" spans="1:5">
      <c r="A815" s="151">
        <v>814</v>
      </c>
      <c r="B815" s="152" t="s">
        <v>2795</v>
      </c>
      <c r="C815" s="162" t="s">
        <v>16633</v>
      </c>
      <c r="D815" s="171">
        <f>G815/100</f>
        <v>0</v>
      </c>
      <c r="E815" s="171">
        <f>G815</f>
        <v>0</v>
      </c>
    </row>
    <row r="816" ht="16.5" spans="1:5">
      <c r="A816" s="151">
        <v>815</v>
      </c>
      <c r="B816" s="152" t="s">
        <v>2800</v>
      </c>
      <c r="C816" s="153" t="s">
        <v>16629</v>
      </c>
      <c r="D816" s="154">
        <v>10</v>
      </c>
      <c r="E816" s="155">
        <f>+D816*100</f>
        <v>1000</v>
      </c>
    </row>
    <row r="817" ht="16.5" spans="1:5">
      <c r="A817" s="151">
        <v>816</v>
      </c>
      <c r="B817" s="152" t="s">
        <v>2804</v>
      </c>
      <c r="C817" s="160" t="s">
        <v>16630</v>
      </c>
      <c r="D817" s="41">
        <v>10</v>
      </c>
      <c r="E817" s="161">
        <f>SUM(D817*100)</f>
        <v>1000</v>
      </c>
    </row>
    <row r="818" ht="16.5" spans="1:5">
      <c r="A818" s="151">
        <v>817</v>
      </c>
      <c r="B818" s="152" t="s">
        <v>2807</v>
      </c>
      <c r="C818" s="160" t="s">
        <v>16630</v>
      </c>
      <c r="D818" s="160">
        <v>1000</v>
      </c>
      <c r="E818" s="161">
        <f>SUM(D818*100)</f>
        <v>100000</v>
      </c>
    </row>
    <row r="819" ht="16.5" spans="1:5">
      <c r="A819" s="151">
        <v>818</v>
      </c>
      <c r="B819" s="152" t="s">
        <v>2811</v>
      </c>
      <c r="C819" s="153" t="s">
        <v>16629</v>
      </c>
      <c r="D819" s="154">
        <v>10</v>
      </c>
      <c r="E819" s="155">
        <f>+D819*100</f>
        <v>1000</v>
      </c>
    </row>
    <row r="820" ht="16.5" spans="1:5">
      <c r="A820" s="151">
        <v>819</v>
      </c>
      <c r="B820" s="152" t="s">
        <v>2814</v>
      </c>
      <c r="C820" s="153" t="s">
        <v>16629</v>
      </c>
      <c r="D820" s="158">
        <v>10</v>
      </c>
      <c r="E820" s="155">
        <f>+D820*100</f>
        <v>1000</v>
      </c>
    </row>
    <row r="821" ht="16.5" spans="1:5">
      <c r="A821" s="151">
        <v>820</v>
      </c>
      <c r="B821" s="152" t="s">
        <v>2817</v>
      </c>
      <c r="C821" s="156" t="s">
        <v>16629</v>
      </c>
      <c r="D821" s="159">
        <v>10</v>
      </c>
      <c r="E821" s="155">
        <f>+D821*100</f>
        <v>1000</v>
      </c>
    </row>
    <row r="822" ht="16.5" spans="1:5">
      <c r="A822" s="151">
        <v>821</v>
      </c>
      <c r="B822" s="152" t="s">
        <v>2821</v>
      </c>
      <c r="C822" s="162" t="s">
        <v>16631</v>
      </c>
      <c r="D822" s="163">
        <v>2000</v>
      </c>
      <c r="E822" s="163">
        <f>D822*100</f>
        <v>200000</v>
      </c>
    </row>
    <row r="823" ht="16.5" spans="1:5">
      <c r="A823" s="151">
        <v>822</v>
      </c>
      <c r="B823" s="152" t="s">
        <v>2826</v>
      </c>
      <c r="C823" s="156" t="s">
        <v>16629</v>
      </c>
      <c r="D823" s="157">
        <v>10</v>
      </c>
      <c r="E823" s="155">
        <f>+D823*100</f>
        <v>1000</v>
      </c>
    </row>
    <row r="824" ht="16.5" spans="1:5">
      <c r="A824" s="151">
        <v>823</v>
      </c>
      <c r="B824" s="152" t="s">
        <v>2830</v>
      </c>
      <c r="C824" s="162" t="s">
        <v>16631</v>
      </c>
      <c r="D824" s="163">
        <v>1000</v>
      </c>
      <c r="E824" s="163">
        <f>D824*100</f>
        <v>100000</v>
      </c>
    </row>
    <row r="825" ht="16.5" spans="1:5">
      <c r="A825" s="151">
        <v>824</v>
      </c>
      <c r="B825" s="152" t="s">
        <v>2834</v>
      </c>
      <c r="C825" s="160" t="s">
        <v>16630</v>
      </c>
      <c r="D825" s="160">
        <v>2000</v>
      </c>
      <c r="E825" s="161">
        <f>SUM(D825*100)</f>
        <v>200000</v>
      </c>
    </row>
    <row r="826" ht="16.5" spans="1:5">
      <c r="A826" s="151">
        <v>825</v>
      </c>
      <c r="B826" s="152" t="s">
        <v>2838</v>
      </c>
      <c r="C826" s="160" t="s">
        <v>16630</v>
      </c>
      <c r="D826" s="165">
        <v>10</v>
      </c>
      <c r="E826" s="161">
        <f>SUM(D826*100)</f>
        <v>1000</v>
      </c>
    </row>
    <row r="827" ht="16.5" spans="1:5">
      <c r="A827" s="151">
        <v>826</v>
      </c>
      <c r="B827" s="152" t="s">
        <v>2841</v>
      </c>
      <c r="C827" s="160" t="s">
        <v>16630</v>
      </c>
      <c r="D827" s="160">
        <v>250</v>
      </c>
      <c r="E827" s="161">
        <f>SUM(D827*100)</f>
        <v>25000</v>
      </c>
    </row>
    <row r="828" ht="16.5" spans="1:5">
      <c r="A828" s="151">
        <v>827</v>
      </c>
      <c r="B828" s="152" t="s">
        <v>2844</v>
      </c>
      <c r="C828" s="156" t="s">
        <v>16629</v>
      </c>
      <c r="D828" s="159">
        <v>10</v>
      </c>
      <c r="E828" s="155">
        <f>+D828*100</f>
        <v>1000</v>
      </c>
    </row>
    <row r="829" ht="16.5" spans="1:5">
      <c r="A829" s="151">
        <v>828</v>
      </c>
      <c r="B829" s="152" t="s">
        <v>2848</v>
      </c>
      <c r="C829" s="160" t="s">
        <v>16630</v>
      </c>
      <c r="D829" s="160">
        <v>20</v>
      </c>
      <c r="E829" s="161">
        <f>SUM(D829*100)</f>
        <v>2000</v>
      </c>
    </row>
    <row r="830" ht="16.5" spans="1:5">
      <c r="A830" s="151">
        <v>829</v>
      </c>
      <c r="B830" s="152" t="s">
        <v>2852</v>
      </c>
      <c r="C830" s="153" t="s">
        <v>16629</v>
      </c>
      <c r="D830" s="158">
        <v>10</v>
      </c>
      <c r="E830" s="155">
        <f>+D830*100</f>
        <v>1000</v>
      </c>
    </row>
    <row r="831" ht="16.5" spans="1:5">
      <c r="A831" s="151">
        <v>830</v>
      </c>
      <c r="B831" s="152" t="s">
        <v>2855</v>
      </c>
      <c r="C831" s="160" t="s">
        <v>16630</v>
      </c>
      <c r="D831" s="160">
        <v>200</v>
      </c>
      <c r="E831" s="161">
        <f>SUM(D831*100)</f>
        <v>20000</v>
      </c>
    </row>
    <row r="832" ht="16.5" spans="1:5">
      <c r="A832" s="151">
        <v>831</v>
      </c>
      <c r="B832" s="152" t="s">
        <v>2858</v>
      </c>
      <c r="C832" s="162" t="s">
        <v>16631</v>
      </c>
      <c r="D832" s="163">
        <v>1000</v>
      </c>
      <c r="E832" s="163">
        <f>D832*100</f>
        <v>100000</v>
      </c>
    </row>
    <row r="833" ht="16.5" spans="1:5">
      <c r="A833" s="151">
        <v>832</v>
      </c>
      <c r="B833" s="152" t="s">
        <v>2862</v>
      </c>
      <c r="C833" s="153" t="s">
        <v>16629</v>
      </c>
      <c r="D833" s="154">
        <v>10</v>
      </c>
      <c r="E833" s="155">
        <f>+D833*100</f>
        <v>1000</v>
      </c>
    </row>
    <row r="834" ht="16.5" spans="1:5">
      <c r="A834" s="151">
        <v>833</v>
      </c>
      <c r="B834" s="152" t="s">
        <v>2866</v>
      </c>
      <c r="C834" s="153" t="s">
        <v>16629</v>
      </c>
      <c r="D834" s="154">
        <v>10</v>
      </c>
      <c r="E834" s="155">
        <f>+D834*100</f>
        <v>1000</v>
      </c>
    </row>
    <row r="835" ht="16.5" spans="1:5">
      <c r="A835" s="151">
        <v>834</v>
      </c>
      <c r="B835" s="152" t="s">
        <v>2869</v>
      </c>
      <c r="C835" s="153" t="s">
        <v>16629</v>
      </c>
      <c r="D835" s="154">
        <v>10</v>
      </c>
      <c r="E835" s="155">
        <f>+D835*100</f>
        <v>1000</v>
      </c>
    </row>
    <row r="836" ht="16.5" spans="1:5">
      <c r="A836" s="151">
        <v>835</v>
      </c>
      <c r="B836" s="152" t="s">
        <v>2873</v>
      </c>
      <c r="C836" s="160" t="s">
        <v>16630</v>
      </c>
      <c r="D836" s="160">
        <v>100</v>
      </c>
      <c r="E836" s="161">
        <f>SUM(D836*100)</f>
        <v>10000</v>
      </c>
    </row>
    <row r="837" ht="16.5" spans="1:5">
      <c r="A837" s="151">
        <v>836</v>
      </c>
      <c r="B837" s="152" t="s">
        <v>2877</v>
      </c>
      <c r="C837" s="153" t="s">
        <v>16629</v>
      </c>
      <c r="D837" s="154">
        <v>10</v>
      </c>
      <c r="E837" s="155">
        <f>+D837*100</f>
        <v>1000</v>
      </c>
    </row>
    <row r="838" ht="16.5" spans="1:5">
      <c r="A838" s="151">
        <v>837</v>
      </c>
      <c r="B838" s="152" t="s">
        <v>2881</v>
      </c>
      <c r="C838" s="162" t="s">
        <v>16631</v>
      </c>
      <c r="D838" s="163">
        <v>1000</v>
      </c>
      <c r="E838" s="163">
        <f>D838*100</f>
        <v>100000</v>
      </c>
    </row>
    <row r="839" ht="16.5" spans="1:5">
      <c r="A839" s="151">
        <v>838</v>
      </c>
      <c r="B839" s="152" t="s">
        <v>2885</v>
      </c>
      <c r="C839" s="160" t="s">
        <v>16630</v>
      </c>
      <c r="D839" s="175">
        <v>100</v>
      </c>
      <c r="E839" s="161">
        <f>SUM(D839*100)</f>
        <v>10000</v>
      </c>
    </row>
    <row r="840" ht="16.5" spans="1:5">
      <c r="A840" s="151">
        <v>839</v>
      </c>
      <c r="B840" s="152" t="s">
        <v>2888</v>
      </c>
      <c r="C840" s="160" t="s">
        <v>16630</v>
      </c>
      <c r="D840" s="160">
        <v>145</v>
      </c>
      <c r="E840" s="161">
        <f>SUM(D840*100)</f>
        <v>14500</v>
      </c>
    </row>
    <row r="841" ht="16.5" spans="1:5">
      <c r="A841" s="151">
        <v>840</v>
      </c>
      <c r="B841" s="152" t="s">
        <v>2893</v>
      </c>
      <c r="C841" s="160" t="s">
        <v>16630</v>
      </c>
      <c r="D841" s="160">
        <v>20</v>
      </c>
      <c r="E841" s="161">
        <f>SUM(D841*100)</f>
        <v>2000</v>
      </c>
    </row>
    <row r="842" ht="16.5" spans="1:5">
      <c r="A842" s="151">
        <v>841</v>
      </c>
      <c r="B842" s="152" t="s">
        <v>2897</v>
      </c>
      <c r="C842" s="162" t="s">
        <v>16631</v>
      </c>
      <c r="D842" s="163">
        <v>1000</v>
      </c>
      <c r="E842" s="163">
        <f>D842*100</f>
        <v>100000</v>
      </c>
    </row>
    <row r="843" ht="16.5" spans="1:5">
      <c r="A843" s="151">
        <v>842</v>
      </c>
      <c r="B843" s="152" t="s">
        <v>2897</v>
      </c>
      <c r="C843" s="162" t="s">
        <v>16633</v>
      </c>
      <c r="D843" s="171">
        <f>G843/100</f>
        <v>0</v>
      </c>
      <c r="E843" s="171">
        <f>G843</f>
        <v>0</v>
      </c>
    </row>
    <row r="844" ht="16.5" spans="1:5">
      <c r="A844" s="151">
        <v>843</v>
      </c>
      <c r="B844" s="152" t="s">
        <v>2901</v>
      </c>
      <c r="C844" s="160" t="s">
        <v>16630</v>
      </c>
      <c r="D844" s="175">
        <v>10</v>
      </c>
      <c r="E844" s="161">
        <f>SUM(D844*100)</f>
        <v>1000</v>
      </c>
    </row>
    <row r="845" ht="16.5" spans="1:5">
      <c r="A845" s="151">
        <v>844</v>
      </c>
      <c r="B845" s="152" t="s">
        <v>2904</v>
      </c>
      <c r="C845" s="166" t="s">
        <v>16632</v>
      </c>
      <c r="D845" s="166">
        <f>IFERROR(__xludf.DUMMYFUNCTION("""COMPUTED_VALUE"""),10000)</f>
        <v>10000</v>
      </c>
      <c r="E845" s="168">
        <f>IFERROR(__xludf.DUMMYFUNCTION("""COMPUTED_VALUE"""),1500000)</f>
        <v>1500000</v>
      </c>
    </row>
    <row r="846" ht="16.5" spans="1:5">
      <c r="A846" s="151">
        <v>845</v>
      </c>
      <c r="B846" s="152" t="s">
        <v>2905</v>
      </c>
      <c r="C846" s="153" t="s">
        <v>16629</v>
      </c>
      <c r="D846" s="154">
        <v>50</v>
      </c>
      <c r="E846" s="155">
        <f>+D846*100</f>
        <v>5000</v>
      </c>
    </row>
    <row r="847" ht="16.5" spans="1:5">
      <c r="A847" s="151">
        <v>846</v>
      </c>
      <c r="B847" s="152" t="s">
        <v>2908</v>
      </c>
      <c r="C847" s="160" t="s">
        <v>16630</v>
      </c>
      <c r="D847" s="160">
        <v>100</v>
      </c>
      <c r="E847" s="161">
        <f>SUM(D847*100)</f>
        <v>10000</v>
      </c>
    </row>
    <row r="848" ht="16.5" spans="1:5">
      <c r="A848" s="151">
        <v>847</v>
      </c>
      <c r="B848" s="152" t="s">
        <v>2912</v>
      </c>
      <c r="C848" s="153" t="s">
        <v>16629</v>
      </c>
      <c r="D848" s="154">
        <v>10</v>
      </c>
      <c r="E848" s="155">
        <f>+D848*100</f>
        <v>1000</v>
      </c>
    </row>
    <row r="849" ht="16.5" spans="1:5">
      <c r="A849" s="151">
        <v>848</v>
      </c>
      <c r="B849" s="152" t="s">
        <v>2915</v>
      </c>
      <c r="C849" s="160" t="s">
        <v>16630</v>
      </c>
      <c r="D849" s="160">
        <v>100</v>
      </c>
      <c r="E849" s="161">
        <f>SUM(D849*100)</f>
        <v>10000</v>
      </c>
    </row>
    <row r="850" ht="16.5" spans="1:5">
      <c r="A850" s="151">
        <v>849</v>
      </c>
      <c r="B850" s="152" t="s">
        <v>2919</v>
      </c>
      <c r="C850" s="162" t="s">
        <v>16631</v>
      </c>
      <c r="D850" s="163">
        <v>1000</v>
      </c>
      <c r="E850" s="163">
        <f>D850*100</f>
        <v>100000</v>
      </c>
    </row>
    <row r="851" ht="16.5" spans="1:5">
      <c r="A851" s="151">
        <v>850</v>
      </c>
      <c r="B851" s="152" t="s">
        <v>2923</v>
      </c>
      <c r="C851" s="166" t="s">
        <v>16632</v>
      </c>
      <c r="D851" s="166">
        <f>IFERROR(__xludf.DUMMYFUNCTION("""COMPUTED_VALUE"""),10000)</f>
        <v>10000</v>
      </c>
      <c r="E851" s="168">
        <f>IFERROR(__xludf.DUMMYFUNCTION("""COMPUTED_VALUE"""),1500000)</f>
        <v>1500000</v>
      </c>
    </row>
    <row r="852" ht="16.5" spans="1:5">
      <c r="A852" s="151">
        <v>851</v>
      </c>
      <c r="B852" s="152" t="s">
        <v>2924</v>
      </c>
      <c r="C852" s="160" t="s">
        <v>16630</v>
      </c>
      <c r="D852" s="160">
        <v>209</v>
      </c>
      <c r="E852" s="161">
        <f>SUM(D852*100)</f>
        <v>20900</v>
      </c>
    </row>
    <row r="853" ht="16.5" spans="1:5">
      <c r="A853" s="151">
        <v>852</v>
      </c>
      <c r="B853" s="152" t="s">
        <v>2927</v>
      </c>
      <c r="C853" s="153" t="s">
        <v>16629</v>
      </c>
      <c r="D853" s="154">
        <v>10</v>
      </c>
      <c r="E853" s="155">
        <f>+D853*100</f>
        <v>1000</v>
      </c>
    </row>
    <row r="854" ht="16.5" spans="1:5">
      <c r="A854" s="151">
        <v>853</v>
      </c>
      <c r="B854" s="152" t="s">
        <v>2930</v>
      </c>
      <c r="C854" s="153" t="s">
        <v>16629</v>
      </c>
      <c r="D854" s="154">
        <v>10</v>
      </c>
      <c r="E854" s="155">
        <f>+D854*100</f>
        <v>1000</v>
      </c>
    </row>
    <row r="855" ht="16.5" spans="1:5">
      <c r="A855" s="151">
        <v>854</v>
      </c>
      <c r="B855" s="152" t="s">
        <v>2934</v>
      </c>
      <c r="C855" s="162" t="s">
        <v>16631</v>
      </c>
      <c r="D855" s="163">
        <v>1000</v>
      </c>
      <c r="E855" s="163">
        <f>D855*100</f>
        <v>100000</v>
      </c>
    </row>
    <row r="856" ht="16.5" spans="1:5">
      <c r="A856" s="151">
        <v>855</v>
      </c>
      <c r="B856" s="152" t="s">
        <v>2938</v>
      </c>
      <c r="C856" s="166" t="s">
        <v>16632</v>
      </c>
      <c r="D856" s="166">
        <f>IFERROR(__xludf.DUMMYFUNCTION("""COMPUTED_VALUE"""),10000)</f>
        <v>10000</v>
      </c>
      <c r="E856" s="168">
        <f>IFERROR(__xludf.DUMMYFUNCTION("""COMPUTED_VALUE"""),1500000)</f>
        <v>1500000</v>
      </c>
    </row>
    <row r="857" ht="16.5" spans="1:5">
      <c r="A857" s="151">
        <v>856</v>
      </c>
      <c r="B857" s="152" t="s">
        <v>2939</v>
      </c>
      <c r="C857" s="160" t="s">
        <v>16630</v>
      </c>
      <c r="D857" s="164">
        <v>10</v>
      </c>
      <c r="E857" s="161">
        <f>SUM(D857*100)</f>
        <v>1000</v>
      </c>
    </row>
    <row r="858" ht="16.5" spans="1:5">
      <c r="A858" s="151">
        <v>857</v>
      </c>
      <c r="B858" s="152" t="s">
        <v>2942</v>
      </c>
      <c r="C858" s="156" t="s">
        <v>16629</v>
      </c>
      <c r="D858" s="159">
        <v>10</v>
      </c>
      <c r="E858" s="155">
        <f>+D858*100</f>
        <v>1000</v>
      </c>
    </row>
    <row r="859" ht="16.5" spans="1:5">
      <c r="A859" s="151">
        <v>858</v>
      </c>
      <c r="B859" s="152" t="s">
        <v>2945</v>
      </c>
      <c r="C859" s="160" t="s">
        <v>16630</v>
      </c>
      <c r="D859" s="160">
        <v>200</v>
      </c>
      <c r="E859" s="161">
        <f>SUM(D859*100)</f>
        <v>20000</v>
      </c>
    </row>
    <row r="860" ht="16.5" spans="1:5">
      <c r="A860" s="151">
        <v>859</v>
      </c>
      <c r="B860" s="152" t="s">
        <v>2949</v>
      </c>
      <c r="C860" s="160" t="s">
        <v>16630</v>
      </c>
      <c r="D860" s="165">
        <v>1000</v>
      </c>
      <c r="E860" s="161">
        <f>SUM(D860*100)</f>
        <v>100000</v>
      </c>
    </row>
    <row r="861" ht="16.5" spans="1:5">
      <c r="A861" s="151">
        <v>860</v>
      </c>
      <c r="B861" s="152" t="s">
        <v>2952</v>
      </c>
      <c r="C861" s="162" t="s">
        <v>16633</v>
      </c>
      <c r="D861" s="171">
        <f>G861/100</f>
        <v>0</v>
      </c>
      <c r="E861" s="171">
        <f>G861</f>
        <v>0</v>
      </c>
    </row>
    <row r="862" ht="16.5" spans="1:5">
      <c r="A862" s="151">
        <v>861</v>
      </c>
      <c r="B862" s="152" t="s">
        <v>2953</v>
      </c>
      <c r="C862" s="160" t="s">
        <v>16630</v>
      </c>
      <c r="D862" s="160">
        <v>100</v>
      </c>
      <c r="E862" s="161">
        <f>SUM(D862*100)</f>
        <v>10000</v>
      </c>
    </row>
    <row r="863" ht="16.5" spans="1:5">
      <c r="A863" s="151">
        <v>862</v>
      </c>
      <c r="B863" s="152" t="s">
        <v>2957</v>
      </c>
      <c r="C863" s="160" t="s">
        <v>16630</v>
      </c>
      <c r="D863" s="160">
        <v>100</v>
      </c>
      <c r="E863" s="161">
        <f>SUM(D863*100)</f>
        <v>10000</v>
      </c>
    </row>
    <row r="864" ht="16.5" spans="1:5">
      <c r="A864" s="151">
        <v>863</v>
      </c>
      <c r="B864" s="152" t="s">
        <v>2961</v>
      </c>
      <c r="C864" s="166" t="s">
        <v>16632</v>
      </c>
      <c r="D864" s="151">
        <f>IFERROR(__xludf.DUMMYFUNCTION("""COMPUTED_VALUE"""),10000)</f>
        <v>10000</v>
      </c>
      <c r="E864" s="167">
        <f>IFERROR(__xludf.DUMMYFUNCTION("""COMPUTED_VALUE"""),1500000)</f>
        <v>1500000</v>
      </c>
    </row>
    <row r="865" ht="16.5" spans="1:5">
      <c r="A865" s="151">
        <v>864</v>
      </c>
      <c r="B865" s="152" t="s">
        <v>2962</v>
      </c>
      <c r="C865" s="156" t="s">
        <v>16629</v>
      </c>
      <c r="D865" s="157">
        <v>10</v>
      </c>
      <c r="E865" s="155">
        <f>+D865*100</f>
        <v>1000</v>
      </c>
    </row>
    <row r="866" ht="16.5" spans="1:5">
      <c r="A866" s="151">
        <v>865</v>
      </c>
      <c r="B866" s="152" t="s">
        <v>2965</v>
      </c>
      <c r="C866" s="160" t="s">
        <v>16630</v>
      </c>
      <c r="D866" s="160">
        <v>100</v>
      </c>
      <c r="E866" s="161">
        <f>SUM(D866*100)</f>
        <v>10000</v>
      </c>
    </row>
    <row r="867" ht="16.5" spans="1:5">
      <c r="A867" s="151">
        <v>866</v>
      </c>
      <c r="B867" s="152" t="s">
        <v>2969</v>
      </c>
      <c r="C867" s="160" t="s">
        <v>16630</v>
      </c>
      <c r="D867" s="160">
        <v>47</v>
      </c>
      <c r="E867" s="161">
        <f>SUM(D867*100)</f>
        <v>4700</v>
      </c>
    </row>
    <row r="868" ht="16.5" spans="1:5">
      <c r="A868" s="151">
        <v>867</v>
      </c>
      <c r="B868" s="152" t="s">
        <v>2972</v>
      </c>
      <c r="C868" s="160" t="s">
        <v>16630</v>
      </c>
      <c r="D868" s="164">
        <v>100</v>
      </c>
      <c r="E868" s="161">
        <f>SUM(D868*100)</f>
        <v>10000</v>
      </c>
    </row>
    <row r="869" ht="16.5" spans="1:5">
      <c r="A869" s="151">
        <v>868</v>
      </c>
      <c r="B869" s="152" t="s">
        <v>2975</v>
      </c>
      <c r="C869" s="160" t="s">
        <v>16630</v>
      </c>
      <c r="D869" s="160">
        <v>20</v>
      </c>
      <c r="E869" s="161">
        <f>SUM(D869*100)</f>
        <v>2000</v>
      </c>
    </row>
    <row r="870" ht="16.5" spans="1:5">
      <c r="A870" s="151">
        <v>869</v>
      </c>
      <c r="B870" s="152" t="s">
        <v>2979</v>
      </c>
      <c r="C870" s="162" t="s">
        <v>16631</v>
      </c>
      <c r="D870" s="163">
        <v>2000</v>
      </c>
      <c r="E870" s="163">
        <f>D870*100</f>
        <v>200000</v>
      </c>
    </row>
    <row r="871" ht="16.5" spans="1:5">
      <c r="A871" s="151">
        <v>870</v>
      </c>
      <c r="B871" s="152" t="s">
        <v>2979</v>
      </c>
      <c r="C871" s="162" t="s">
        <v>16633</v>
      </c>
      <c r="D871" s="171">
        <f>G871/100</f>
        <v>0</v>
      </c>
      <c r="E871" s="171">
        <f>G871</f>
        <v>0</v>
      </c>
    </row>
    <row r="872" ht="16.5" spans="1:5">
      <c r="A872" s="151">
        <v>871</v>
      </c>
      <c r="B872" s="152" t="s">
        <v>2983</v>
      </c>
      <c r="C872" s="162" t="s">
        <v>16631</v>
      </c>
      <c r="D872" s="163">
        <v>1000</v>
      </c>
      <c r="E872" s="163">
        <f>D872*100</f>
        <v>100000</v>
      </c>
    </row>
    <row r="873" ht="16.5" spans="1:5">
      <c r="A873" s="151">
        <v>872</v>
      </c>
      <c r="B873" s="152" t="s">
        <v>2988</v>
      </c>
      <c r="C873" s="153" t="s">
        <v>16629</v>
      </c>
      <c r="D873" s="154">
        <v>10</v>
      </c>
      <c r="E873" s="155">
        <f>+D873*100</f>
        <v>1000</v>
      </c>
    </row>
    <row r="874" ht="16.5" spans="1:5">
      <c r="A874" s="151">
        <v>873</v>
      </c>
      <c r="B874" s="152" t="s">
        <v>2991</v>
      </c>
      <c r="C874" s="160" t="s">
        <v>16630</v>
      </c>
      <c r="D874" s="160">
        <v>200</v>
      </c>
      <c r="E874" s="161">
        <f>SUM(D874*100)</f>
        <v>20000</v>
      </c>
    </row>
    <row r="875" ht="16.5" spans="1:5">
      <c r="A875" s="151">
        <v>874</v>
      </c>
      <c r="B875" s="152" t="s">
        <v>2995</v>
      </c>
      <c r="C875" s="153" t="s">
        <v>16629</v>
      </c>
      <c r="D875" s="154">
        <v>10</v>
      </c>
      <c r="E875" s="155">
        <f>+D875*100</f>
        <v>1000</v>
      </c>
    </row>
    <row r="876" ht="16.5" spans="1:5">
      <c r="A876" s="151">
        <v>875</v>
      </c>
      <c r="B876" s="152" t="s">
        <v>2999</v>
      </c>
      <c r="C876" s="160" t="s">
        <v>16630</v>
      </c>
      <c r="D876" s="172">
        <v>100</v>
      </c>
      <c r="E876" s="161">
        <f>SUM(D876*100)</f>
        <v>10000</v>
      </c>
    </row>
    <row r="877" ht="16.5" spans="1:5">
      <c r="A877" s="151">
        <v>876</v>
      </c>
      <c r="B877" s="152" t="s">
        <v>3002</v>
      </c>
      <c r="C877" s="156" t="s">
        <v>16629</v>
      </c>
      <c r="D877" s="159">
        <v>10</v>
      </c>
      <c r="E877" s="155">
        <f>+D877*100</f>
        <v>1000</v>
      </c>
    </row>
    <row r="878" ht="16.5" spans="1:5">
      <c r="A878" s="151">
        <v>877</v>
      </c>
      <c r="B878" s="152" t="s">
        <v>3005</v>
      </c>
      <c r="C878" s="156" t="s">
        <v>16629</v>
      </c>
      <c r="D878" s="159">
        <v>10</v>
      </c>
      <c r="E878" s="155">
        <f>+D878*100</f>
        <v>1000</v>
      </c>
    </row>
    <row r="879" ht="16.5" spans="1:5">
      <c r="A879" s="151">
        <v>878</v>
      </c>
      <c r="B879" s="152" t="s">
        <v>3009</v>
      </c>
      <c r="C879" s="166" t="s">
        <v>16632</v>
      </c>
      <c r="D879" s="166">
        <f>IFERROR(__xludf.DUMMYFUNCTION("""COMPUTED_VALUE"""),15000)</f>
        <v>15000</v>
      </c>
      <c r="E879" s="168">
        <f>IFERROR(__xludf.DUMMYFUNCTION("""COMPUTED_VALUE"""),1500000)</f>
        <v>1500000</v>
      </c>
    </row>
    <row r="880" ht="16.5" spans="1:5">
      <c r="A880" s="151">
        <v>879</v>
      </c>
      <c r="B880" s="152" t="s">
        <v>3010</v>
      </c>
      <c r="C880" s="156" t="s">
        <v>16629</v>
      </c>
      <c r="D880" s="159">
        <v>10</v>
      </c>
      <c r="E880" s="155">
        <f>+D880*100</f>
        <v>1000</v>
      </c>
    </row>
    <row r="881" ht="16.5" spans="1:5">
      <c r="A881" s="151">
        <v>880</v>
      </c>
      <c r="B881" s="152" t="s">
        <v>3014</v>
      </c>
      <c r="C881" s="153" t="s">
        <v>16629</v>
      </c>
      <c r="D881" s="154">
        <v>10</v>
      </c>
      <c r="E881" s="155">
        <f>+D881*100</f>
        <v>1000</v>
      </c>
    </row>
    <row r="882" ht="16.5" spans="1:5">
      <c r="A882" s="151">
        <v>881</v>
      </c>
      <c r="B882" s="152" t="s">
        <v>3018</v>
      </c>
      <c r="C882" s="156" t="s">
        <v>16629</v>
      </c>
      <c r="D882" s="159">
        <v>10</v>
      </c>
      <c r="E882" s="155">
        <f>+D882*100</f>
        <v>1000</v>
      </c>
    </row>
    <row r="883" ht="16.5" spans="1:5">
      <c r="A883" s="151">
        <v>882</v>
      </c>
      <c r="B883" s="152" t="s">
        <v>3021</v>
      </c>
      <c r="C883" s="156" t="s">
        <v>16629</v>
      </c>
      <c r="D883" s="154">
        <v>10</v>
      </c>
      <c r="E883" s="155">
        <f>+D883*100</f>
        <v>1000</v>
      </c>
    </row>
    <row r="884" ht="16.5" spans="1:5">
      <c r="A884" s="151">
        <v>883</v>
      </c>
      <c r="B884" s="152" t="s">
        <v>3025</v>
      </c>
      <c r="C884" s="156" t="s">
        <v>16629</v>
      </c>
      <c r="D884" s="154">
        <v>10</v>
      </c>
      <c r="E884" s="155">
        <f>+D884*100</f>
        <v>1000</v>
      </c>
    </row>
    <row r="885" ht="16.5" spans="1:5">
      <c r="A885" s="151">
        <v>884</v>
      </c>
      <c r="B885" s="152" t="s">
        <v>3028</v>
      </c>
      <c r="C885" s="160" t="s">
        <v>16630</v>
      </c>
      <c r="D885" s="160">
        <v>100</v>
      </c>
      <c r="E885" s="161">
        <f>SUM(D885*100)</f>
        <v>10000</v>
      </c>
    </row>
    <row r="886" ht="16.5" spans="1:5">
      <c r="A886" s="151">
        <v>885</v>
      </c>
      <c r="B886" s="152" t="s">
        <v>3031</v>
      </c>
      <c r="C886" s="153" t="s">
        <v>16629</v>
      </c>
      <c r="D886" s="158">
        <v>10</v>
      </c>
      <c r="E886" s="155">
        <f>+D886*100</f>
        <v>1000</v>
      </c>
    </row>
    <row r="887" ht="16.5" spans="1:5">
      <c r="A887" s="151">
        <v>886</v>
      </c>
      <c r="B887" s="152" t="s">
        <v>3034</v>
      </c>
      <c r="C887" s="153" t="s">
        <v>16629</v>
      </c>
      <c r="D887" s="154">
        <v>10</v>
      </c>
      <c r="E887" s="155">
        <f>+D887*100</f>
        <v>1000</v>
      </c>
    </row>
    <row r="888" ht="16.5" spans="1:5">
      <c r="A888" s="151">
        <v>887</v>
      </c>
      <c r="B888" s="152" t="s">
        <v>3037</v>
      </c>
      <c r="C888" s="156" t="s">
        <v>16629</v>
      </c>
      <c r="D888" s="159">
        <v>10</v>
      </c>
      <c r="E888" s="155">
        <f>+D888*100</f>
        <v>1000</v>
      </c>
    </row>
    <row r="889" ht="16.5" spans="1:5">
      <c r="A889" s="151">
        <v>888</v>
      </c>
      <c r="B889" s="152" t="s">
        <v>3040</v>
      </c>
      <c r="C889" s="160" t="s">
        <v>16630</v>
      </c>
      <c r="D889" s="165">
        <v>10</v>
      </c>
      <c r="E889" s="161">
        <f>SUM(D889*100)</f>
        <v>1000</v>
      </c>
    </row>
    <row r="890" ht="16.5" spans="1:5">
      <c r="A890" s="151">
        <v>889</v>
      </c>
      <c r="B890" s="152" t="s">
        <v>3043</v>
      </c>
      <c r="C890" s="160" t="s">
        <v>16630</v>
      </c>
      <c r="D890" s="160">
        <v>100</v>
      </c>
      <c r="E890" s="161">
        <f>SUM(D890*100)</f>
        <v>10000</v>
      </c>
    </row>
    <row r="891" ht="16.5" spans="1:5">
      <c r="A891" s="151">
        <v>890</v>
      </c>
      <c r="B891" s="152" t="s">
        <v>3047</v>
      </c>
      <c r="C891" s="160" t="s">
        <v>16630</v>
      </c>
      <c r="D891" s="160">
        <v>10</v>
      </c>
      <c r="E891" s="161">
        <f>SUM(D891*100)</f>
        <v>1000</v>
      </c>
    </row>
    <row r="892" ht="16.5" spans="1:5">
      <c r="A892" s="151">
        <v>891</v>
      </c>
      <c r="B892" s="152" t="s">
        <v>3051</v>
      </c>
      <c r="C892" s="160" t="s">
        <v>16630</v>
      </c>
      <c r="D892" s="160">
        <v>200</v>
      </c>
      <c r="E892" s="161">
        <f>SUM(D892*100)</f>
        <v>20000</v>
      </c>
    </row>
    <row r="893" ht="16.5" spans="1:5">
      <c r="A893" s="151">
        <v>892</v>
      </c>
      <c r="B893" s="152" t="s">
        <v>3055</v>
      </c>
      <c r="C893" s="160" t="s">
        <v>16630</v>
      </c>
      <c r="D893" s="160">
        <v>90</v>
      </c>
      <c r="E893" s="161">
        <f>SUM(D893*100)</f>
        <v>9000</v>
      </c>
    </row>
    <row r="894" ht="16.5" spans="1:5">
      <c r="A894" s="151">
        <v>893</v>
      </c>
      <c r="B894" s="152" t="s">
        <v>3059</v>
      </c>
      <c r="C894" s="162" t="s">
        <v>16631</v>
      </c>
      <c r="D894" s="163">
        <v>1000</v>
      </c>
      <c r="E894" s="163">
        <f>D894*100</f>
        <v>100000</v>
      </c>
    </row>
    <row r="895" ht="16.5" spans="1:5">
      <c r="A895" s="151">
        <v>894</v>
      </c>
      <c r="B895" s="152" t="s">
        <v>3063</v>
      </c>
      <c r="C895" s="153" t="s">
        <v>16629</v>
      </c>
      <c r="D895" s="154">
        <v>10</v>
      </c>
      <c r="E895" s="155">
        <f t="shared" ref="E895:E901" si="32">+D895*100</f>
        <v>1000</v>
      </c>
    </row>
    <row r="896" ht="16.5" spans="1:5">
      <c r="A896" s="151">
        <v>895</v>
      </c>
      <c r="B896" s="152" t="s">
        <v>3066</v>
      </c>
      <c r="C896" s="153" t="s">
        <v>16629</v>
      </c>
      <c r="D896" s="154">
        <v>10</v>
      </c>
      <c r="E896" s="155">
        <f t="shared" si="32"/>
        <v>1000</v>
      </c>
    </row>
    <row r="897" ht="16.5" spans="1:5">
      <c r="A897" s="151">
        <v>896</v>
      </c>
      <c r="B897" s="152" t="s">
        <v>3070</v>
      </c>
      <c r="C897" s="156" t="s">
        <v>16629</v>
      </c>
      <c r="D897" s="159">
        <v>10</v>
      </c>
      <c r="E897" s="155">
        <f t="shared" si="32"/>
        <v>1000</v>
      </c>
    </row>
    <row r="898" ht="16.5" spans="1:5">
      <c r="A898" s="151">
        <v>897</v>
      </c>
      <c r="B898" s="152" t="s">
        <v>3073</v>
      </c>
      <c r="C898" s="153" t="s">
        <v>16629</v>
      </c>
      <c r="D898" s="154">
        <v>20</v>
      </c>
      <c r="E898" s="155">
        <f t="shared" si="32"/>
        <v>2000</v>
      </c>
    </row>
    <row r="899" ht="16.5" spans="1:5">
      <c r="A899" s="151">
        <v>898</v>
      </c>
      <c r="B899" s="152" t="s">
        <v>3077</v>
      </c>
      <c r="C899" s="153" t="s">
        <v>16629</v>
      </c>
      <c r="D899" s="154">
        <v>10</v>
      </c>
      <c r="E899" s="155">
        <f t="shared" si="32"/>
        <v>1000</v>
      </c>
    </row>
    <row r="900" ht="16.5" spans="1:5">
      <c r="A900" s="151">
        <v>899</v>
      </c>
      <c r="B900" s="152" t="s">
        <v>3080</v>
      </c>
      <c r="C900" s="156" t="s">
        <v>16629</v>
      </c>
      <c r="D900" s="159">
        <v>10</v>
      </c>
      <c r="E900" s="155">
        <f t="shared" si="32"/>
        <v>1000</v>
      </c>
    </row>
    <row r="901" ht="16.5" spans="1:5">
      <c r="A901" s="151">
        <v>900</v>
      </c>
      <c r="B901" s="152" t="s">
        <v>3083</v>
      </c>
      <c r="C901" s="156" t="s">
        <v>16629</v>
      </c>
      <c r="D901" s="159">
        <v>10</v>
      </c>
      <c r="E901" s="155">
        <f t="shared" si="32"/>
        <v>1000</v>
      </c>
    </row>
    <row r="902" ht="16.5" spans="1:5">
      <c r="A902" s="151">
        <v>901</v>
      </c>
      <c r="B902" s="152" t="s">
        <v>3086</v>
      </c>
      <c r="C902" s="160" t="s">
        <v>16630</v>
      </c>
      <c r="D902" s="160">
        <v>500</v>
      </c>
      <c r="E902" s="161">
        <f>SUM(D902*100)</f>
        <v>50000</v>
      </c>
    </row>
    <row r="903" ht="16.5" spans="1:5">
      <c r="A903" s="151">
        <v>902</v>
      </c>
      <c r="B903" s="152" t="s">
        <v>3091</v>
      </c>
      <c r="C903" s="160" t="s">
        <v>16630</v>
      </c>
      <c r="D903" s="160">
        <v>10</v>
      </c>
      <c r="E903" s="161">
        <f>SUM(D903*100)</f>
        <v>1000</v>
      </c>
    </row>
    <row r="904" ht="16.5" spans="1:5">
      <c r="A904" s="151">
        <v>903</v>
      </c>
      <c r="B904" s="152" t="s">
        <v>3094</v>
      </c>
      <c r="C904" s="156" t="s">
        <v>16629</v>
      </c>
      <c r="D904" s="157">
        <v>30</v>
      </c>
      <c r="E904" s="155">
        <f t="shared" ref="E904:E910" si="33">+D904*100</f>
        <v>3000</v>
      </c>
    </row>
    <row r="905" ht="16.5" spans="1:5">
      <c r="A905" s="151">
        <v>904</v>
      </c>
      <c r="B905" s="152" t="s">
        <v>3098</v>
      </c>
      <c r="C905" s="153" t="s">
        <v>16629</v>
      </c>
      <c r="D905" s="158">
        <v>10</v>
      </c>
      <c r="E905" s="155">
        <f t="shared" si="33"/>
        <v>1000</v>
      </c>
    </row>
    <row r="906" ht="16.5" spans="1:5">
      <c r="A906" s="151">
        <v>905</v>
      </c>
      <c r="B906" s="152" t="s">
        <v>3101</v>
      </c>
      <c r="C906" s="153" t="s">
        <v>16629</v>
      </c>
      <c r="D906" s="154">
        <v>10</v>
      </c>
      <c r="E906" s="155">
        <f t="shared" si="33"/>
        <v>1000</v>
      </c>
    </row>
    <row r="907" ht="16.5" spans="1:5">
      <c r="A907" s="151">
        <v>906</v>
      </c>
      <c r="B907" s="152" t="s">
        <v>3105</v>
      </c>
      <c r="C907" s="153" t="s">
        <v>16629</v>
      </c>
      <c r="D907" s="158">
        <v>10</v>
      </c>
      <c r="E907" s="155">
        <f t="shared" si="33"/>
        <v>1000</v>
      </c>
    </row>
    <row r="908" ht="16.5" spans="1:5">
      <c r="A908" s="151">
        <v>907</v>
      </c>
      <c r="B908" s="152" t="s">
        <v>3109</v>
      </c>
      <c r="C908" s="153" t="s">
        <v>16629</v>
      </c>
      <c r="D908" s="154">
        <v>10</v>
      </c>
      <c r="E908" s="155">
        <f t="shared" si="33"/>
        <v>1000</v>
      </c>
    </row>
    <row r="909" ht="16.5" spans="1:5">
      <c r="A909" s="151">
        <v>908</v>
      </c>
      <c r="B909" s="152" t="s">
        <v>3113</v>
      </c>
      <c r="C909" s="153" t="s">
        <v>16629</v>
      </c>
      <c r="D909" s="158">
        <v>10</v>
      </c>
      <c r="E909" s="155">
        <f t="shared" si="33"/>
        <v>1000</v>
      </c>
    </row>
    <row r="910" ht="16.5" spans="1:5">
      <c r="A910" s="151">
        <v>909</v>
      </c>
      <c r="B910" s="152" t="s">
        <v>3116</v>
      </c>
      <c r="C910" s="153" t="s">
        <v>16629</v>
      </c>
      <c r="D910" s="158">
        <v>10</v>
      </c>
      <c r="E910" s="155">
        <f t="shared" si="33"/>
        <v>1000</v>
      </c>
    </row>
    <row r="911" ht="16.5" spans="1:5">
      <c r="A911" s="151">
        <v>910</v>
      </c>
      <c r="B911" s="152" t="s">
        <v>3120</v>
      </c>
      <c r="C911" s="156" t="s">
        <v>16629</v>
      </c>
      <c r="D911" s="159">
        <v>10</v>
      </c>
      <c r="E911" s="155">
        <f>SUM(D911*100)</f>
        <v>1000</v>
      </c>
    </row>
    <row r="912" ht="16.5" spans="1:5">
      <c r="A912" s="151">
        <v>911</v>
      </c>
      <c r="B912" s="152" t="s">
        <v>3123</v>
      </c>
      <c r="C912" s="156" t="s">
        <v>16629</v>
      </c>
      <c r="D912" s="154">
        <v>10</v>
      </c>
      <c r="E912" s="155">
        <f>+D912*100</f>
        <v>1000</v>
      </c>
    </row>
    <row r="913" ht="16.5" spans="1:5">
      <c r="A913" s="151">
        <v>912</v>
      </c>
      <c r="B913" s="152" t="s">
        <v>3126</v>
      </c>
      <c r="C913" s="156" t="s">
        <v>16629</v>
      </c>
      <c r="D913" s="154">
        <v>10</v>
      </c>
      <c r="E913" s="155">
        <f>+D913*100</f>
        <v>1000</v>
      </c>
    </row>
    <row r="914" ht="16.5" spans="1:5">
      <c r="A914" s="151">
        <v>913</v>
      </c>
      <c r="B914" s="152" t="s">
        <v>3130</v>
      </c>
      <c r="C914" s="160" t="s">
        <v>16630</v>
      </c>
      <c r="D914" s="175">
        <v>100</v>
      </c>
      <c r="E914" s="161">
        <f>SUM(D914*100)</f>
        <v>10000</v>
      </c>
    </row>
    <row r="915" ht="16.5" spans="1:5">
      <c r="A915" s="151">
        <v>914</v>
      </c>
      <c r="B915" s="152" t="s">
        <v>3133</v>
      </c>
      <c r="C915" s="156" t="s">
        <v>16629</v>
      </c>
      <c r="D915" s="159">
        <v>10</v>
      </c>
      <c r="E915" s="155">
        <f>+D915*100</f>
        <v>1000</v>
      </c>
    </row>
    <row r="916" ht="16.5" spans="1:5">
      <c r="A916" s="151">
        <v>915</v>
      </c>
      <c r="B916" s="152" t="s">
        <v>3136</v>
      </c>
      <c r="C916" s="153" t="s">
        <v>16629</v>
      </c>
      <c r="D916" s="154">
        <v>10</v>
      </c>
      <c r="E916" s="155">
        <f>+D916*100</f>
        <v>1000</v>
      </c>
    </row>
    <row r="917" ht="16.5" spans="1:5">
      <c r="A917" s="151">
        <v>916</v>
      </c>
      <c r="B917" s="152" t="s">
        <v>3139</v>
      </c>
      <c r="C917" s="153" t="s">
        <v>16629</v>
      </c>
      <c r="D917" s="154">
        <v>10</v>
      </c>
      <c r="E917" s="155">
        <f>+D917*100</f>
        <v>1000</v>
      </c>
    </row>
    <row r="918" ht="16.5" spans="1:5">
      <c r="A918" s="151">
        <v>917</v>
      </c>
      <c r="B918" s="152" t="s">
        <v>3143</v>
      </c>
      <c r="C918" s="153" t="s">
        <v>16629</v>
      </c>
      <c r="D918" s="154">
        <v>10</v>
      </c>
      <c r="E918" s="155">
        <f>+D918*100</f>
        <v>1000</v>
      </c>
    </row>
    <row r="919" ht="16.5" spans="1:5">
      <c r="A919" s="151">
        <v>918</v>
      </c>
      <c r="B919" s="152" t="s">
        <v>3146</v>
      </c>
      <c r="C919" s="160" t="s">
        <v>16630</v>
      </c>
      <c r="D919" s="160">
        <v>200</v>
      </c>
      <c r="E919" s="161">
        <f>SUM(D919*100)</f>
        <v>20000</v>
      </c>
    </row>
    <row r="920" ht="16.5" spans="1:5">
      <c r="A920" s="151">
        <v>919</v>
      </c>
      <c r="B920" s="152" t="s">
        <v>3150</v>
      </c>
      <c r="C920" s="160" t="s">
        <v>16630</v>
      </c>
      <c r="D920" s="160">
        <v>48</v>
      </c>
      <c r="E920" s="161">
        <f>SUM(D920*100)</f>
        <v>4800</v>
      </c>
    </row>
    <row r="921" ht="16.5" spans="1:5">
      <c r="A921" s="151">
        <v>920</v>
      </c>
      <c r="B921" s="152" t="s">
        <v>3154</v>
      </c>
      <c r="C921" s="160" t="s">
        <v>16630</v>
      </c>
      <c r="D921" s="160">
        <v>250</v>
      </c>
      <c r="E921" s="161">
        <f>SUM(D921*100)</f>
        <v>25000</v>
      </c>
    </row>
    <row r="922" ht="16.5" spans="1:5">
      <c r="A922" s="151">
        <v>921</v>
      </c>
      <c r="B922" s="152" t="s">
        <v>3157</v>
      </c>
      <c r="C922" s="153" t="s">
        <v>16629</v>
      </c>
      <c r="D922" s="158">
        <v>10</v>
      </c>
      <c r="E922" s="155">
        <f t="shared" ref="E922:E929" si="34">+D922*100</f>
        <v>1000</v>
      </c>
    </row>
    <row r="923" ht="16.5" spans="1:5">
      <c r="A923" s="151">
        <v>922</v>
      </c>
      <c r="B923" s="152" t="s">
        <v>3160</v>
      </c>
      <c r="C923" s="156" t="s">
        <v>16629</v>
      </c>
      <c r="D923" s="157">
        <v>10</v>
      </c>
      <c r="E923" s="155">
        <f t="shared" si="34"/>
        <v>1000</v>
      </c>
    </row>
    <row r="924" ht="16.5" spans="1:5">
      <c r="A924" s="151">
        <v>923</v>
      </c>
      <c r="B924" s="152" t="s">
        <v>3163</v>
      </c>
      <c r="C924" s="153" t="s">
        <v>16629</v>
      </c>
      <c r="D924" s="158">
        <v>10</v>
      </c>
      <c r="E924" s="155">
        <f t="shared" si="34"/>
        <v>1000</v>
      </c>
    </row>
    <row r="925" ht="16.5" spans="1:5">
      <c r="A925" s="151">
        <v>924</v>
      </c>
      <c r="B925" s="152" t="s">
        <v>3167</v>
      </c>
      <c r="C925" s="153" t="s">
        <v>16629</v>
      </c>
      <c r="D925" s="154">
        <v>10</v>
      </c>
      <c r="E925" s="155">
        <f t="shared" si="34"/>
        <v>1000</v>
      </c>
    </row>
    <row r="926" ht="16.5" spans="1:5">
      <c r="A926" s="151">
        <v>925</v>
      </c>
      <c r="B926" s="152" t="s">
        <v>3170</v>
      </c>
      <c r="C926" s="153" t="s">
        <v>16629</v>
      </c>
      <c r="D926" s="154">
        <v>10</v>
      </c>
      <c r="E926" s="155">
        <f t="shared" si="34"/>
        <v>1000</v>
      </c>
    </row>
    <row r="927" ht="16.5" spans="1:5">
      <c r="A927" s="151">
        <v>926</v>
      </c>
      <c r="B927" s="152" t="s">
        <v>3173</v>
      </c>
      <c r="C927" s="153" t="s">
        <v>16629</v>
      </c>
      <c r="D927" s="154">
        <v>10</v>
      </c>
      <c r="E927" s="155">
        <f t="shared" si="34"/>
        <v>1000</v>
      </c>
    </row>
    <row r="928" ht="16.5" spans="1:5">
      <c r="A928" s="151">
        <v>927</v>
      </c>
      <c r="B928" s="152" t="s">
        <v>3176</v>
      </c>
      <c r="C928" s="153" t="s">
        <v>16629</v>
      </c>
      <c r="D928" s="154">
        <v>10</v>
      </c>
      <c r="E928" s="155">
        <f t="shared" si="34"/>
        <v>1000</v>
      </c>
    </row>
    <row r="929" ht="16.5" spans="1:5">
      <c r="A929" s="151">
        <v>928</v>
      </c>
      <c r="B929" s="152" t="s">
        <v>3179</v>
      </c>
      <c r="C929" s="153" t="s">
        <v>16629</v>
      </c>
      <c r="D929" s="154">
        <v>10</v>
      </c>
      <c r="E929" s="155">
        <f t="shared" si="34"/>
        <v>1000</v>
      </c>
    </row>
    <row r="930" ht="16.5" spans="1:5">
      <c r="A930" s="151">
        <v>929</v>
      </c>
      <c r="B930" s="152" t="s">
        <v>3182</v>
      </c>
      <c r="C930" s="166" t="s">
        <v>16632</v>
      </c>
      <c r="D930" s="151">
        <f>IFERROR(__xludf.DUMMYFUNCTION("""COMPUTED_VALUE"""),15000)</f>
        <v>15000</v>
      </c>
      <c r="E930" s="167">
        <f>IFERROR(__xludf.DUMMYFUNCTION("""COMPUTED_VALUE"""),1500000)</f>
        <v>1500000</v>
      </c>
    </row>
    <row r="931" ht="16.5" spans="1:5">
      <c r="A931" s="151">
        <v>930</v>
      </c>
      <c r="B931" s="152" t="s">
        <v>3183</v>
      </c>
      <c r="C931" s="162" t="s">
        <v>16631</v>
      </c>
      <c r="D931" s="169">
        <v>1000</v>
      </c>
      <c r="E931" s="170">
        <f>D931*100</f>
        <v>100000</v>
      </c>
    </row>
    <row r="932" ht="16.5" spans="1:5">
      <c r="A932" s="151">
        <v>931</v>
      </c>
      <c r="B932" s="152" t="s">
        <v>3183</v>
      </c>
      <c r="C932" s="162" t="s">
        <v>16633</v>
      </c>
      <c r="D932" s="171">
        <f>G932/100</f>
        <v>0</v>
      </c>
      <c r="E932" s="171">
        <f>G932</f>
        <v>0</v>
      </c>
    </row>
    <row r="933" ht="16.5" spans="1:5">
      <c r="A933" s="151">
        <v>932</v>
      </c>
      <c r="B933" s="152" t="s">
        <v>3183</v>
      </c>
      <c r="C933" s="166" t="s">
        <v>16632</v>
      </c>
      <c r="D933" s="36">
        <v>10000</v>
      </c>
      <c r="E933" s="45">
        <v>3500000</v>
      </c>
    </row>
    <row r="934" ht="16.5" spans="1:5">
      <c r="A934" s="151">
        <v>933</v>
      </c>
      <c r="B934" s="152" t="s">
        <v>3187</v>
      </c>
      <c r="C934" s="153" t="s">
        <v>16629</v>
      </c>
      <c r="D934" s="154">
        <v>10</v>
      </c>
      <c r="E934" s="155">
        <f>+D934*100</f>
        <v>1000</v>
      </c>
    </row>
    <row r="935" ht="16.5" spans="1:5">
      <c r="A935" s="151">
        <v>934</v>
      </c>
      <c r="B935" s="152" t="s">
        <v>3190</v>
      </c>
      <c r="C935" s="160" t="s">
        <v>16630</v>
      </c>
      <c r="D935" s="160">
        <v>10</v>
      </c>
      <c r="E935" s="161">
        <f>SUM(D935*100)</f>
        <v>1000</v>
      </c>
    </row>
    <row r="936" ht="16.5" spans="1:5">
      <c r="A936" s="151">
        <v>935</v>
      </c>
      <c r="B936" s="152" t="s">
        <v>3193</v>
      </c>
      <c r="C936" s="156" t="s">
        <v>16629</v>
      </c>
      <c r="D936" s="157">
        <v>10</v>
      </c>
      <c r="E936" s="155">
        <f t="shared" ref="E936:E943" si="35">+D936*100</f>
        <v>1000</v>
      </c>
    </row>
    <row r="937" ht="16.5" spans="1:5">
      <c r="A937" s="151">
        <v>936</v>
      </c>
      <c r="B937" s="152" t="s">
        <v>3196</v>
      </c>
      <c r="C937" s="156" t="s">
        <v>16629</v>
      </c>
      <c r="D937" s="159">
        <v>10</v>
      </c>
      <c r="E937" s="155">
        <f t="shared" si="35"/>
        <v>1000</v>
      </c>
    </row>
    <row r="938" ht="16.5" spans="1:5">
      <c r="A938" s="151">
        <v>937</v>
      </c>
      <c r="B938" s="152" t="s">
        <v>3199</v>
      </c>
      <c r="C938" s="156" t="s">
        <v>16629</v>
      </c>
      <c r="D938" s="157">
        <v>10</v>
      </c>
      <c r="E938" s="155">
        <f t="shared" si="35"/>
        <v>1000</v>
      </c>
    </row>
    <row r="939" ht="16.5" spans="1:5">
      <c r="A939" s="151">
        <v>938</v>
      </c>
      <c r="B939" s="152" t="s">
        <v>3202</v>
      </c>
      <c r="C939" s="156" t="s">
        <v>16629</v>
      </c>
      <c r="D939" s="157">
        <v>10</v>
      </c>
      <c r="E939" s="155">
        <f t="shared" si="35"/>
        <v>1000</v>
      </c>
    </row>
    <row r="940" ht="16.5" spans="1:5">
      <c r="A940" s="151">
        <v>939</v>
      </c>
      <c r="B940" s="152" t="s">
        <v>3205</v>
      </c>
      <c r="C940" s="153" t="s">
        <v>16629</v>
      </c>
      <c r="D940" s="154">
        <v>10</v>
      </c>
      <c r="E940" s="155">
        <f t="shared" si="35"/>
        <v>1000</v>
      </c>
    </row>
    <row r="941" ht="16.5" spans="1:5">
      <c r="A941" s="151">
        <v>940</v>
      </c>
      <c r="B941" s="152" t="s">
        <v>3209</v>
      </c>
      <c r="C941" s="153" t="s">
        <v>16629</v>
      </c>
      <c r="D941" s="158">
        <v>10</v>
      </c>
      <c r="E941" s="155">
        <f t="shared" si="35"/>
        <v>1000</v>
      </c>
    </row>
    <row r="942" ht="16.5" spans="1:5">
      <c r="A942" s="151">
        <v>941</v>
      </c>
      <c r="B942" s="152" t="s">
        <v>3212</v>
      </c>
      <c r="C942" s="156" t="s">
        <v>16629</v>
      </c>
      <c r="D942" s="159">
        <v>10</v>
      </c>
      <c r="E942" s="155">
        <f t="shared" si="35"/>
        <v>1000</v>
      </c>
    </row>
    <row r="943" ht="16.5" spans="1:5">
      <c r="A943" s="151">
        <v>942</v>
      </c>
      <c r="B943" s="152" t="s">
        <v>3216</v>
      </c>
      <c r="C943" s="153" t="s">
        <v>16629</v>
      </c>
      <c r="D943" s="154">
        <v>10</v>
      </c>
      <c r="E943" s="155">
        <f t="shared" si="35"/>
        <v>1000</v>
      </c>
    </row>
    <row r="944" ht="16.5" spans="1:5">
      <c r="A944" s="151">
        <v>943</v>
      </c>
      <c r="B944" s="152" t="s">
        <v>3219</v>
      </c>
      <c r="C944" s="160" t="s">
        <v>16630</v>
      </c>
      <c r="D944" s="164">
        <v>50</v>
      </c>
      <c r="E944" s="161">
        <f>SUM(D944*100)</f>
        <v>5000</v>
      </c>
    </row>
    <row r="945" ht="16.5" spans="1:5">
      <c r="A945" s="151">
        <v>944</v>
      </c>
      <c r="B945" s="152" t="s">
        <v>3222</v>
      </c>
      <c r="C945" s="160" t="s">
        <v>16630</v>
      </c>
      <c r="D945" s="160">
        <v>400</v>
      </c>
      <c r="E945" s="161">
        <f>SUM(D945*100)</f>
        <v>40000</v>
      </c>
    </row>
    <row r="946" ht="16.5" spans="1:5">
      <c r="A946" s="151">
        <v>945</v>
      </c>
      <c r="B946" s="152" t="s">
        <v>3222</v>
      </c>
      <c r="C946" s="162" t="s">
        <v>16631</v>
      </c>
      <c r="D946" s="169">
        <v>1000</v>
      </c>
      <c r="E946" s="170">
        <f>D946*100</f>
        <v>100000</v>
      </c>
    </row>
    <row r="947" ht="16.5" spans="1:5">
      <c r="A947" s="151">
        <v>946</v>
      </c>
      <c r="B947" s="152" t="s">
        <v>3227</v>
      </c>
      <c r="C947" s="156" t="s">
        <v>16629</v>
      </c>
      <c r="D947" s="159">
        <v>10</v>
      </c>
      <c r="E947" s="155">
        <f t="shared" ref="E947:E952" si="36">+D947*100</f>
        <v>1000</v>
      </c>
    </row>
    <row r="948" ht="16.5" spans="1:5">
      <c r="A948" s="151">
        <v>947</v>
      </c>
      <c r="B948" s="152" t="s">
        <v>3230</v>
      </c>
      <c r="C948" s="156" t="s">
        <v>16629</v>
      </c>
      <c r="D948" s="157">
        <v>10</v>
      </c>
      <c r="E948" s="155">
        <f t="shared" si="36"/>
        <v>1000</v>
      </c>
    </row>
    <row r="949" ht="16.5" spans="1:5">
      <c r="A949" s="151">
        <v>948</v>
      </c>
      <c r="B949" s="152" t="s">
        <v>3233</v>
      </c>
      <c r="C949" s="153" t="s">
        <v>16629</v>
      </c>
      <c r="D949" s="158">
        <v>10</v>
      </c>
      <c r="E949" s="155">
        <f t="shared" si="36"/>
        <v>1000</v>
      </c>
    </row>
    <row r="950" ht="16.5" spans="1:5">
      <c r="A950" s="151">
        <v>949</v>
      </c>
      <c r="B950" s="152" t="s">
        <v>3236</v>
      </c>
      <c r="C950" s="153" t="s">
        <v>16629</v>
      </c>
      <c r="D950" s="154">
        <v>10</v>
      </c>
      <c r="E950" s="155">
        <f t="shared" si="36"/>
        <v>1000</v>
      </c>
    </row>
    <row r="951" ht="16.5" spans="1:5">
      <c r="A951" s="151">
        <v>950</v>
      </c>
      <c r="B951" s="152" t="s">
        <v>3239</v>
      </c>
      <c r="C951" s="153" t="s">
        <v>16629</v>
      </c>
      <c r="D951" s="158">
        <v>10</v>
      </c>
      <c r="E951" s="155">
        <f t="shared" si="36"/>
        <v>1000</v>
      </c>
    </row>
    <row r="952" ht="16.5" spans="1:5">
      <c r="A952" s="151">
        <v>951</v>
      </c>
      <c r="B952" s="152" t="s">
        <v>3242</v>
      </c>
      <c r="C952" s="156" t="s">
        <v>16629</v>
      </c>
      <c r="D952" s="157">
        <v>10</v>
      </c>
      <c r="E952" s="155">
        <f t="shared" si="36"/>
        <v>1000</v>
      </c>
    </row>
    <row r="953" ht="16.5" spans="1:5">
      <c r="A953" s="151">
        <v>952</v>
      </c>
      <c r="B953" s="152" t="s">
        <v>3245</v>
      </c>
      <c r="C953" s="162" t="s">
        <v>16631</v>
      </c>
      <c r="D953" s="163">
        <v>1000</v>
      </c>
      <c r="E953" s="163">
        <f>D953*100</f>
        <v>100000</v>
      </c>
    </row>
    <row r="954" ht="16.5" spans="1:5">
      <c r="A954" s="151">
        <v>953</v>
      </c>
      <c r="B954" s="152" t="s">
        <v>3250</v>
      </c>
      <c r="C954" s="153" t="s">
        <v>16629</v>
      </c>
      <c r="D954" s="154">
        <v>10</v>
      </c>
      <c r="E954" s="155">
        <f>+D954*100</f>
        <v>1000</v>
      </c>
    </row>
    <row r="955" ht="16.5" spans="1:5">
      <c r="A955" s="151">
        <v>954</v>
      </c>
      <c r="B955" s="152" t="s">
        <v>3254</v>
      </c>
      <c r="C955" s="153" t="s">
        <v>16629</v>
      </c>
      <c r="D955" s="154">
        <v>10</v>
      </c>
      <c r="E955" s="155">
        <f>+D955*100</f>
        <v>1000</v>
      </c>
    </row>
    <row r="956" ht="16.5" spans="1:5">
      <c r="A956" s="151">
        <v>955</v>
      </c>
      <c r="B956" s="152" t="s">
        <v>3257</v>
      </c>
      <c r="C956" s="162" t="s">
        <v>16631</v>
      </c>
      <c r="D956" s="163">
        <v>2000</v>
      </c>
      <c r="E956" s="163">
        <f>D956*100</f>
        <v>200000</v>
      </c>
    </row>
    <row r="957" ht="16.5" spans="1:5">
      <c r="A957" s="151">
        <v>956</v>
      </c>
      <c r="B957" s="152" t="s">
        <v>3261</v>
      </c>
      <c r="C957" s="153" t="s">
        <v>16629</v>
      </c>
      <c r="D957" s="154">
        <v>10</v>
      </c>
      <c r="E957" s="155">
        <f t="shared" ref="E957:E968" si="37">+D957*100</f>
        <v>1000</v>
      </c>
    </row>
    <row r="958" ht="16.5" spans="1:5">
      <c r="A958" s="151">
        <v>957</v>
      </c>
      <c r="B958" s="152" t="s">
        <v>3265</v>
      </c>
      <c r="C958" s="153" t="s">
        <v>16629</v>
      </c>
      <c r="D958" s="154">
        <v>10</v>
      </c>
      <c r="E958" s="155">
        <f t="shared" si="37"/>
        <v>1000</v>
      </c>
    </row>
    <row r="959" ht="16.5" spans="1:5">
      <c r="A959" s="151">
        <v>958</v>
      </c>
      <c r="B959" s="152" t="s">
        <v>3269</v>
      </c>
      <c r="C959" s="156" t="s">
        <v>16629</v>
      </c>
      <c r="D959" s="157">
        <v>10</v>
      </c>
      <c r="E959" s="155">
        <f t="shared" si="37"/>
        <v>1000</v>
      </c>
    </row>
    <row r="960" ht="16.5" spans="1:5">
      <c r="A960" s="151">
        <v>959</v>
      </c>
      <c r="B960" s="152" t="s">
        <v>3272</v>
      </c>
      <c r="C960" s="153" t="s">
        <v>16629</v>
      </c>
      <c r="D960" s="154">
        <v>10</v>
      </c>
      <c r="E960" s="155">
        <f t="shared" si="37"/>
        <v>1000</v>
      </c>
    </row>
    <row r="961" ht="16.5" spans="1:5">
      <c r="A961" s="151">
        <v>960</v>
      </c>
      <c r="B961" s="152" t="s">
        <v>3275</v>
      </c>
      <c r="C961" s="153" t="s">
        <v>16629</v>
      </c>
      <c r="D961" s="154">
        <v>10</v>
      </c>
      <c r="E961" s="155">
        <f t="shared" si="37"/>
        <v>1000</v>
      </c>
    </row>
    <row r="962" ht="16.5" spans="1:5">
      <c r="A962" s="151">
        <v>961</v>
      </c>
      <c r="B962" s="152" t="s">
        <v>3278</v>
      </c>
      <c r="C962" s="156" t="s">
        <v>16629</v>
      </c>
      <c r="D962" s="159">
        <v>10</v>
      </c>
      <c r="E962" s="155">
        <f t="shared" si="37"/>
        <v>1000</v>
      </c>
    </row>
    <row r="963" ht="16.5" spans="1:5">
      <c r="A963" s="151">
        <v>962</v>
      </c>
      <c r="B963" s="152" t="s">
        <v>3282</v>
      </c>
      <c r="C963" s="156" t="s">
        <v>16629</v>
      </c>
      <c r="D963" s="159">
        <v>10</v>
      </c>
      <c r="E963" s="155">
        <f t="shared" si="37"/>
        <v>1000</v>
      </c>
    </row>
    <row r="964" ht="16.5" spans="1:5">
      <c r="A964" s="151">
        <v>963</v>
      </c>
      <c r="B964" s="152" t="s">
        <v>3285</v>
      </c>
      <c r="C964" s="153" t="s">
        <v>16629</v>
      </c>
      <c r="D964" s="158">
        <v>10</v>
      </c>
      <c r="E964" s="155">
        <f t="shared" si="37"/>
        <v>1000</v>
      </c>
    </row>
    <row r="965" ht="16.5" spans="1:5">
      <c r="A965" s="151">
        <v>964</v>
      </c>
      <c r="B965" s="152" t="s">
        <v>3289</v>
      </c>
      <c r="C965" s="156" t="s">
        <v>16629</v>
      </c>
      <c r="D965" s="159">
        <v>10</v>
      </c>
      <c r="E965" s="155">
        <f t="shared" si="37"/>
        <v>1000</v>
      </c>
    </row>
    <row r="966" ht="16.5" spans="1:5">
      <c r="A966" s="151">
        <v>965</v>
      </c>
      <c r="B966" s="152" t="s">
        <v>3292</v>
      </c>
      <c r="C966" s="156" t="s">
        <v>16629</v>
      </c>
      <c r="D966" s="154">
        <v>10</v>
      </c>
      <c r="E966" s="155">
        <f t="shared" si="37"/>
        <v>1000</v>
      </c>
    </row>
    <row r="967" ht="16.5" spans="1:5">
      <c r="A967" s="151">
        <v>966</v>
      </c>
      <c r="B967" s="152" t="s">
        <v>3295</v>
      </c>
      <c r="C967" s="156" t="s">
        <v>16629</v>
      </c>
      <c r="D967" s="157">
        <v>10</v>
      </c>
      <c r="E967" s="155">
        <f t="shared" si="37"/>
        <v>1000</v>
      </c>
    </row>
    <row r="968" ht="16.5" spans="1:5">
      <c r="A968" s="151">
        <v>967</v>
      </c>
      <c r="B968" s="152" t="s">
        <v>3299</v>
      </c>
      <c r="C968" s="153" t="s">
        <v>16629</v>
      </c>
      <c r="D968" s="158">
        <v>10</v>
      </c>
      <c r="E968" s="155">
        <f t="shared" si="37"/>
        <v>1000</v>
      </c>
    </row>
    <row r="969" ht="16.5" spans="1:5">
      <c r="A969" s="151">
        <v>968</v>
      </c>
      <c r="B969" s="152" t="s">
        <v>3303</v>
      </c>
      <c r="C969" s="166" t="s">
        <v>16632</v>
      </c>
      <c r="D969" s="166">
        <f>IFERROR(__xludf.DUMMYFUNCTION("""COMPUTED_VALUE"""),10000)</f>
        <v>10000</v>
      </c>
      <c r="E969" s="168">
        <f>IFERROR(__xludf.DUMMYFUNCTION("""COMPUTED_VALUE"""),1500000)</f>
        <v>1500000</v>
      </c>
    </row>
    <row r="970" ht="16.5" spans="1:5">
      <c r="A970" s="151">
        <v>969</v>
      </c>
      <c r="B970" s="152" t="s">
        <v>3304</v>
      </c>
      <c r="C970" s="162" t="s">
        <v>16631</v>
      </c>
      <c r="D970" s="163">
        <v>1000</v>
      </c>
      <c r="E970" s="163">
        <f>D970*100</f>
        <v>100000</v>
      </c>
    </row>
    <row r="971" ht="16.5" spans="1:5">
      <c r="A971" s="151">
        <v>970</v>
      </c>
      <c r="B971" s="152" t="s">
        <v>3309</v>
      </c>
      <c r="C971" s="156" t="s">
        <v>16629</v>
      </c>
      <c r="D971" s="154">
        <v>10</v>
      </c>
      <c r="E971" s="155">
        <f t="shared" ref="E971:E978" si="38">+D971*100</f>
        <v>1000</v>
      </c>
    </row>
    <row r="972" ht="16.5" spans="1:5">
      <c r="A972" s="151">
        <v>971</v>
      </c>
      <c r="B972" s="152" t="s">
        <v>3312</v>
      </c>
      <c r="C972" s="156" t="s">
        <v>16629</v>
      </c>
      <c r="D972" s="159">
        <v>10</v>
      </c>
      <c r="E972" s="155">
        <f t="shared" si="38"/>
        <v>1000</v>
      </c>
    </row>
    <row r="973" ht="16.5" spans="1:5">
      <c r="A973" s="151">
        <v>972</v>
      </c>
      <c r="B973" s="152" t="s">
        <v>3316</v>
      </c>
      <c r="C973" s="153" t="s">
        <v>16629</v>
      </c>
      <c r="D973" s="154">
        <v>10</v>
      </c>
      <c r="E973" s="155">
        <f t="shared" si="38"/>
        <v>1000</v>
      </c>
    </row>
    <row r="974" ht="16.5" spans="1:5">
      <c r="A974" s="151">
        <v>973</v>
      </c>
      <c r="B974" s="152" t="s">
        <v>3320</v>
      </c>
      <c r="C974" s="156" t="s">
        <v>16629</v>
      </c>
      <c r="D974" s="159">
        <v>10</v>
      </c>
      <c r="E974" s="155">
        <f t="shared" si="38"/>
        <v>1000</v>
      </c>
    </row>
    <row r="975" ht="16.5" spans="1:5">
      <c r="A975" s="151">
        <v>974</v>
      </c>
      <c r="B975" s="152" t="s">
        <v>3323</v>
      </c>
      <c r="C975" s="156" t="s">
        <v>16629</v>
      </c>
      <c r="D975" s="159">
        <v>30</v>
      </c>
      <c r="E975" s="155">
        <f t="shared" si="38"/>
        <v>3000</v>
      </c>
    </row>
    <row r="976" ht="16.5" spans="1:5">
      <c r="A976" s="151">
        <v>975</v>
      </c>
      <c r="B976" s="152" t="s">
        <v>3327</v>
      </c>
      <c r="C976" s="156" t="s">
        <v>16629</v>
      </c>
      <c r="D976" s="159">
        <v>10</v>
      </c>
      <c r="E976" s="155">
        <f t="shared" si="38"/>
        <v>1000</v>
      </c>
    </row>
    <row r="977" ht="16.5" spans="1:5">
      <c r="A977" s="151">
        <v>976</v>
      </c>
      <c r="B977" s="152" t="s">
        <v>3330</v>
      </c>
      <c r="C977" s="153" t="s">
        <v>16629</v>
      </c>
      <c r="D977" s="154">
        <v>10</v>
      </c>
      <c r="E977" s="155">
        <f t="shared" si="38"/>
        <v>1000</v>
      </c>
    </row>
    <row r="978" ht="16.5" spans="1:5">
      <c r="A978" s="151">
        <v>977</v>
      </c>
      <c r="B978" s="152" t="s">
        <v>3334</v>
      </c>
      <c r="C978" s="156" t="s">
        <v>16629</v>
      </c>
      <c r="D978" s="154">
        <v>10</v>
      </c>
      <c r="E978" s="155">
        <f t="shared" si="38"/>
        <v>1000</v>
      </c>
    </row>
    <row r="979" ht="16.5" spans="1:5">
      <c r="A979" s="151">
        <v>978</v>
      </c>
      <c r="B979" s="152" t="s">
        <v>3337</v>
      </c>
      <c r="C979" s="160" t="s">
        <v>16630</v>
      </c>
      <c r="D979" s="160">
        <v>100</v>
      </c>
      <c r="E979" s="161">
        <f>SUM(D979*100)</f>
        <v>10000</v>
      </c>
    </row>
    <row r="980" ht="16.5" spans="1:5">
      <c r="A980" s="151">
        <v>979</v>
      </c>
      <c r="B980" s="152" t="s">
        <v>3342</v>
      </c>
      <c r="C980" s="156" t="s">
        <v>16629</v>
      </c>
      <c r="D980" s="157">
        <v>10</v>
      </c>
      <c r="E980" s="155">
        <f>+D980*100</f>
        <v>1000</v>
      </c>
    </row>
    <row r="981" ht="16.5" spans="1:5">
      <c r="A981" s="151">
        <v>980</v>
      </c>
      <c r="B981" s="152" t="s">
        <v>3345</v>
      </c>
      <c r="C981" s="156" t="s">
        <v>16629</v>
      </c>
      <c r="D981" s="159">
        <v>10</v>
      </c>
      <c r="E981" s="155">
        <f>+D981*100</f>
        <v>1000</v>
      </c>
    </row>
    <row r="982" ht="16.5" spans="1:5">
      <c r="A982" s="151">
        <v>981</v>
      </c>
      <c r="B982" s="152" t="s">
        <v>3350</v>
      </c>
      <c r="C982" s="156" t="s">
        <v>16629</v>
      </c>
      <c r="D982" s="159">
        <v>10</v>
      </c>
      <c r="E982" s="155">
        <f>+D982*100</f>
        <v>1000</v>
      </c>
    </row>
    <row r="983" ht="16.5" spans="1:5">
      <c r="A983" s="151">
        <v>982</v>
      </c>
      <c r="B983" s="152" t="s">
        <v>3353</v>
      </c>
      <c r="C983" s="156" t="s">
        <v>16629</v>
      </c>
      <c r="D983" s="159">
        <v>10</v>
      </c>
      <c r="E983" s="155">
        <f>+D983*100</f>
        <v>1000</v>
      </c>
    </row>
    <row r="984" ht="16.5" spans="1:5">
      <c r="A984" s="151">
        <v>983</v>
      </c>
      <c r="B984" s="152" t="s">
        <v>3357</v>
      </c>
      <c r="C984" s="160" t="s">
        <v>16630</v>
      </c>
      <c r="D984" s="160">
        <v>400</v>
      </c>
      <c r="E984" s="161">
        <f>SUM(D984*100)</f>
        <v>40000</v>
      </c>
    </row>
    <row r="985" ht="16.5" spans="1:5">
      <c r="A985" s="151">
        <v>984</v>
      </c>
      <c r="B985" s="152" t="s">
        <v>3361</v>
      </c>
      <c r="C985" s="156" t="s">
        <v>16629</v>
      </c>
      <c r="D985" s="159">
        <v>10</v>
      </c>
      <c r="E985" s="155">
        <f>+D985*100</f>
        <v>1000</v>
      </c>
    </row>
    <row r="986" ht="16.5" spans="1:5">
      <c r="A986" s="151">
        <v>985</v>
      </c>
      <c r="B986" s="152" t="s">
        <v>3364</v>
      </c>
      <c r="C986" s="156" t="s">
        <v>16629</v>
      </c>
      <c r="D986" s="159">
        <v>10</v>
      </c>
      <c r="E986" s="155">
        <f>+D986*100</f>
        <v>1000</v>
      </c>
    </row>
    <row r="987" ht="16.5" spans="1:5">
      <c r="A987" s="151">
        <v>986</v>
      </c>
      <c r="B987" s="152" t="s">
        <v>3367</v>
      </c>
      <c r="C987" s="156" t="s">
        <v>16629</v>
      </c>
      <c r="D987" s="159">
        <v>10</v>
      </c>
      <c r="E987" s="155">
        <f>+D987*100</f>
        <v>1000</v>
      </c>
    </row>
    <row r="988" ht="16.5" spans="1:5">
      <c r="A988" s="151">
        <v>987</v>
      </c>
      <c r="B988" s="152" t="s">
        <v>3371</v>
      </c>
      <c r="C988" s="162" t="s">
        <v>16631</v>
      </c>
      <c r="D988" s="163">
        <v>1000</v>
      </c>
      <c r="E988" s="163">
        <f>D988*100</f>
        <v>100000</v>
      </c>
    </row>
    <row r="989" ht="16.5" spans="1:5">
      <c r="A989" s="151">
        <v>988</v>
      </c>
      <c r="B989" s="152" t="s">
        <v>3376</v>
      </c>
      <c r="C989" s="153" t="s">
        <v>16629</v>
      </c>
      <c r="D989" s="158">
        <v>10</v>
      </c>
      <c r="E989" s="155">
        <f>+D989*100</f>
        <v>1000</v>
      </c>
    </row>
    <row r="990" ht="16.5" spans="1:5">
      <c r="A990" s="151">
        <v>989</v>
      </c>
      <c r="B990" s="152" t="s">
        <v>3379</v>
      </c>
      <c r="C990" s="160" t="s">
        <v>16630</v>
      </c>
      <c r="D990" s="160">
        <v>500</v>
      </c>
      <c r="E990" s="161">
        <f>SUM(D990*100)</f>
        <v>50000</v>
      </c>
    </row>
    <row r="991" ht="16.5" spans="1:5">
      <c r="A991" s="151">
        <v>990</v>
      </c>
      <c r="B991" s="152" t="s">
        <v>3382</v>
      </c>
      <c r="C991" s="156" t="s">
        <v>16629</v>
      </c>
      <c r="D991" s="159">
        <v>10</v>
      </c>
      <c r="E991" s="155">
        <f>+D991*100</f>
        <v>1000</v>
      </c>
    </row>
    <row r="992" ht="16.5" spans="1:5">
      <c r="A992" s="151">
        <v>991</v>
      </c>
      <c r="B992" s="152" t="s">
        <v>3385</v>
      </c>
      <c r="C992" s="160" t="s">
        <v>16630</v>
      </c>
      <c r="D992" s="41">
        <v>100</v>
      </c>
      <c r="E992" s="161">
        <f>SUM(D992*100)</f>
        <v>10000</v>
      </c>
    </row>
    <row r="993" ht="16.5" spans="1:5">
      <c r="A993" s="151">
        <v>992</v>
      </c>
      <c r="B993" s="152" t="s">
        <v>3388</v>
      </c>
      <c r="C993" s="162" t="s">
        <v>16631</v>
      </c>
      <c r="D993" s="169">
        <v>3000</v>
      </c>
      <c r="E993" s="170">
        <f>D993*100</f>
        <v>300000</v>
      </c>
    </row>
    <row r="994" ht="16.5" spans="1:5">
      <c r="A994" s="151">
        <v>993</v>
      </c>
      <c r="B994" s="152" t="s">
        <v>3393</v>
      </c>
      <c r="C994" s="156" t="s">
        <v>16629</v>
      </c>
      <c r="D994" s="159">
        <v>10</v>
      </c>
      <c r="E994" s="155">
        <f>+D994*100</f>
        <v>1000</v>
      </c>
    </row>
    <row r="995" ht="16.5" spans="1:5">
      <c r="A995" s="151">
        <v>994</v>
      </c>
      <c r="B995" s="152" t="s">
        <v>3397</v>
      </c>
      <c r="C995" s="166" t="s">
        <v>16632</v>
      </c>
      <c r="D995" s="166">
        <f>IFERROR(__xludf.DUMMYFUNCTION("""COMPUTED_VALUE"""),10000)</f>
        <v>10000</v>
      </c>
      <c r="E995" s="168">
        <f>IFERROR(__xludf.DUMMYFUNCTION("""COMPUTED_VALUE"""),1500000)</f>
        <v>1500000</v>
      </c>
    </row>
    <row r="996" ht="16.5" spans="1:5">
      <c r="A996" s="151">
        <v>995</v>
      </c>
      <c r="B996" s="152" t="s">
        <v>3398</v>
      </c>
      <c r="C996" s="166" t="s">
        <v>16632</v>
      </c>
      <c r="D996" s="166">
        <f>IFERROR(__xludf.DUMMYFUNCTION("""COMPUTED_VALUE"""),15000)</f>
        <v>15000</v>
      </c>
      <c r="E996" s="168">
        <f>IFERROR(__xludf.DUMMYFUNCTION("""COMPUTED_VALUE"""),1500000)</f>
        <v>1500000</v>
      </c>
    </row>
    <row r="997" ht="16.5" spans="1:5">
      <c r="A997" s="151">
        <v>996</v>
      </c>
      <c r="B997" s="152" t="s">
        <v>3399</v>
      </c>
      <c r="C997" s="160" t="s">
        <v>16630</v>
      </c>
      <c r="D997" s="160">
        <v>30</v>
      </c>
      <c r="E997" s="161">
        <f>SUM(D997*100)</f>
        <v>3000</v>
      </c>
    </row>
    <row r="998" ht="16.5" spans="1:5">
      <c r="A998" s="151">
        <v>997</v>
      </c>
      <c r="B998" s="152" t="s">
        <v>3404</v>
      </c>
      <c r="C998" s="162" t="s">
        <v>16631</v>
      </c>
      <c r="D998" s="163">
        <v>2000</v>
      </c>
      <c r="E998" s="163">
        <f>D998*100</f>
        <v>200000</v>
      </c>
    </row>
    <row r="999" ht="16.5" spans="1:5">
      <c r="A999" s="151">
        <v>998</v>
      </c>
      <c r="B999" s="152" t="s">
        <v>3408</v>
      </c>
      <c r="C999" s="162" t="s">
        <v>16631</v>
      </c>
      <c r="D999" s="163">
        <v>1000</v>
      </c>
      <c r="E999" s="163">
        <f>D999*100</f>
        <v>100000</v>
      </c>
    </row>
    <row r="1000" ht="16.5" spans="1:5">
      <c r="A1000" s="151">
        <v>999</v>
      </c>
      <c r="B1000" s="152" t="s">
        <v>3412</v>
      </c>
      <c r="C1000" s="160" t="s">
        <v>16630</v>
      </c>
      <c r="D1000" s="160">
        <v>200</v>
      </c>
      <c r="E1000" s="161">
        <f>SUM(D1000*100)</f>
        <v>20000</v>
      </c>
    </row>
    <row r="1001" ht="16.5" spans="1:5">
      <c r="A1001" s="151">
        <v>1000</v>
      </c>
      <c r="B1001" s="152" t="s">
        <v>3417</v>
      </c>
      <c r="C1001" s="153" t="s">
        <v>16629</v>
      </c>
      <c r="D1001" s="154">
        <v>10</v>
      </c>
      <c r="E1001" s="155">
        <f t="shared" ref="E1001:E1011" si="39">+D1001*100</f>
        <v>1000</v>
      </c>
    </row>
    <row r="1002" ht="16.5" spans="1:5">
      <c r="A1002" s="151">
        <v>1001</v>
      </c>
      <c r="B1002" s="152" t="s">
        <v>3421</v>
      </c>
      <c r="C1002" s="156" t="s">
        <v>16629</v>
      </c>
      <c r="D1002" s="159">
        <v>10</v>
      </c>
      <c r="E1002" s="155">
        <f t="shared" si="39"/>
        <v>1000</v>
      </c>
    </row>
    <row r="1003" ht="16.5" spans="1:5">
      <c r="A1003" s="151">
        <v>1002</v>
      </c>
      <c r="B1003" s="152" t="s">
        <v>3424</v>
      </c>
      <c r="C1003" s="153" t="s">
        <v>16629</v>
      </c>
      <c r="D1003" s="158">
        <v>10</v>
      </c>
      <c r="E1003" s="155">
        <f t="shared" si="39"/>
        <v>1000</v>
      </c>
    </row>
    <row r="1004" ht="16.5" spans="1:5">
      <c r="A1004" s="151">
        <v>1003</v>
      </c>
      <c r="B1004" s="152" t="s">
        <v>3427</v>
      </c>
      <c r="C1004" s="153" t="s">
        <v>16629</v>
      </c>
      <c r="D1004" s="154">
        <v>10</v>
      </c>
      <c r="E1004" s="155">
        <f t="shared" si="39"/>
        <v>1000</v>
      </c>
    </row>
    <row r="1005" ht="16.5" spans="1:5">
      <c r="A1005" s="151">
        <v>1004</v>
      </c>
      <c r="B1005" s="152" t="s">
        <v>3431</v>
      </c>
      <c r="C1005" s="156" t="s">
        <v>16629</v>
      </c>
      <c r="D1005" s="159">
        <v>10</v>
      </c>
      <c r="E1005" s="155">
        <f t="shared" si="39"/>
        <v>1000</v>
      </c>
    </row>
    <row r="1006" ht="16.5" spans="1:5">
      <c r="A1006" s="151">
        <v>1005</v>
      </c>
      <c r="B1006" s="152" t="s">
        <v>3435</v>
      </c>
      <c r="C1006" s="153" t="s">
        <v>16629</v>
      </c>
      <c r="D1006" s="158">
        <v>10</v>
      </c>
      <c r="E1006" s="155">
        <f t="shared" si="39"/>
        <v>1000</v>
      </c>
    </row>
    <row r="1007" ht="16.5" spans="1:5">
      <c r="A1007" s="151">
        <v>1006</v>
      </c>
      <c r="B1007" s="152" t="s">
        <v>3438</v>
      </c>
      <c r="C1007" s="153" t="s">
        <v>16629</v>
      </c>
      <c r="D1007" s="158">
        <v>10</v>
      </c>
      <c r="E1007" s="155">
        <f t="shared" si="39"/>
        <v>1000</v>
      </c>
    </row>
    <row r="1008" ht="16.5" spans="1:5">
      <c r="A1008" s="151">
        <v>1007</v>
      </c>
      <c r="B1008" s="152" t="s">
        <v>3441</v>
      </c>
      <c r="C1008" s="153" t="s">
        <v>16629</v>
      </c>
      <c r="D1008" s="154">
        <v>10</v>
      </c>
      <c r="E1008" s="155">
        <f t="shared" si="39"/>
        <v>1000</v>
      </c>
    </row>
    <row r="1009" ht="16.5" spans="1:5">
      <c r="A1009" s="151">
        <v>1008</v>
      </c>
      <c r="B1009" s="152" t="s">
        <v>3444</v>
      </c>
      <c r="C1009" s="156" t="s">
        <v>16629</v>
      </c>
      <c r="D1009" s="157">
        <v>10</v>
      </c>
      <c r="E1009" s="155">
        <f t="shared" si="39"/>
        <v>1000</v>
      </c>
    </row>
    <row r="1010" ht="16.5" spans="1:5">
      <c r="A1010" s="151">
        <v>1009</v>
      </c>
      <c r="B1010" s="152" t="s">
        <v>3447</v>
      </c>
      <c r="C1010" s="156" t="s">
        <v>16629</v>
      </c>
      <c r="D1010" s="159">
        <v>10</v>
      </c>
      <c r="E1010" s="155">
        <f t="shared" si="39"/>
        <v>1000</v>
      </c>
    </row>
    <row r="1011" ht="16.5" spans="1:5">
      <c r="A1011" s="151">
        <v>1010</v>
      </c>
      <c r="B1011" s="152" t="s">
        <v>3450</v>
      </c>
      <c r="C1011" s="153" t="s">
        <v>16629</v>
      </c>
      <c r="D1011" s="154">
        <v>10</v>
      </c>
      <c r="E1011" s="155">
        <f t="shared" si="39"/>
        <v>1000</v>
      </c>
    </row>
    <row r="1012" ht="16.5" spans="1:5">
      <c r="A1012" s="151">
        <v>1011</v>
      </c>
      <c r="B1012" s="152" t="s">
        <v>3453</v>
      </c>
      <c r="C1012" s="160" t="s">
        <v>16630</v>
      </c>
      <c r="D1012" s="160">
        <v>230</v>
      </c>
      <c r="E1012" s="161">
        <f>SUM(D1012*100)</f>
        <v>23000</v>
      </c>
    </row>
    <row r="1013" ht="16.5" spans="1:5">
      <c r="A1013" s="151">
        <v>1012</v>
      </c>
      <c r="B1013" s="152" t="s">
        <v>3457</v>
      </c>
      <c r="C1013" s="160" t="s">
        <v>16630</v>
      </c>
      <c r="D1013" s="160">
        <v>100</v>
      </c>
      <c r="E1013" s="161">
        <f>SUM(D1013*100)</f>
        <v>10000</v>
      </c>
    </row>
    <row r="1014" ht="16.5" spans="1:5">
      <c r="A1014" s="151">
        <v>1013</v>
      </c>
      <c r="B1014" s="152" t="s">
        <v>3461</v>
      </c>
      <c r="C1014" s="156" t="s">
        <v>16629</v>
      </c>
      <c r="D1014" s="157">
        <v>10</v>
      </c>
      <c r="E1014" s="155">
        <f>+D1014*100</f>
        <v>1000</v>
      </c>
    </row>
    <row r="1015" ht="16.5" spans="1:5">
      <c r="A1015" s="151">
        <v>1014</v>
      </c>
      <c r="B1015" s="152" t="s">
        <v>3465</v>
      </c>
      <c r="C1015" s="160" t="s">
        <v>16630</v>
      </c>
      <c r="D1015" s="160">
        <v>100</v>
      </c>
      <c r="E1015" s="161">
        <f>SUM(D1015*100)</f>
        <v>10000</v>
      </c>
    </row>
    <row r="1016" ht="16.5" spans="1:5">
      <c r="A1016" s="151">
        <v>1015</v>
      </c>
      <c r="B1016" s="152" t="s">
        <v>3468</v>
      </c>
      <c r="C1016" s="153" t="s">
        <v>16629</v>
      </c>
      <c r="D1016" s="158">
        <v>10</v>
      </c>
      <c r="E1016" s="155">
        <f>+D1016*100</f>
        <v>1000</v>
      </c>
    </row>
    <row r="1017" ht="16.5" spans="1:5">
      <c r="A1017" s="151">
        <v>1016</v>
      </c>
      <c r="B1017" s="152" t="s">
        <v>3472</v>
      </c>
      <c r="C1017" s="153" t="s">
        <v>16629</v>
      </c>
      <c r="D1017" s="154">
        <v>10</v>
      </c>
      <c r="E1017" s="155">
        <f>+D1017*100</f>
        <v>1000</v>
      </c>
    </row>
    <row r="1018" ht="16.5" spans="1:5">
      <c r="A1018" s="151">
        <v>1017</v>
      </c>
      <c r="B1018" s="152" t="s">
        <v>3476</v>
      </c>
      <c r="C1018" s="156" t="s">
        <v>16629</v>
      </c>
      <c r="D1018" s="157">
        <v>10</v>
      </c>
      <c r="E1018" s="155">
        <f>+D1018*100</f>
        <v>1000</v>
      </c>
    </row>
    <row r="1019" ht="16.5" spans="1:5">
      <c r="A1019" s="151">
        <v>1018</v>
      </c>
      <c r="B1019" s="152" t="s">
        <v>3479</v>
      </c>
      <c r="C1019" s="160" t="s">
        <v>16630</v>
      </c>
      <c r="D1019" s="160">
        <v>100</v>
      </c>
      <c r="E1019" s="161">
        <f>SUM(D1019*100)</f>
        <v>10000</v>
      </c>
    </row>
    <row r="1020" ht="16.5" spans="1:5">
      <c r="A1020" s="151">
        <v>1019</v>
      </c>
      <c r="B1020" s="152" t="s">
        <v>3483</v>
      </c>
      <c r="C1020" s="166" t="s">
        <v>16632</v>
      </c>
      <c r="D1020" s="166">
        <f>IFERROR(__xludf.DUMMYFUNCTION("""COMPUTED_VALUE"""),10000)</f>
        <v>10000</v>
      </c>
      <c r="E1020" s="168">
        <f>IFERROR(__xludf.DUMMYFUNCTION("""COMPUTED_VALUE"""),1500000)</f>
        <v>1500000</v>
      </c>
    </row>
    <row r="1021" ht="16.5" spans="1:5">
      <c r="A1021" s="151">
        <v>1020</v>
      </c>
      <c r="B1021" s="152" t="s">
        <v>3484</v>
      </c>
      <c r="C1021" s="162" t="s">
        <v>16631</v>
      </c>
      <c r="D1021" s="163">
        <v>1000</v>
      </c>
      <c r="E1021" s="163">
        <f>D1021*100</f>
        <v>100000</v>
      </c>
    </row>
    <row r="1022" ht="16.5" spans="1:5">
      <c r="A1022" s="151">
        <v>1021</v>
      </c>
      <c r="B1022" s="152" t="s">
        <v>3488</v>
      </c>
      <c r="C1022" s="153" t="s">
        <v>16629</v>
      </c>
      <c r="D1022" s="154">
        <v>10</v>
      </c>
      <c r="E1022" s="155">
        <f>+D1022*100</f>
        <v>1000</v>
      </c>
    </row>
    <row r="1023" ht="16.5" spans="1:5">
      <c r="A1023" s="151">
        <v>1022</v>
      </c>
      <c r="B1023" s="152" t="s">
        <v>3492</v>
      </c>
      <c r="C1023" s="156" t="s">
        <v>16629</v>
      </c>
      <c r="D1023" s="159">
        <v>10</v>
      </c>
      <c r="E1023" s="155">
        <f>+D1023*100</f>
        <v>1000</v>
      </c>
    </row>
    <row r="1024" ht="16.5" spans="1:5">
      <c r="A1024" s="151">
        <v>1023</v>
      </c>
      <c r="B1024" s="152" t="s">
        <v>3496</v>
      </c>
      <c r="C1024" s="153" t="s">
        <v>16629</v>
      </c>
      <c r="D1024" s="154">
        <v>10</v>
      </c>
      <c r="E1024" s="155">
        <f>+D1024*100</f>
        <v>1000</v>
      </c>
    </row>
    <row r="1025" ht="16.5" spans="1:5">
      <c r="A1025" s="151">
        <v>1024</v>
      </c>
      <c r="B1025" s="152" t="s">
        <v>3499</v>
      </c>
      <c r="C1025" s="160" t="s">
        <v>16630</v>
      </c>
      <c r="D1025" s="160">
        <v>10</v>
      </c>
      <c r="E1025" s="161">
        <f>SUM(D1025*100)</f>
        <v>1000</v>
      </c>
    </row>
    <row r="1026" ht="16.5" spans="1:5">
      <c r="A1026" s="151">
        <v>1025</v>
      </c>
      <c r="B1026" s="152" t="s">
        <v>3503</v>
      </c>
      <c r="C1026" s="160" t="s">
        <v>16630</v>
      </c>
      <c r="D1026" s="160">
        <v>10</v>
      </c>
      <c r="E1026" s="161">
        <f>SUM(D1026*100)</f>
        <v>1000</v>
      </c>
    </row>
    <row r="1027" ht="16.5" spans="1:5">
      <c r="A1027" s="151">
        <v>1026</v>
      </c>
      <c r="B1027" s="152" t="s">
        <v>3507</v>
      </c>
      <c r="C1027" s="156" t="s">
        <v>16629</v>
      </c>
      <c r="D1027" s="157">
        <v>10</v>
      </c>
      <c r="E1027" s="155">
        <f>+D1027*100</f>
        <v>1000</v>
      </c>
    </row>
    <row r="1028" ht="16.5" spans="1:5">
      <c r="A1028" s="151">
        <v>1027</v>
      </c>
      <c r="B1028" s="152" t="s">
        <v>3511</v>
      </c>
      <c r="C1028" s="160" t="s">
        <v>16630</v>
      </c>
      <c r="D1028" s="41">
        <v>400</v>
      </c>
      <c r="E1028" s="161">
        <f>SUM(D1028*100)</f>
        <v>40000</v>
      </c>
    </row>
    <row r="1029" ht="16.5" spans="1:5">
      <c r="A1029" s="151">
        <v>1028</v>
      </c>
      <c r="B1029" s="152" t="s">
        <v>3514</v>
      </c>
      <c r="C1029" s="160" t="s">
        <v>16630</v>
      </c>
      <c r="D1029" s="41">
        <v>30</v>
      </c>
      <c r="E1029" s="161">
        <f>SUM(D1029*100)</f>
        <v>3000</v>
      </c>
    </row>
    <row r="1030" ht="16.5" spans="1:5">
      <c r="A1030" s="151">
        <v>1029</v>
      </c>
      <c r="B1030" s="152" t="s">
        <v>3517</v>
      </c>
      <c r="C1030" s="160" t="s">
        <v>16630</v>
      </c>
      <c r="D1030" s="41">
        <v>30</v>
      </c>
      <c r="E1030" s="161">
        <f>SUM(D1030*100)</f>
        <v>3000</v>
      </c>
    </row>
    <row r="1031" ht="16.5" spans="1:5">
      <c r="A1031" s="151">
        <v>1030</v>
      </c>
      <c r="B1031" s="152" t="s">
        <v>3520</v>
      </c>
      <c r="C1031" s="166" t="s">
        <v>16632</v>
      </c>
      <c r="D1031" s="166">
        <f>IFERROR(__xludf.DUMMYFUNCTION("""COMPUTED_VALUE"""),15000)</f>
        <v>15000</v>
      </c>
      <c r="E1031" s="168">
        <f>IFERROR(__xludf.DUMMYFUNCTION("""COMPUTED_VALUE"""),1500000)</f>
        <v>1500000</v>
      </c>
    </row>
    <row r="1032" ht="16.5" spans="1:5">
      <c r="A1032" s="151">
        <v>1031</v>
      </c>
      <c r="B1032" s="152" t="s">
        <v>3521</v>
      </c>
      <c r="C1032" s="156" t="s">
        <v>16629</v>
      </c>
      <c r="D1032" s="154">
        <v>10</v>
      </c>
      <c r="E1032" s="155">
        <f>+D1032*100</f>
        <v>1000</v>
      </c>
    </row>
    <row r="1033" ht="16.5" spans="1:5">
      <c r="A1033" s="151">
        <v>1032</v>
      </c>
      <c r="B1033" s="152" t="s">
        <v>3524</v>
      </c>
      <c r="C1033" s="156" t="s">
        <v>16629</v>
      </c>
      <c r="D1033" s="154">
        <v>10</v>
      </c>
      <c r="E1033" s="155">
        <f>+D1033*100</f>
        <v>1000</v>
      </c>
    </row>
    <row r="1034" ht="16.5" spans="1:5">
      <c r="A1034" s="151">
        <v>1033</v>
      </c>
      <c r="B1034" s="152" t="s">
        <v>3528</v>
      </c>
      <c r="C1034" s="160" t="s">
        <v>16630</v>
      </c>
      <c r="D1034" s="160">
        <v>100</v>
      </c>
      <c r="E1034" s="161">
        <f>SUM(D1034*100)</f>
        <v>10000</v>
      </c>
    </row>
    <row r="1035" ht="16.5" spans="1:5">
      <c r="A1035" s="151">
        <v>1034</v>
      </c>
      <c r="B1035" s="152" t="s">
        <v>3531</v>
      </c>
      <c r="C1035" s="160" t="s">
        <v>16630</v>
      </c>
      <c r="D1035" s="160">
        <v>100</v>
      </c>
      <c r="E1035" s="161">
        <f>SUM(D1035*100)</f>
        <v>10000</v>
      </c>
    </row>
    <row r="1036" ht="16.5" spans="1:5">
      <c r="A1036" s="151">
        <v>1035</v>
      </c>
      <c r="B1036" s="152" t="s">
        <v>3535</v>
      </c>
      <c r="C1036" s="160" t="s">
        <v>16630</v>
      </c>
      <c r="D1036" s="160">
        <v>100</v>
      </c>
      <c r="E1036" s="161">
        <f>SUM(D1036*100)</f>
        <v>10000</v>
      </c>
    </row>
    <row r="1037" ht="16.5" spans="1:5">
      <c r="A1037" s="151">
        <v>1036</v>
      </c>
      <c r="B1037" s="152" t="s">
        <v>3539</v>
      </c>
      <c r="C1037" s="162" t="s">
        <v>16631</v>
      </c>
      <c r="D1037" s="163">
        <v>1000</v>
      </c>
      <c r="E1037" s="163">
        <f>D1037*100</f>
        <v>100000</v>
      </c>
    </row>
    <row r="1038" ht="16.5" spans="1:5">
      <c r="A1038" s="151">
        <v>1037</v>
      </c>
      <c r="B1038" s="152" t="s">
        <v>3543</v>
      </c>
      <c r="C1038" s="160" t="s">
        <v>16630</v>
      </c>
      <c r="D1038" s="160">
        <v>50</v>
      </c>
      <c r="E1038" s="161">
        <f>SUM(D1038*100)</f>
        <v>5000</v>
      </c>
    </row>
    <row r="1039" ht="16.5" spans="1:5">
      <c r="A1039" s="151">
        <v>1038</v>
      </c>
      <c r="B1039" s="152" t="s">
        <v>3548</v>
      </c>
      <c r="C1039" s="160" t="s">
        <v>16630</v>
      </c>
      <c r="D1039" s="160">
        <v>100</v>
      </c>
      <c r="E1039" s="161">
        <f>SUM(D1039*100)</f>
        <v>10000</v>
      </c>
    </row>
    <row r="1040" ht="16.5" spans="1:5">
      <c r="A1040" s="151">
        <v>1039</v>
      </c>
      <c r="B1040" s="152" t="s">
        <v>3552</v>
      </c>
      <c r="C1040" s="160" t="s">
        <v>16630</v>
      </c>
      <c r="D1040" s="160">
        <v>50</v>
      </c>
      <c r="E1040" s="161">
        <f>SUM(D1040*100)</f>
        <v>5000</v>
      </c>
    </row>
    <row r="1041" ht="16.5" spans="1:5">
      <c r="A1041" s="151">
        <v>1040</v>
      </c>
      <c r="B1041" s="152" t="s">
        <v>3556</v>
      </c>
      <c r="C1041" s="153" t="s">
        <v>16629</v>
      </c>
      <c r="D1041" s="154">
        <v>10</v>
      </c>
      <c r="E1041" s="155">
        <f>+D1041*100</f>
        <v>1000</v>
      </c>
    </row>
    <row r="1042" ht="16.5" spans="1:5">
      <c r="A1042" s="151">
        <v>1041</v>
      </c>
      <c r="B1042" s="152" t="s">
        <v>3559</v>
      </c>
      <c r="C1042" s="153" t="s">
        <v>16629</v>
      </c>
      <c r="D1042" s="154">
        <v>10</v>
      </c>
      <c r="E1042" s="155">
        <f>+D1042*100</f>
        <v>1000</v>
      </c>
    </row>
    <row r="1043" ht="16.5" spans="1:5">
      <c r="A1043" s="151">
        <v>1042</v>
      </c>
      <c r="B1043" s="152" t="s">
        <v>3562</v>
      </c>
      <c r="C1043" s="153" t="s">
        <v>16629</v>
      </c>
      <c r="D1043" s="154">
        <v>10</v>
      </c>
      <c r="E1043" s="155">
        <f>+D1043*100</f>
        <v>1000</v>
      </c>
    </row>
    <row r="1044" ht="16.5" spans="1:5">
      <c r="A1044" s="151">
        <v>1043</v>
      </c>
      <c r="B1044" s="152" t="s">
        <v>3566</v>
      </c>
      <c r="C1044" s="160" t="s">
        <v>16630</v>
      </c>
      <c r="D1044" s="160">
        <v>250</v>
      </c>
      <c r="E1044" s="161">
        <f>SUM(D1044*100)</f>
        <v>25000</v>
      </c>
    </row>
    <row r="1045" ht="16.5" spans="1:5">
      <c r="A1045" s="151">
        <v>1044</v>
      </c>
      <c r="B1045" s="152" t="s">
        <v>3569</v>
      </c>
      <c r="C1045" s="160" t="s">
        <v>16630</v>
      </c>
      <c r="D1045" s="172">
        <v>30</v>
      </c>
      <c r="E1045" s="161">
        <f>SUM(D1045*100)</f>
        <v>3000</v>
      </c>
    </row>
    <row r="1046" ht="16.5" spans="1:5">
      <c r="A1046" s="151">
        <v>1045</v>
      </c>
      <c r="B1046" s="152" t="s">
        <v>3572</v>
      </c>
      <c r="C1046" s="160" t="s">
        <v>16630</v>
      </c>
      <c r="D1046" s="160">
        <v>30</v>
      </c>
      <c r="E1046" s="161">
        <f>SUM(D1046*100)</f>
        <v>3000</v>
      </c>
    </row>
    <row r="1047" ht="16.5" spans="1:5">
      <c r="A1047" s="151">
        <v>1046</v>
      </c>
      <c r="B1047" s="152" t="s">
        <v>3576</v>
      </c>
      <c r="C1047" s="166" t="s">
        <v>16632</v>
      </c>
      <c r="D1047" s="166">
        <f>IFERROR(__xludf.DUMMYFUNCTION("""COMPUTED_VALUE"""),10000)</f>
        <v>10000</v>
      </c>
      <c r="E1047" s="168">
        <f>IFERROR(__xludf.DUMMYFUNCTION("""COMPUTED_VALUE"""),1500000)</f>
        <v>1500000</v>
      </c>
    </row>
    <row r="1048" ht="16.5" spans="1:5">
      <c r="A1048" s="151">
        <v>1047</v>
      </c>
      <c r="B1048" s="152" t="s">
        <v>3577</v>
      </c>
      <c r="C1048" s="160" t="s">
        <v>16630</v>
      </c>
      <c r="D1048" s="160">
        <v>100</v>
      </c>
      <c r="E1048" s="161">
        <f t="shared" ref="E1048:E1054" si="40">SUM(D1048*100)</f>
        <v>10000</v>
      </c>
    </row>
    <row r="1049" ht="16.5" spans="1:5">
      <c r="A1049" s="151">
        <v>1048</v>
      </c>
      <c r="B1049" s="152" t="s">
        <v>3581</v>
      </c>
      <c r="C1049" s="160" t="s">
        <v>16630</v>
      </c>
      <c r="D1049" s="160">
        <v>500</v>
      </c>
      <c r="E1049" s="161">
        <f t="shared" si="40"/>
        <v>50000</v>
      </c>
    </row>
    <row r="1050" ht="16.5" spans="1:5">
      <c r="A1050" s="151">
        <v>1049</v>
      </c>
      <c r="B1050" s="152" t="s">
        <v>3586</v>
      </c>
      <c r="C1050" s="160" t="s">
        <v>16630</v>
      </c>
      <c r="D1050" s="41">
        <v>40</v>
      </c>
      <c r="E1050" s="161">
        <f t="shared" si="40"/>
        <v>4000</v>
      </c>
    </row>
    <row r="1051" ht="16.5" spans="1:5">
      <c r="A1051" s="151">
        <v>1050</v>
      </c>
      <c r="B1051" s="152" t="s">
        <v>3589</v>
      </c>
      <c r="C1051" s="160" t="s">
        <v>16630</v>
      </c>
      <c r="D1051" s="160">
        <v>100</v>
      </c>
      <c r="E1051" s="161">
        <f t="shared" si="40"/>
        <v>10000</v>
      </c>
    </row>
    <row r="1052" ht="16.5" spans="1:5">
      <c r="A1052" s="151">
        <v>1051</v>
      </c>
      <c r="B1052" s="152" t="s">
        <v>3593</v>
      </c>
      <c r="C1052" s="160" t="s">
        <v>16630</v>
      </c>
      <c r="D1052" s="160">
        <v>500</v>
      </c>
      <c r="E1052" s="161">
        <f t="shared" si="40"/>
        <v>50000</v>
      </c>
    </row>
    <row r="1053" ht="16.5" spans="1:5">
      <c r="A1053" s="151">
        <v>1052</v>
      </c>
      <c r="B1053" s="152" t="s">
        <v>3598</v>
      </c>
      <c r="C1053" s="160" t="s">
        <v>16630</v>
      </c>
      <c r="D1053" s="160">
        <v>250</v>
      </c>
      <c r="E1053" s="161">
        <f t="shared" si="40"/>
        <v>25000</v>
      </c>
    </row>
    <row r="1054" ht="16.5" spans="1:5">
      <c r="A1054" s="151">
        <v>1053</v>
      </c>
      <c r="B1054" s="152" t="s">
        <v>3602</v>
      </c>
      <c r="C1054" s="160" t="s">
        <v>16630</v>
      </c>
      <c r="D1054" s="41">
        <v>100</v>
      </c>
      <c r="E1054" s="161">
        <f t="shared" si="40"/>
        <v>10000</v>
      </c>
    </row>
    <row r="1055" ht="16.5" spans="1:5">
      <c r="A1055" s="151">
        <v>1054</v>
      </c>
      <c r="B1055" s="152" t="s">
        <v>3605</v>
      </c>
      <c r="C1055" s="156" t="s">
        <v>16629</v>
      </c>
      <c r="D1055" s="157">
        <v>10</v>
      </c>
      <c r="E1055" s="155">
        <f>+D1055*100</f>
        <v>1000</v>
      </c>
    </row>
    <row r="1056" ht="16.5" spans="1:5">
      <c r="A1056" s="151">
        <v>1055</v>
      </c>
      <c r="B1056" s="152" t="s">
        <v>3608</v>
      </c>
      <c r="C1056" s="160" t="s">
        <v>16630</v>
      </c>
      <c r="D1056" s="160">
        <v>40</v>
      </c>
      <c r="E1056" s="161">
        <f>SUM(D1056*100)</f>
        <v>4000</v>
      </c>
    </row>
    <row r="1057" ht="16.5" spans="1:5">
      <c r="A1057" s="151">
        <v>1056</v>
      </c>
      <c r="B1057" s="152" t="s">
        <v>3612</v>
      </c>
      <c r="C1057" s="160" t="s">
        <v>16630</v>
      </c>
      <c r="D1057" s="160">
        <v>10</v>
      </c>
      <c r="E1057" s="161">
        <f>SUM(D1057*100)</f>
        <v>1000</v>
      </c>
    </row>
    <row r="1058" ht="16.5" spans="1:5">
      <c r="A1058" s="151">
        <v>1057</v>
      </c>
      <c r="B1058" s="152" t="s">
        <v>3616</v>
      </c>
      <c r="C1058" s="153" t="s">
        <v>16629</v>
      </c>
      <c r="D1058" s="158">
        <v>10</v>
      </c>
      <c r="E1058" s="155">
        <f>+D1058*100</f>
        <v>1000</v>
      </c>
    </row>
    <row r="1059" ht="16.5" spans="1:5">
      <c r="A1059" s="151">
        <v>1058</v>
      </c>
      <c r="B1059" s="152" t="s">
        <v>3619</v>
      </c>
      <c r="C1059" s="156" t="s">
        <v>16629</v>
      </c>
      <c r="D1059" s="159">
        <v>10</v>
      </c>
      <c r="E1059" s="155">
        <f>+D1059*100</f>
        <v>1000</v>
      </c>
    </row>
    <row r="1060" ht="16.5" spans="1:5">
      <c r="A1060" s="151">
        <v>1059</v>
      </c>
      <c r="B1060" s="152" t="s">
        <v>3622</v>
      </c>
      <c r="C1060" s="153" t="s">
        <v>16629</v>
      </c>
      <c r="D1060" s="154">
        <v>10</v>
      </c>
      <c r="E1060" s="155">
        <f>+D1060*100</f>
        <v>1000</v>
      </c>
    </row>
    <row r="1061" ht="16.5" spans="1:5">
      <c r="A1061" s="151">
        <v>1060</v>
      </c>
      <c r="B1061" s="152" t="s">
        <v>3625</v>
      </c>
      <c r="C1061" s="162" t="s">
        <v>16631</v>
      </c>
      <c r="D1061" s="163">
        <v>1000</v>
      </c>
      <c r="E1061" s="163">
        <f>D1061*100</f>
        <v>100000</v>
      </c>
    </row>
    <row r="1062" ht="16.5" spans="1:5">
      <c r="A1062" s="151">
        <v>1061</v>
      </c>
      <c r="B1062" s="152" t="s">
        <v>3629</v>
      </c>
      <c r="C1062" s="160" t="s">
        <v>16630</v>
      </c>
      <c r="D1062" s="160">
        <v>40</v>
      </c>
      <c r="E1062" s="161">
        <f>SUM(D1062*100)</f>
        <v>4000</v>
      </c>
    </row>
    <row r="1063" ht="16.5" spans="1:5">
      <c r="A1063" s="151">
        <v>1062</v>
      </c>
      <c r="B1063" s="152" t="s">
        <v>3633</v>
      </c>
      <c r="C1063" s="160" t="s">
        <v>16630</v>
      </c>
      <c r="D1063" s="160">
        <v>40</v>
      </c>
      <c r="E1063" s="161">
        <f>SUM(D1063*100)</f>
        <v>4000</v>
      </c>
    </row>
    <row r="1064" ht="16.5" spans="1:5">
      <c r="A1064" s="151">
        <v>1063</v>
      </c>
      <c r="B1064" s="152" t="s">
        <v>3636</v>
      </c>
      <c r="C1064" s="160" t="s">
        <v>16630</v>
      </c>
      <c r="D1064" s="160">
        <v>60</v>
      </c>
      <c r="E1064" s="161">
        <f>SUM(D1064*100)</f>
        <v>6000</v>
      </c>
    </row>
    <row r="1065" ht="16.5" spans="1:5">
      <c r="A1065" s="151">
        <v>1064</v>
      </c>
      <c r="B1065" s="152" t="s">
        <v>3640</v>
      </c>
      <c r="C1065" s="162" t="s">
        <v>16633</v>
      </c>
      <c r="D1065" s="171">
        <f>G1065/100</f>
        <v>0</v>
      </c>
      <c r="E1065" s="171">
        <f>G1065</f>
        <v>0</v>
      </c>
    </row>
    <row r="1066" ht="16.5" spans="1:5">
      <c r="A1066" s="151">
        <v>1065</v>
      </c>
      <c r="B1066" s="152" t="s">
        <v>3645</v>
      </c>
      <c r="C1066" s="156" t="s">
        <v>16629</v>
      </c>
      <c r="D1066" s="159">
        <v>10</v>
      </c>
      <c r="E1066" s="155">
        <f>+D1066*100</f>
        <v>1000</v>
      </c>
    </row>
    <row r="1067" ht="16.5" spans="1:5">
      <c r="A1067" s="151">
        <v>1066</v>
      </c>
      <c r="B1067" s="152" t="s">
        <v>3648</v>
      </c>
      <c r="C1067" s="162" t="s">
        <v>16631</v>
      </c>
      <c r="D1067" s="163">
        <v>1000</v>
      </c>
      <c r="E1067" s="163">
        <f>D1067*100</f>
        <v>100000</v>
      </c>
    </row>
    <row r="1068" ht="16.5" spans="1:5">
      <c r="A1068" s="151">
        <v>1067</v>
      </c>
      <c r="B1068" s="152" t="s">
        <v>3653</v>
      </c>
      <c r="C1068" s="156" t="s">
        <v>16629</v>
      </c>
      <c r="D1068" s="159">
        <v>50</v>
      </c>
      <c r="E1068" s="155">
        <f>+D1068*100</f>
        <v>5000</v>
      </c>
    </row>
    <row r="1069" ht="16.5" spans="1:5">
      <c r="A1069" s="151">
        <v>1068</v>
      </c>
      <c r="B1069" s="152" t="s">
        <v>3657</v>
      </c>
      <c r="C1069" s="156" t="s">
        <v>16629</v>
      </c>
      <c r="D1069" s="159">
        <v>10</v>
      </c>
      <c r="E1069" s="155">
        <f>+D1069*100</f>
        <v>1000</v>
      </c>
    </row>
    <row r="1070" ht="16.5" spans="1:5">
      <c r="A1070" s="151">
        <v>1069</v>
      </c>
      <c r="B1070" s="152" t="s">
        <v>3660</v>
      </c>
      <c r="C1070" s="162" t="s">
        <v>16631</v>
      </c>
      <c r="D1070" s="163">
        <v>1000</v>
      </c>
      <c r="E1070" s="163">
        <f>D1070*100</f>
        <v>100000</v>
      </c>
    </row>
    <row r="1071" ht="16.5" spans="1:5">
      <c r="A1071" s="151">
        <v>1070</v>
      </c>
      <c r="B1071" s="152" t="s">
        <v>3665</v>
      </c>
      <c r="C1071" s="162" t="s">
        <v>16631</v>
      </c>
      <c r="D1071" s="163">
        <v>1000</v>
      </c>
      <c r="E1071" s="163">
        <f>D1071*100</f>
        <v>100000</v>
      </c>
    </row>
    <row r="1072" ht="16.5" spans="1:5">
      <c r="A1072" s="151">
        <v>1071</v>
      </c>
      <c r="B1072" s="152" t="s">
        <v>3669</v>
      </c>
      <c r="C1072" s="156" t="s">
        <v>16629</v>
      </c>
      <c r="D1072" s="157">
        <v>100</v>
      </c>
      <c r="E1072" s="155">
        <f>+D1072*100</f>
        <v>10000</v>
      </c>
    </row>
    <row r="1073" ht="16.5" spans="1:5">
      <c r="A1073" s="151">
        <v>1072</v>
      </c>
      <c r="B1073" s="152" t="s">
        <v>3673</v>
      </c>
      <c r="C1073" s="166" t="s">
        <v>16632</v>
      </c>
      <c r="D1073" s="166">
        <f>IFERROR(__xludf.DUMMYFUNCTION("""COMPUTED_VALUE"""),10000)</f>
        <v>10000</v>
      </c>
      <c r="E1073" s="168">
        <f>IFERROR(__xludf.DUMMYFUNCTION("""COMPUTED_VALUE"""),1500000)</f>
        <v>1500000</v>
      </c>
    </row>
    <row r="1074" ht="16.5" spans="1:5">
      <c r="A1074" s="151">
        <v>1073</v>
      </c>
      <c r="B1074" s="152" t="s">
        <v>3674</v>
      </c>
      <c r="C1074" s="160" t="s">
        <v>16630</v>
      </c>
      <c r="D1074" s="160">
        <v>3000</v>
      </c>
      <c r="E1074" s="161">
        <f>SUM(D1074*100)</f>
        <v>300000</v>
      </c>
    </row>
    <row r="1075" ht="16.5" spans="1:5">
      <c r="A1075" s="151">
        <v>1074</v>
      </c>
      <c r="B1075" s="152" t="s">
        <v>3674</v>
      </c>
      <c r="C1075" s="162" t="s">
        <v>16631</v>
      </c>
      <c r="D1075" s="169">
        <v>1000</v>
      </c>
      <c r="E1075" s="170">
        <f>D1075*100</f>
        <v>100000</v>
      </c>
    </row>
    <row r="1076" ht="16.5" spans="1:5">
      <c r="A1076" s="151">
        <v>1075</v>
      </c>
      <c r="B1076" s="152" t="s">
        <v>3674</v>
      </c>
      <c r="C1076" s="162" t="s">
        <v>16633</v>
      </c>
      <c r="D1076" s="171">
        <f>G1076/100</f>
        <v>0</v>
      </c>
      <c r="E1076" s="171">
        <f>G1076</f>
        <v>0</v>
      </c>
    </row>
    <row r="1077" ht="16.5" spans="1:5">
      <c r="A1077" s="151">
        <v>1076</v>
      </c>
      <c r="B1077" s="152" t="s">
        <v>3678</v>
      </c>
      <c r="C1077" s="166" t="s">
        <v>16632</v>
      </c>
      <c r="D1077" s="166">
        <f>IFERROR(__xludf.DUMMYFUNCTION("""COMPUTED_VALUE"""),10000)</f>
        <v>10000</v>
      </c>
      <c r="E1077" s="168">
        <f>IFERROR(__xludf.DUMMYFUNCTION("""COMPUTED_VALUE"""),1500000)</f>
        <v>1500000</v>
      </c>
    </row>
    <row r="1078" ht="16.5" spans="1:5">
      <c r="A1078" s="151">
        <v>1077</v>
      </c>
      <c r="B1078" s="152" t="s">
        <v>3678</v>
      </c>
      <c r="C1078" s="166" t="s">
        <v>16632</v>
      </c>
      <c r="D1078" s="166">
        <f>IFERROR(__xludf.DUMMYFUNCTION("""COMPUTED_VALUE"""),10000)</f>
        <v>10000</v>
      </c>
      <c r="E1078" s="168">
        <f>IFERROR(__xludf.DUMMYFUNCTION("""COMPUTED_VALUE"""),1500000)</f>
        <v>1500000</v>
      </c>
    </row>
    <row r="1079" ht="16.5" spans="1:5">
      <c r="A1079" s="151">
        <v>1078</v>
      </c>
      <c r="B1079" s="152" t="s">
        <v>3678</v>
      </c>
      <c r="C1079" s="162" t="s">
        <v>16631</v>
      </c>
      <c r="D1079" s="163">
        <v>1000</v>
      </c>
      <c r="E1079" s="163">
        <f>D1079*100</f>
        <v>100000</v>
      </c>
    </row>
    <row r="1080" ht="16.5" spans="1:5">
      <c r="A1080" s="151">
        <v>1079</v>
      </c>
      <c r="B1080" s="152" t="s">
        <v>3678</v>
      </c>
      <c r="C1080" s="162" t="s">
        <v>16633</v>
      </c>
      <c r="D1080" s="171">
        <f>G1080/100</f>
        <v>0</v>
      </c>
      <c r="E1080" s="171">
        <f>G1080</f>
        <v>0</v>
      </c>
    </row>
    <row r="1081" ht="16.5" spans="1:5">
      <c r="A1081" s="151">
        <v>1080</v>
      </c>
      <c r="B1081" s="152" t="s">
        <v>3679</v>
      </c>
      <c r="C1081" s="153" t="s">
        <v>16629</v>
      </c>
      <c r="D1081" s="158">
        <v>10</v>
      </c>
      <c r="E1081" s="155">
        <f>+D1081*100</f>
        <v>1000</v>
      </c>
    </row>
    <row r="1082" ht="16.5" spans="1:5">
      <c r="A1082" s="151">
        <v>1081</v>
      </c>
      <c r="B1082" s="152" t="s">
        <v>3682</v>
      </c>
      <c r="C1082" s="160" t="s">
        <v>16630</v>
      </c>
      <c r="D1082" s="160">
        <v>20</v>
      </c>
      <c r="E1082" s="161">
        <f>SUM(D1082*100)</f>
        <v>2000</v>
      </c>
    </row>
    <row r="1083" ht="16.5" spans="1:5">
      <c r="A1083" s="151">
        <v>1082</v>
      </c>
      <c r="B1083" s="152" t="s">
        <v>3686</v>
      </c>
      <c r="C1083" s="153" t="s">
        <v>16629</v>
      </c>
      <c r="D1083" s="154">
        <v>10</v>
      </c>
      <c r="E1083" s="155">
        <f>+D1083*100</f>
        <v>1000</v>
      </c>
    </row>
    <row r="1084" ht="16.5" spans="1:5">
      <c r="A1084" s="151">
        <v>1083</v>
      </c>
      <c r="B1084" s="152" t="s">
        <v>3689</v>
      </c>
      <c r="C1084" s="156" t="s">
        <v>16629</v>
      </c>
      <c r="D1084" s="159">
        <v>10</v>
      </c>
      <c r="E1084" s="155">
        <f>+D1084*100</f>
        <v>1000</v>
      </c>
    </row>
    <row r="1085" ht="16.5" spans="1:5">
      <c r="A1085" s="151">
        <v>1084</v>
      </c>
      <c r="B1085" s="152" t="s">
        <v>3692</v>
      </c>
      <c r="C1085" s="160" t="s">
        <v>16630</v>
      </c>
      <c r="D1085" s="160">
        <v>200</v>
      </c>
      <c r="E1085" s="161">
        <f>SUM(D1085*100)</f>
        <v>20000</v>
      </c>
    </row>
    <row r="1086" ht="16.5" spans="1:5">
      <c r="A1086" s="151">
        <v>1085</v>
      </c>
      <c r="B1086" s="152" t="s">
        <v>3696</v>
      </c>
      <c r="C1086" s="153" t="s">
        <v>16629</v>
      </c>
      <c r="D1086" s="154">
        <v>10</v>
      </c>
      <c r="E1086" s="155">
        <f>+D1086*100</f>
        <v>1000</v>
      </c>
    </row>
    <row r="1087" ht="16.5" spans="1:5">
      <c r="A1087" s="151">
        <v>1086</v>
      </c>
      <c r="B1087" s="152" t="s">
        <v>3700</v>
      </c>
      <c r="C1087" s="160" t="s">
        <v>16630</v>
      </c>
      <c r="D1087" s="160">
        <v>500</v>
      </c>
      <c r="E1087" s="161">
        <f>SUM(D1087*100)</f>
        <v>50000</v>
      </c>
    </row>
    <row r="1088" ht="16.5" spans="1:5">
      <c r="A1088" s="151">
        <v>1087</v>
      </c>
      <c r="B1088" s="152" t="s">
        <v>3704</v>
      </c>
      <c r="C1088" s="156" t="s">
        <v>16629</v>
      </c>
      <c r="D1088" s="158">
        <v>10</v>
      </c>
      <c r="E1088" s="155">
        <f>+D1088*100</f>
        <v>1000</v>
      </c>
    </row>
    <row r="1089" ht="16.5" spans="1:5">
      <c r="A1089" s="151">
        <v>1088</v>
      </c>
      <c r="B1089" s="152" t="s">
        <v>3708</v>
      </c>
      <c r="C1089" s="156" t="s">
        <v>16629</v>
      </c>
      <c r="D1089" s="157">
        <v>10</v>
      </c>
      <c r="E1089" s="155">
        <f>+D1089*100</f>
        <v>1000</v>
      </c>
    </row>
    <row r="1090" ht="16.5" spans="1:5">
      <c r="A1090" s="151">
        <v>1089</v>
      </c>
      <c r="B1090" s="152" t="s">
        <v>3711</v>
      </c>
      <c r="C1090" s="160" t="s">
        <v>16630</v>
      </c>
      <c r="D1090" s="160">
        <v>210</v>
      </c>
      <c r="E1090" s="161">
        <f>SUM(D1090*100)</f>
        <v>21000</v>
      </c>
    </row>
    <row r="1091" ht="16.5" spans="1:5">
      <c r="A1091" s="151">
        <v>1090</v>
      </c>
      <c r="B1091" s="152" t="s">
        <v>3715</v>
      </c>
      <c r="C1091" s="156" t="s">
        <v>16629</v>
      </c>
      <c r="D1091" s="157">
        <v>300</v>
      </c>
      <c r="E1091" s="155">
        <f>+D1091*100</f>
        <v>30000</v>
      </c>
    </row>
    <row r="1092" ht="16.5" spans="1:5">
      <c r="A1092" s="151">
        <v>1091</v>
      </c>
      <c r="B1092" s="152" t="s">
        <v>3719</v>
      </c>
      <c r="C1092" s="162" t="s">
        <v>16631</v>
      </c>
      <c r="D1092" s="163">
        <v>2000</v>
      </c>
      <c r="E1092" s="163">
        <f>D1092*100</f>
        <v>200000</v>
      </c>
    </row>
    <row r="1093" ht="16.5" spans="1:5">
      <c r="A1093" s="151">
        <v>1092</v>
      </c>
      <c r="B1093" s="152" t="s">
        <v>3723</v>
      </c>
      <c r="C1093" s="153" t="s">
        <v>16629</v>
      </c>
      <c r="D1093" s="154">
        <v>200</v>
      </c>
      <c r="E1093" s="155">
        <f>+D1093*100</f>
        <v>20000</v>
      </c>
    </row>
    <row r="1094" ht="16.5" spans="1:5">
      <c r="A1094" s="151">
        <v>1093</v>
      </c>
      <c r="B1094" s="152" t="s">
        <v>3726</v>
      </c>
      <c r="C1094" s="160" t="s">
        <v>16630</v>
      </c>
      <c r="D1094" s="164">
        <v>100</v>
      </c>
      <c r="E1094" s="161">
        <f>SUM(D1094*100)</f>
        <v>10000</v>
      </c>
    </row>
    <row r="1095" ht="16.5" spans="1:5">
      <c r="A1095" s="151">
        <v>1094</v>
      </c>
      <c r="B1095" s="152" t="s">
        <v>3729</v>
      </c>
      <c r="C1095" s="156" t="s">
        <v>16629</v>
      </c>
      <c r="D1095" s="159">
        <v>10</v>
      </c>
      <c r="E1095" s="155">
        <f>+D1095*100</f>
        <v>1000</v>
      </c>
    </row>
    <row r="1096" ht="16.5" spans="1:5">
      <c r="A1096" s="151">
        <v>1095</v>
      </c>
      <c r="B1096" s="152" t="s">
        <v>3733</v>
      </c>
      <c r="C1096" s="153" t="s">
        <v>16629</v>
      </c>
      <c r="D1096" s="154">
        <v>10</v>
      </c>
      <c r="E1096" s="155">
        <f>+D1096*100</f>
        <v>1000</v>
      </c>
    </row>
    <row r="1097" ht="16.5" spans="1:5">
      <c r="A1097" s="151">
        <v>1096</v>
      </c>
      <c r="B1097" s="152" t="s">
        <v>3737</v>
      </c>
      <c r="C1097" s="162" t="s">
        <v>16631</v>
      </c>
      <c r="D1097" s="169">
        <v>1000</v>
      </c>
      <c r="E1097" s="170">
        <f>D1097*100</f>
        <v>100000</v>
      </c>
    </row>
    <row r="1098" ht="16.5" spans="1:5">
      <c r="A1098" s="151">
        <v>1097</v>
      </c>
      <c r="B1098" s="152" t="s">
        <v>3742</v>
      </c>
      <c r="C1098" s="156" t="s">
        <v>16629</v>
      </c>
      <c r="D1098" s="157">
        <v>10</v>
      </c>
      <c r="E1098" s="155">
        <f>+D1098*100</f>
        <v>1000</v>
      </c>
    </row>
    <row r="1099" ht="16.5" spans="1:5">
      <c r="A1099" s="151">
        <v>1098</v>
      </c>
      <c r="B1099" s="152" t="s">
        <v>3746</v>
      </c>
      <c r="C1099" s="153" t="s">
        <v>16629</v>
      </c>
      <c r="D1099" s="158">
        <v>10</v>
      </c>
      <c r="E1099" s="155">
        <f>+D1099*100</f>
        <v>1000</v>
      </c>
    </row>
    <row r="1100" ht="16.5" spans="1:5">
      <c r="A1100" s="151">
        <v>1099</v>
      </c>
      <c r="B1100" s="152" t="s">
        <v>3749</v>
      </c>
      <c r="C1100" s="153" t="s">
        <v>16629</v>
      </c>
      <c r="D1100" s="158">
        <v>10</v>
      </c>
      <c r="E1100" s="155">
        <f>+D1100*100</f>
        <v>1000</v>
      </c>
    </row>
    <row r="1101" ht="16.5" spans="1:5">
      <c r="A1101" s="151">
        <v>1100</v>
      </c>
      <c r="B1101" s="152" t="s">
        <v>3752</v>
      </c>
      <c r="C1101" s="160" t="s">
        <v>16630</v>
      </c>
      <c r="D1101" s="160">
        <v>840</v>
      </c>
      <c r="E1101" s="161">
        <f>SUM(D1101*100)</f>
        <v>84000</v>
      </c>
    </row>
    <row r="1102" ht="16.5" spans="1:5">
      <c r="A1102" s="151">
        <v>1101</v>
      </c>
      <c r="B1102" s="152" t="s">
        <v>3756</v>
      </c>
      <c r="C1102" s="162" t="s">
        <v>16631</v>
      </c>
      <c r="D1102" s="163">
        <v>1000</v>
      </c>
      <c r="E1102" s="163">
        <f>D1102*100</f>
        <v>100000</v>
      </c>
    </row>
    <row r="1103" ht="16.5" spans="1:5">
      <c r="A1103" s="151">
        <v>1102</v>
      </c>
      <c r="B1103" s="152" t="s">
        <v>3758</v>
      </c>
      <c r="C1103" s="156" t="s">
        <v>16629</v>
      </c>
      <c r="D1103" s="154">
        <v>10</v>
      </c>
      <c r="E1103" s="155">
        <f>+D1103*100</f>
        <v>1000</v>
      </c>
    </row>
    <row r="1104" ht="16.5" spans="1:5">
      <c r="A1104" s="151">
        <v>1103</v>
      </c>
      <c r="B1104" s="152" t="s">
        <v>3762</v>
      </c>
      <c r="C1104" s="153" t="s">
        <v>16629</v>
      </c>
      <c r="D1104" s="158">
        <v>10</v>
      </c>
      <c r="E1104" s="155">
        <f>+D1104*100</f>
        <v>1000</v>
      </c>
    </row>
    <row r="1105" ht="16.5" spans="1:5">
      <c r="A1105" s="151">
        <v>1104</v>
      </c>
      <c r="B1105" s="152" t="s">
        <v>3766</v>
      </c>
      <c r="C1105" s="156" t="s">
        <v>16629</v>
      </c>
      <c r="D1105" s="159">
        <v>10</v>
      </c>
      <c r="E1105" s="155">
        <f>+D1105*100</f>
        <v>1000</v>
      </c>
    </row>
    <row r="1106" ht="16.5" spans="1:5">
      <c r="A1106" s="151">
        <v>1105</v>
      </c>
      <c r="B1106" s="152" t="s">
        <v>3770</v>
      </c>
      <c r="C1106" s="156" t="s">
        <v>16629</v>
      </c>
      <c r="D1106" s="157">
        <v>10</v>
      </c>
      <c r="E1106" s="155">
        <f>+D1106*100</f>
        <v>1000</v>
      </c>
    </row>
    <row r="1107" ht="16.5" spans="1:5">
      <c r="A1107" s="151">
        <v>1106</v>
      </c>
      <c r="B1107" s="152" t="s">
        <v>3773</v>
      </c>
      <c r="C1107" s="160" t="s">
        <v>16630</v>
      </c>
      <c r="D1107" s="164">
        <v>20</v>
      </c>
      <c r="E1107" s="161">
        <f>SUM(D1107*100)</f>
        <v>2000</v>
      </c>
    </row>
    <row r="1108" ht="16.5" spans="1:5">
      <c r="A1108" s="151">
        <v>1107</v>
      </c>
      <c r="B1108" s="152" t="s">
        <v>3776</v>
      </c>
      <c r="C1108" s="156" t="s">
        <v>16629</v>
      </c>
      <c r="D1108" s="157">
        <v>10</v>
      </c>
      <c r="E1108" s="155">
        <f>+D1108*100</f>
        <v>1000</v>
      </c>
    </row>
    <row r="1109" ht="16.5" spans="1:5">
      <c r="A1109" s="151">
        <v>1108</v>
      </c>
      <c r="B1109" s="152" t="s">
        <v>3779</v>
      </c>
      <c r="C1109" s="153" t="s">
        <v>16629</v>
      </c>
      <c r="D1109" s="158">
        <v>10</v>
      </c>
      <c r="E1109" s="155">
        <f>+D1109*100</f>
        <v>1000</v>
      </c>
    </row>
    <row r="1110" ht="16.5" spans="1:5">
      <c r="A1110" s="151">
        <v>1109</v>
      </c>
      <c r="B1110" s="152" t="s">
        <v>3782</v>
      </c>
      <c r="C1110" s="153" t="s">
        <v>16629</v>
      </c>
      <c r="D1110" s="154">
        <v>10</v>
      </c>
      <c r="E1110" s="155">
        <f>+D1110*100</f>
        <v>1000</v>
      </c>
    </row>
    <row r="1111" ht="16.5" spans="1:5">
      <c r="A1111" s="151">
        <v>1110</v>
      </c>
      <c r="B1111" s="152" t="s">
        <v>3785</v>
      </c>
      <c r="C1111" s="166" t="s">
        <v>16632</v>
      </c>
      <c r="D1111" s="166">
        <f>IFERROR(__xludf.DUMMYFUNCTION("""COMPUTED_VALUE"""),15000)</f>
        <v>15000</v>
      </c>
      <c r="E1111" s="168">
        <f>IFERROR(__xludf.DUMMYFUNCTION("""COMPUTED_VALUE"""),1500000)</f>
        <v>1500000</v>
      </c>
    </row>
    <row r="1112" ht="16.5" spans="1:5">
      <c r="A1112" s="151">
        <v>1111</v>
      </c>
      <c r="B1112" s="152" t="s">
        <v>3786</v>
      </c>
      <c r="C1112" s="156" t="s">
        <v>16629</v>
      </c>
      <c r="D1112" s="159">
        <v>10</v>
      </c>
      <c r="E1112" s="155">
        <f t="shared" ref="E1112:E1129" si="41">+D1112*100</f>
        <v>1000</v>
      </c>
    </row>
    <row r="1113" ht="16.5" spans="1:5">
      <c r="A1113" s="151">
        <v>1112</v>
      </c>
      <c r="B1113" s="152" t="s">
        <v>3789</v>
      </c>
      <c r="C1113" s="153" t="s">
        <v>16629</v>
      </c>
      <c r="D1113" s="158">
        <v>10</v>
      </c>
      <c r="E1113" s="155">
        <f t="shared" si="41"/>
        <v>1000</v>
      </c>
    </row>
    <row r="1114" ht="16.5" spans="1:5">
      <c r="A1114" s="151">
        <v>1113</v>
      </c>
      <c r="B1114" s="152" t="s">
        <v>3793</v>
      </c>
      <c r="C1114" s="153" t="s">
        <v>16629</v>
      </c>
      <c r="D1114" s="154">
        <v>10</v>
      </c>
      <c r="E1114" s="155">
        <f t="shared" si="41"/>
        <v>1000</v>
      </c>
    </row>
    <row r="1115" ht="16.5" spans="1:5">
      <c r="A1115" s="151">
        <v>1114</v>
      </c>
      <c r="B1115" s="152" t="s">
        <v>3796</v>
      </c>
      <c r="C1115" s="153" t="s">
        <v>16629</v>
      </c>
      <c r="D1115" s="154">
        <v>10</v>
      </c>
      <c r="E1115" s="155">
        <f t="shared" si="41"/>
        <v>1000</v>
      </c>
    </row>
    <row r="1116" ht="16.5" spans="1:5">
      <c r="A1116" s="151">
        <v>1115</v>
      </c>
      <c r="B1116" s="152" t="s">
        <v>3799</v>
      </c>
      <c r="C1116" s="156" t="s">
        <v>16629</v>
      </c>
      <c r="D1116" s="157">
        <v>10</v>
      </c>
      <c r="E1116" s="155">
        <f t="shared" si="41"/>
        <v>1000</v>
      </c>
    </row>
    <row r="1117" ht="16.5" spans="1:5">
      <c r="A1117" s="151">
        <v>1116</v>
      </c>
      <c r="B1117" s="152" t="s">
        <v>3802</v>
      </c>
      <c r="C1117" s="156" t="s">
        <v>16629</v>
      </c>
      <c r="D1117" s="157">
        <v>10</v>
      </c>
      <c r="E1117" s="155">
        <f t="shared" si="41"/>
        <v>1000</v>
      </c>
    </row>
    <row r="1118" ht="16.5" spans="1:5">
      <c r="A1118" s="151">
        <v>1117</v>
      </c>
      <c r="B1118" s="152" t="s">
        <v>3805</v>
      </c>
      <c r="C1118" s="153" t="s">
        <v>16629</v>
      </c>
      <c r="D1118" s="158">
        <v>10</v>
      </c>
      <c r="E1118" s="155">
        <f t="shared" si="41"/>
        <v>1000</v>
      </c>
    </row>
    <row r="1119" ht="16.5" spans="1:5">
      <c r="A1119" s="151">
        <v>1118</v>
      </c>
      <c r="B1119" s="152" t="s">
        <v>3808</v>
      </c>
      <c r="C1119" s="153" t="s">
        <v>16629</v>
      </c>
      <c r="D1119" s="158">
        <v>10</v>
      </c>
      <c r="E1119" s="155">
        <f t="shared" si="41"/>
        <v>1000</v>
      </c>
    </row>
    <row r="1120" ht="16.5" spans="1:5">
      <c r="A1120" s="151">
        <v>1119</v>
      </c>
      <c r="B1120" s="152" t="s">
        <v>3812</v>
      </c>
      <c r="C1120" s="153" t="s">
        <v>16629</v>
      </c>
      <c r="D1120" s="154">
        <v>10</v>
      </c>
      <c r="E1120" s="155">
        <f t="shared" si="41"/>
        <v>1000</v>
      </c>
    </row>
    <row r="1121" ht="16.5" spans="1:5">
      <c r="A1121" s="151">
        <v>1120</v>
      </c>
      <c r="B1121" s="152" t="s">
        <v>3816</v>
      </c>
      <c r="C1121" s="156" t="s">
        <v>16629</v>
      </c>
      <c r="D1121" s="157">
        <v>10</v>
      </c>
      <c r="E1121" s="155">
        <f t="shared" si="41"/>
        <v>1000</v>
      </c>
    </row>
    <row r="1122" ht="16.5" spans="1:5">
      <c r="A1122" s="151">
        <v>1121</v>
      </c>
      <c r="B1122" s="152" t="s">
        <v>3819</v>
      </c>
      <c r="C1122" s="153" t="s">
        <v>16629</v>
      </c>
      <c r="D1122" s="154">
        <v>10</v>
      </c>
      <c r="E1122" s="155">
        <f t="shared" si="41"/>
        <v>1000</v>
      </c>
    </row>
    <row r="1123" ht="16.5" spans="1:5">
      <c r="A1123" s="151">
        <v>1122</v>
      </c>
      <c r="B1123" s="152" t="s">
        <v>3823</v>
      </c>
      <c r="C1123" s="153" t="s">
        <v>16629</v>
      </c>
      <c r="D1123" s="154">
        <v>10</v>
      </c>
      <c r="E1123" s="155">
        <f t="shared" si="41"/>
        <v>1000</v>
      </c>
    </row>
    <row r="1124" ht="16.5" spans="1:5">
      <c r="A1124" s="151">
        <v>1123</v>
      </c>
      <c r="B1124" s="152" t="s">
        <v>3826</v>
      </c>
      <c r="C1124" s="153" t="s">
        <v>16629</v>
      </c>
      <c r="D1124" s="158">
        <v>10</v>
      </c>
      <c r="E1124" s="155">
        <f t="shared" si="41"/>
        <v>1000</v>
      </c>
    </row>
    <row r="1125" ht="16.5" spans="1:5">
      <c r="A1125" s="151">
        <v>1124</v>
      </c>
      <c r="B1125" s="152" t="s">
        <v>3829</v>
      </c>
      <c r="C1125" s="156" t="s">
        <v>16629</v>
      </c>
      <c r="D1125" s="158">
        <v>10</v>
      </c>
      <c r="E1125" s="155">
        <f t="shared" si="41"/>
        <v>1000</v>
      </c>
    </row>
    <row r="1126" ht="16.5" spans="1:5">
      <c r="A1126" s="151">
        <v>1125</v>
      </c>
      <c r="B1126" s="152" t="s">
        <v>3832</v>
      </c>
      <c r="C1126" s="153" t="s">
        <v>16629</v>
      </c>
      <c r="D1126" s="158">
        <v>10</v>
      </c>
      <c r="E1126" s="155">
        <f t="shared" si="41"/>
        <v>1000</v>
      </c>
    </row>
    <row r="1127" ht="16.5" spans="1:5">
      <c r="A1127" s="151">
        <v>1126</v>
      </c>
      <c r="B1127" s="152" t="s">
        <v>3835</v>
      </c>
      <c r="C1127" s="153" t="s">
        <v>16629</v>
      </c>
      <c r="D1127" s="154">
        <v>10</v>
      </c>
      <c r="E1127" s="155">
        <f t="shared" si="41"/>
        <v>1000</v>
      </c>
    </row>
    <row r="1128" ht="16.5" spans="1:5">
      <c r="A1128" s="151">
        <v>1127</v>
      </c>
      <c r="B1128" s="152" t="s">
        <v>3838</v>
      </c>
      <c r="C1128" s="153" t="s">
        <v>16629</v>
      </c>
      <c r="D1128" s="158">
        <v>10</v>
      </c>
      <c r="E1128" s="155">
        <f t="shared" si="41"/>
        <v>1000</v>
      </c>
    </row>
    <row r="1129" ht="16.5" spans="1:5">
      <c r="A1129" s="151">
        <v>1128</v>
      </c>
      <c r="B1129" s="152" t="s">
        <v>3842</v>
      </c>
      <c r="C1129" s="153" t="s">
        <v>16629</v>
      </c>
      <c r="D1129" s="154">
        <v>10</v>
      </c>
      <c r="E1129" s="155">
        <f t="shared" si="41"/>
        <v>1000</v>
      </c>
    </row>
    <row r="1130" ht="16.5" spans="1:5">
      <c r="A1130" s="151">
        <v>1129</v>
      </c>
      <c r="B1130" s="152" t="s">
        <v>3845</v>
      </c>
      <c r="C1130" s="160" t="s">
        <v>16630</v>
      </c>
      <c r="D1130" s="160">
        <v>25</v>
      </c>
      <c r="E1130" s="161">
        <f>SUM(D1130*100)</f>
        <v>2500</v>
      </c>
    </row>
    <row r="1131" ht="16.5" spans="1:5">
      <c r="A1131" s="151">
        <v>1130</v>
      </c>
      <c r="B1131" s="152" t="s">
        <v>3849</v>
      </c>
      <c r="C1131" s="162" t="s">
        <v>16631</v>
      </c>
      <c r="D1131" s="163">
        <v>2000</v>
      </c>
      <c r="E1131" s="163">
        <f>D1131*100</f>
        <v>200000</v>
      </c>
    </row>
    <row r="1132" ht="16.5" spans="1:5">
      <c r="A1132" s="151">
        <v>1131</v>
      </c>
      <c r="B1132" s="152" t="s">
        <v>3854</v>
      </c>
      <c r="C1132" s="153" t="s">
        <v>16629</v>
      </c>
      <c r="D1132" s="154">
        <v>10</v>
      </c>
      <c r="E1132" s="155">
        <f t="shared" ref="E1132:E1147" si="42">+D1132*100</f>
        <v>1000</v>
      </c>
    </row>
    <row r="1133" ht="16.5" spans="1:5">
      <c r="A1133" s="151">
        <v>1132</v>
      </c>
      <c r="B1133" s="152" t="s">
        <v>3858</v>
      </c>
      <c r="C1133" s="156" t="s">
        <v>16629</v>
      </c>
      <c r="D1133" s="159">
        <v>10</v>
      </c>
      <c r="E1133" s="155">
        <f t="shared" si="42"/>
        <v>1000</v>
      </c>
    </row>
    <row r="1134" ht="16.5" spans="1:5">
      <c r="A1134" s="151">
        <v>1133</v>
      </c>
      <c r="B1134" s="152" t="s">
        <v>3861</v>
      </c>
      <c r="C1134" s="153" t="s">
        <v>16629</v>
      </c>
      <c r="D1134" s="154">
        <v>10</v>
      </c>
      <c r="E1134" s="155">
        <f t="shared" si="42"/>
        <v>1000</v>
      </c>
    </row>
    <row r="1135" ht="16.5" spans="1:5">
      <c r="A1135" s="151">
        <v>1134</v>
      </c>
      <c r="B1135" s="152" t="s">
        <v>3864</v>
      </c>
      <c r="C1135" s="153" t="s">
        <v>16629</v>
      </c>
      <c r="D1135" s="158">
        <v>10</v>
      </c>
      <c r="E1135" s="155">
        <f t="shared" si="42"/>
        <v>1000</v>
      </c>
    </row>
    <row r="1136" ht="16.5" spans="1:5">
      <c r="A1136" s="151">
        <v>1135</v>
      </c>
      <c r="B1136" s="152" t="s">
        <v>3867</v>
      </c>
      <c r="C1136" s="156" t="s">
        <v>16629</v>
      </c>
      <c r="D1136" s="159">
        <v>10</v>
      </c>
      <c r="E1136" s="155">
        <f t="shared" si="42"/>
        <v>1000</v>
      </c>
    </row>
    <row r="1137" ht="16.5" spans="1:5">
      <c r="A1137" s="151">
        <v>1136</v>
      </c>
      <c r="B1137" s="152" t="s">
        <v>3871</v>
      </c>
      <c r="C1137" s="153" t="s">
        <v>16629</v>
      </c>
      <c r="D1137" s="158">
        <v>10</v>
      </c>
      <c r="E1137" s="155">
        <f t="shared" si="42"/>
        <v>1000</v>
      </c>
    </row>
    <row r="1138" ht="16.5" spans="1:5">
      <c r="A1138" s="151">
        <v>1137</v>
      </c>
      <c r="B1138" s="152" t="s">
        <v>3875</v>
      </c>
      <c r="C1138" s="156" t="s">
        <v>16629</v>
      </c>
      <c r="D1138" s="159">
        <v>10</v>
      </c>
      <c r="E1138" s="155">
        <f t="shared" si="42"/>
        <v>1000</v>
      </c>
    </row>
    <row r="1139" ht="16.5" spans="1:5">
      <c r="A1139" s="151">
        <v>1138</v>
      </c>
      <c r="B1139" s="152" t="s">
        <v>3879</v>
      </c>
      <c r="C1139" s="156" t="s">
        <v>16629</v>
      </c>
      <c r="D1139" s="158">
        <v>10</v>
      </c>
      <c r="E1139" s="155">
        <f t="shared" si="42"/>
        <v>1000</v>
      </c>
    </row>
    <row r="1140" ht="16.5" spans="1:5">
      <c r="A1140" s="151">
        <v>1139</v>
      </c>
      <c r="B1140" s="152" t="s">
        <v>3882</v>
      </c>
      <c r="C1140" s="156" t="s">
        <v>16629</v>
      </c>
      <c r="D1140" s="159">
        <v>10</v>
      </c>
      <c r="E1140" s="155">
        <f t="shared" si="42"/>
        <v>1000</v>
      </c>
    </row>
    <row r="1141" ht="16.5" spans="1:5">
      <c r="A1141" s="151">
        <v>1140</v>
      </c>
      <c r="B1141" s="152" t="s">
        <v>3885</v>
      </c>
      <c r="C1141" s="153" t="s">
        <v>16629</v>
      </c>
      <c r="D1141" s="158">
        <v>10</v>
      </c>
      <c r="E1141" s="155">
        <f t="shared" si="42"/>
        <v>1000</v>
      </c>
    </row>
    <row r="1142" ht="16.5" spans="1:5">
      <c r="A1142" s="151">
        <v>1141</v>
      </c>
      <c r="B1142" s="152" t="s">
        <v>3888</v>
      </c>
      <c r="C1142" s="153" t="s">
        <v>16629</v>
      </c>
      <c r="D1142" s="158">
        <v>10</v>
      </c>
      <c r="E1142" s="155">
        <f t="shared" si="42"/>
        <v>1000</v>
      </c>
    </row>
    <row r="1143" ht="16.5" spans="1:5">
      <c r="A1143" s="151">
        <v>1142</v>
      </c>
      <c r="B1143" s="152" t="s">
        <v>3891</v>
      </c>
      <c r="C1143" s="156" t="s">
        <v>16629</v>
      </c>
      <c r="D1143" s="157">
        <v>10</v>
      </c>
      <c r="E1143" s="155">
        <f t="shared" si="42"/>
        <v>1000</v>
      </c>
    </row>
    <row r="1144" ht="16.5" spans="1:5">
      <c r="A1144" s="151">
        <v>1143</v>
      </c>
      <c r="B1144" s="152" t="s">
        <v>3894</v>
      </c>
      <c r="C1144" s="153" t="s">
        <v>16629</v>
      </c>
      <c r="D1144" s="158">
        <v>10</v>
      </c>
      <c r="E1144" s="155">
        <f t="shared" si="42"/>
        <v>1000</v>
      </c>
    </row>
    <row r="1145" ht="16.5" spans="1:5">
      <c r="A1145" s="151">
        <v>1144</v>
      </c>
      <c r="B1145" s="152" t="s">
        <v>3897</v>
      </c>
      <c r="C1145" s="153" t="s">
        <v>16629</v>
      </c>
      <c r="D1145" s="158">
        <v>10</v>
      </c>
      <c r="E1145" s="155">
        <f t="shared" si="42"/>
        <v>1000</v>
      </c>
    </row>
    <row r="1146" ht="16.5" spans="1:5">
      <c r="A1146" s="151">
        <v>1145</v>
      </c>
      <c r="B1146" s="152" t="s">
        <v>3900</v>
      </c>
      <c r="C1146" s="153" t="s">
        <v>16629</v>
      </c>
      <c r="D1146" s="158">
        <v>10</v>
      </c>
      <c r="E1146" s="155">
        <f t="shared" si="42"/>
        <v>1000</v>
      </c>
    </row>
    <row r="1147" ht="16.5" spans="1:5">
      <c r="A1147" s="151">
        <v>1146</v>
      </c>
      <c r="B1147" s="152" t="s">
        <v>3903</v>
      </c>
      <c r="C1147" s="153" t="s">
        <v>16629</v>
      </c>
      <c r="D1147" s="158">
        <v>10</v>
      </c>
      <c r="E1147" s="155">
        <f t="shared" si="42"/>
        <v>1000</v>
      </c>
    </row>
    <row r="1148" ht="16.5" spans="1:5">
      <c r="A1148" s="151">
        <v>1147</v>
      </c>
      <c r="B1148" s="152" t="s">
        <v>3907</v>
      </c>
      <c r="C1148" s="162" t="s">
        <v>16631</v>
      </c>
      <c r="D1148" s="163">
        <v>1000</v>
      </c>
      <c r="E1148" s="163">
        <f>D1148*100</f>
        <v>100000</v>
      </c>
    </row>
    <row r="1149" ht="16.5" spans="1:5">
      <c r="A1149" s="151">
        <v>1148</v>
      </c>
      <c r="B1149" s="152" t="s">
        <v>3911</v>
      </c>
      <c r="C1149" s="160" t="s">
        <v>16630</v>
      </c>
      <c r="D1149" s="160">
        <v>25</v>
      </c>
      <c r="E1149" s="161">
        <f>SUM(D1149*100)</f>
        <v>2500</v>
      </c>
    </row>
    <row r="1150" ht="16.5" spans="1:5">
      <c r="A1150" s="151">
        <v>1149</v>
      </c>
      <c r="B1150" s="152" t="s">
        <v>3915</v>
      </c>
      <c r="C1150" s="166" t="s">
        <v>16632</v>
      </c>
      <c r="D1150" s="166">
        <f>IFERROR(__xludf.DUMMYFUNCTION("""COMPUTED_VALUE"""),10000)</f>
        <v>10000</v>
      </c>
      <c r="E1150" s="168">
        <f>IFERROR(__xludf.DUMMYFUNCTION("""COMPUTED_VALUE"""),1500000)</f>
        <v>1500000</v>
      </c>
    </row>
    <row r="1151" ht="16.5" spans="1:5">
      <c r="A1151" s="151">
        <v>1150</v>
      </c>
      <c r="B1151" s="152" t="s">
        <v>3916</v>
      </c>
      <c r="C1151" s="153" t="s">
        <v>16629</v>
      </c>
      <c r="D1151" s="154">
        <v>10</v>
      </c>
      <c r="E1151" s="155">
        <f t="shared" ref="E1151:E1170" si="43">+D1151*100</f>
        <v>1000</v>
      </c>
    </row>
    <row r="1152" ht="16.5" spans="1:5">
      <c r="A1152" s="151">
        <v>1151</v>
      </c>
      <c r="B1152" s="152" t="s">
        <v>3919</v>
      </c>
      <c r="C1152" s="153" t="s">
        <v>16629</v>
      </c>
      <c r="D1152" s="154">
        <v>10</v>
      </c>
      <c r="E1152" s="155">
        <f t="shared" si="43"/>
        <v>1000</v>
      </c>
    </row>
    <row r="1153" ht="16.5" spans="1:5">
      <c r="A1153" s="151">
        <v>1152</v>
      </c>
      <c r="B1153" s="152" t="s">
        <v>3922</v>
      </c>
      <c r="C1153" s="156" t="s">
        <v>16629</v>
      </c>
      <c r="D1153" s="159">
        <v>10</v>
      </c>
      <c r="E1153" s="155">
        <f t="shared" si="43"/>
        <v>1000</v>
      </c>
    </row>
    <row r="1154" ht="16.5" spans="1:5">
      <c r="A1154" s="151">
        <v>1153</v>
      </c>
      <c r="B1154" s="152" t="s">
        <v>3925</v>
      </c>
      <c r="C1154" s="153" t="s">
        <v>16629</v>
      </c>
      <c r="D1154" s="154">
        <v>10</v>
      </c>
      <c r="E1154" s="155">
        <f t="shared" si="43"/>
        <v>1000</v>
      </c>
    </row>
    <row r="1155" ht="16.5" spans="1:5">
      <c r="A1155" s="151">
        <v>1154</v>
      </c>
      <c r="B1155" s="152" t="s">
        <v>3928</v>
      </c>
      <c r="C1155" s="156" t="s">
        <v>16629</v>
      </c>
      <c r="D1155" s="159">
        <v>10</v>
      </c>
      <c r="E1155" s="155">
        <f t="shared" si="43"/>
        <v>1000</v>
      </c>
    </row>
    <row r="1156" ht="16.5" spans="1:5">
      <c r="A1156" s="151">
        <v>1155</v>
      </c>
      <c r="B1156" s="152" t="s">
        <v>3931</v>
      </c>
      <c r="C1156" s="153" t="s">
        <v>16629</v>
      </c>
      <c r="D1156" s="154">
        <v>10</v>
      </c>
      <c r="E1156" s="155">
        <f t="shared" si="43"/>
        <v>1000</v>
      </c>
    </row>
    <row r="1157" ht="16.5" spans="1:5">
      <c r="A1157" s="151">
        <v>1156</v>
      </c>
      <c r="B1157" s="152" t="s">
        <v>3934</v>
      </c>
      <c r="C1157" s="156" t="s">
        <v>16629</v>
      </c>
      <c r="D1157" s="159">
        <v>10</v>
      </c>
      <c r="E1157" s="155">
        <f t="shared" si="43"/>
        <v>1000</v>
      </c>
    </row>
    <row r="1158" ht="16.5" spans="1:5">
      <c r="A1158" s="151">
        <v>1157</v>
      </c>
      <c r="B1158" s="152" t="s">
        <v>3937</v>
      </c>
      <c r="C1158" s="156" t="s">
        <v>16629</v>
      </c>
      <c r="D1158" s="159">
        <v>10</v>
      </c>
      <c r="E1158" s="155">
        <f t="shared" si="43"/>
        <v>1000</v>
      </c>
    </row>
    <row r="1159" ht="16.5" spans="1:5">
      <c r="A1159" s="151">
        <v>1158</v>
      </c>
      <c r="B1159" s="152" t="s">
        <v>3941</v>
      </c>
      <c r="C1159" s="156" t="s">
        <v>16629</v>
      </c>
      <c r="D1159" s="157">
        <v>10</v>
      </c>
      <c r="E1159" s="155">
        <f t="shared" si="43"/>
        <v>1000</v>
      </c>
    </row>
    <row r="1160" ht="16.5" spans="1:5">
      <c r="A1160" s="151">
        <v>1159</v>
      </c>
      <c r="B1160" s="152" t="s">
        <v>3944</v>
      </c>
      <c r="C1160" s="153" t="s">
        <v>16629</v>
      </c>
      <c r="D1160" s="154">
        <v>10</v>
      </c>
      <c r="E1160" s="155">
        <f t="shared" si="43"/>
        <v>1000</v>
      </c>
    </row>
    <row r="1161" ht="16.5" spans="1:5">
      <c r="A1161" s="151">
        <v>1160</v>
      </c>
      <c r="B1161" s="152" t="s">
        <v>3947</v>
      </c>
      <c r="C1161" s="156" t="s">
        <v>16629</v>
      </c>
      <c r="D1161" s="157">
        <v>10</v>
      </c>
      <c r="E1161" s="155">
        <f t="shared" si="43"/>
        <v>1000</v>
      </c>
    </row>
    <row r="1162" ht="16.5" spans="1:5">
      <c r="A1162" s="151">
        <v>1161</v>
      </c>
      <c r="B1162" s="152" t="s">
        <v>3950</v>
      </c>
      <c r="C1162" s="156" t="s">
        <v>16629</v>
      </c>
      <c r="D1162" s="159">
        <v>10</v>
      </c>
      <c r="E1162" s="155">
        <f t="shared" si="43"/>
        <v>1000</v>
      </c>
    </row>
    <row r="1163" ht="16.5" spans="1:5">
      <c r="A1163" s="151">
        <v>1162</v>
      </c>
      <c r="B1163" s="152" t="s">
        <v>3953</v>
      </c>
      <c r="C1163" s="156" t="s">
        <v>16629</v>
      </c>
      <c r="D1163" s="154">
        <v>10</v>
      </c>
      <c r="E1163" s="155">
        <f t="shared" si="43"/>
        <v>1000</v>
      </c>
    </row>
    <row r="1164" ht="16.5" spans="1:5">
      <c r="A1164" s="151">
        <v>1163</v>
      </c>
      <c r="B1164" s="152" t="s">
        <v>3956</v>
      </c>
      <c r="C1164" s="153" t="s">
        <v>16629</v>
      </c>
      <c r="D1164" s="154">
        <v>10</v>
      </c>
      <c r="E1164" s="155">
        <f t="shared" si="43"/>
        <v>1000</v>
      </c>
    </row>
    <row r="1165" ht="16.5" spans="1:5">
      <c r="A1165" s="151">
        <v>1164</v>
      </c>
      <c r="B1165" s="152" t="s">
        <v>3960</v>
      </c>
      <c r="C1165" s="153" t="s">
        <v>16629</v>
      </c>
      <c r="D1165" s="154">
        <v>10</v>
      </c>
      <c r="E1165" s="155">
        <f t="shared" si="43"/>
        <v>1000</v>
      </c>
    </row>
    <row r="1166" ht="16.5" spans="1:5">
      <c r="A1166" s="151">
        <v>1165</v>
      </c>
      <c r="B1166" s="152" t="s">
        <v>3964</v>
      </c>
      <c r="C1166" s="153" t="s">
        <v>16629</v>
      </c>
      <c r="D1166" s="154">
        <v>40</v>
      </c>
      <c r="E1166" s="155">
        <f t="shared" si="43"/>
        <v>4000</v>
      </c>
    </row>
    <row r="1167" ht="16.5" spans="1:5">
      <c r="A1167" s="151">
        <v>1166</v>
      </c>
      <c r="B1167" s="152" t="s">
        <v>3968</v>
      </c>
      <c r="C1167" s="153" t="s">
        <v>16629</v>
      </c>
      <c r="D1167" s="158">
        <v>10</v>
      </c>
      <c r="E1167" s="155">
        <f t="shared" si="43"/>
        <v>1000</v>
      </c>
    </row>
    <row r="1168" ht="16.5" spans="1:5">
      <c r="A1168" s="151">
        <v>1167</v>
      </c>
      <c r="B1168" s="152" t="s">
        <v>3971</v>
      </c>
      <c r="C1168" s="153" t="s">
        <v>16629</v>
      </c>
      <c r="D1168" s="154">
        <v>10</v>
      </c>
      <c r="E1168" s="155">
        <f t="shared" si="43"/>
        <v>1000</v>
      </c>
    </row>
    <row r="1169" ht="16.5" spans="1:5">
      <c r="A1169" s="151">
        <v>1168</v>
      </c>
      <c r="B1169" s="152" t="s">
        <v>3975</v>
      </c>
      <c r="C1169" s="153" t="s">
        <v>16629</v>
      </c>
      <c r="D1169" s="154">
        <v>10</v>
      </c>
      <c r="E1169" s="155">
        <f t="shared" si="43"/>
        <v>1000</v>
      </c>
    </row>
    <row r="1170" ht="16.5" spans="1:5">
      <c r="A1170" s="151">
        <v>1169</v>
      </c>
      <c r="B1170" s="152" t="s">
        <v>3979</v>
      </c>
      <c r="C1170" s="153" t="s">
        <v>16629</v>
      </c>
      <c r="D1170" s="158">
        <v>10</v>
      </c>
      <c r="E1170" s="155">
        <f t="shared" si="43"/>
        <v>1000</v>
      </c>
    </row>
    <row r="1171" ht="16.5" spans="1:5">
      <c r="A1171" s="151">
        <v>1170</v>
      </c>
      <c r="B1171" s="152" t="s">
        <v>3982</v>
      </c>
      <c r="C1171" s="162" t="s">
        <v>16631</v>
      </c>
      <c r="D1171" s="163">
        <v>1000</v>
      </c>
      <c r="E1171" s="163">
        <f>D1171*100</f>
        <v>100000</v>
      </c>
    </row>
    <row r="1172" ht="16.5" spans="1:5">
      <c r="A1172" s="151">
        <v>1171</v>
      </c>
      <c r="B1172" s="152" t="s">
        <v>3987</v>
      </c>
      <c r="C1172" s="160" t="s">
        <v>16630</v>
      </c>
      <c r="D1172" s="41">
        <v>200</v>
      </c>
      <c r="E1172" s="161">
        <f>SUM(D1172*100)</f>
        <v>20000</v>
      </c>
    </row>
    <row r="1173" ht="16.5" spans="1:5">
      <c r="A1173" s="151">
        <v>1172</v>
      </c>
      <c r="B1173" s="152" t="s">
        <v>3990</v>
      </c>
      <c r="C1173" s="153" t="s">
        <v>16629</v>
      </c>
      <c r="D1173" s="158">
        <v>10</v>
      </c>
      <c r="E1173" s="155">
        <f>+D1173*100</f>
        <v>1000</v>
      </c>
    </row>
    <row r="1174" ht="16.5" spans="1:5">
      <c r="A1174" s="151">
        <v>1173</v>
      </c>
      <c r="B1174" s="152" t="s">
        <v>3993</v>
      </c>
      <c r="C1174" s="160" t="s">
        <v>16630</v>
      </c>
      <c r="D1174" s="160">
        <v>10</v>
      </c>
      <c r="E1174" s="161">
        <f>SUM(D1174*100)</f>
        <v>1000</v>
      </c>
    </row>
    <row r="1175" ht="16.5" spans="1:5">
      <c r="A1175" s="151">
        <v>1174</v>
      </c>
      <c r="B1175" s="152" t="s">
        <v>3997</v>
      </c>
      <c r="C1175" s="156" t="s">
        <v>16629</v>
      </c>
      <c r="D1175" s="159">
        <v>10</v>
      </c>
      <c r="E1175" s="155">
        <f>+D1175*100</f>
        <v>1000</v>
      </c>
    </row>
    <row r="1176" ht="16.5" spans="1:5">
      <c r="A1176" s="151">
        <v>1175</v>
      </c>
      <c r="B1176" s="152" t="s">
        <v>4001</v>
      </c>
      <c r="C1176" s="153" t="s">
        <v>16629</v>
      </c>
      <c r="D1176" s="158">
        <v>10</v>
      </c>
      <c r="E1176" s="155">
        <f>+D1176*100</f>
        <v>1000</v>
      </c>
    </row>
    <row r="1177" ht="16.5" spans="1:5">
      <c r="A1177" s="151">
        <v>1176</v>
      </c>
      <c r="B1177" s="152" t="s">
        <v>4004</v>
      </c>
      <c r="C1177" s="156" t="s">
        <v>16629</v>
      </c>
      <c r="D1177" s="154">
        <v>10</v>
      </c>
      <c r="E1177" s="155">
        <f>+D1177*100</f>
        <v>1000</v>
      </c>
    </row>
    <row r="1178" ht="16.5" spans="1:5">
      <c r="A1178" s="151">
        <v>1177</v>
      </c>
      <c r="B1178" s="152" t="s">
        <v>4007</v>
      </c>
      <c r="C1178" s="160" t="s">
        <v>16630</v>
      </c>
      <c r="D1178" s="165">
        <v>100</v>
      </c>
      <c r="E1178" s="161">
        <f>SUM(D1178*100)</f>
        <v>10000</v>
      </c>
    </row>
    <row r="1179" ht="16.5" spans="1:5">
      <c r="A1179" s="151">
        <v>1178</v>
      </c>
      <c r="B1179" s="152" t="s">
        <v>4010</v>
      </c>
      <c r="C1179" s="153" t="s">
        <v>16629</v>
      </c>
      <c r="D1179" s="154">
        <v>10</v>
      </c>
      <c r="E1179" s="155">
        <f>+D1179*100</f>
        <v>1000</v>
      </c>
    </row>
    <row r="1180" ht="16.5" spans="1:5">
      <c r="A1180" s="151">
        <v>1179</v>
      </c>
      <c r="B1180" s="152" t="s">
        <v>4013</v>
      </c>
      <c r="C1180" s="153" t="s">
        <v>16629</v>
      </c>
      <c r="D1180" s="158">
        <v>10</v>
      </c>
      <c r="E1180" s="155">
        <f>+D1180*100</f>
        <v>1000</v>
      </c>
    </row>
    <row r="1181" ht="16.5" spans="1:5">
      <c r="A1181" s="151">
        <v>1180</v>
      </c>
      <c r="B1181" s="152" t="s">
        <v>4016</v>
      </c>
      <c r="C1181" s="153" t="s">
        <v>16629</v>
      </c>
      <c r="D1181" s="158">
        <v>10</v>
      </c>
      <c r="E1181" s="155">
        <f>+D1181*100</f>
        <v>1000</v>
      </c>
    </row>
    <row r="1182" ht="16.5" spans="1:5">
      <c r="A1182" s="151">
        <v>1181</v>
      </c>
      <c r="B1182" s="152" t="s">
        <v>4019</v>
      </c>
      <c r="C1182" s="153" t="s">
        <v>16629</v>
      </c>
      <c r="D1182" s="154">
        <v>50</v>
      </c>
      <c r="E1182" s="155">
        <f>+D1182*100</f>
        <v>5000</v>
      </c>
    </row>
    <row r="1183" ht="16.5" spans="1:5">
      <c r="A1183" s="151">
        <v>1182</v>
      </c>
      <c r="B1183" s="152" t="s">
        <v>4023</v>
      </c>
      <c r="C1183" s="153" t="s">
        <v>16629</v>
      </c>
      <c r="D1183" s="158">
        <v>10</v>
      </c>
      <c r="E1183" s="155">
        <f>+D1183*100</f>
        <v>1000</v>
      </c>
    </row>
    <row r="1184" ht="16.5" spans="1:5">
      <c r="A1184" s="151">
        <v>1183</v>
      </c>
      <c r="B1184" s="152" t="s">
        <v>4026</v>
      </c>
      <c r="C1184" s="160" t="s">
        <v>16630</v>
      </c>
      <c r="D1184" s="160">
        <v>50</v>
      </c>
      <c r="E1184" s="161">
        <f>SUM(D1184*100)</f>
        <v>5000</v>
      </c>
    </row>
    <row r="1185" ht="16.5" spans="1:5">
      <c r="A1185" s="151">
        <v>1184</v>
      </c>
      <c r="B1185" s="152" t="s">
        <v>4029</v>
      </c>
      <c r="C1185" s="153" t="s">
        <v>16629</v>
      </c>
      <c r="D1185" s="154">
        <v>10</v>
      </c>
      <c r="E1185" s="155">
        <f t="shared" ref="E1185:E1191" si="44">+D1185*100</f>
        <v>1000</v>
      </c>
    </row>
    <row r="1186" ht="16.5" spans="1:5">
      <c r="A1186" s="151">
        <v>1185</v>
      </c>
      <c r="B1186" s="152" t="s">
        <v>4032</v>
      </c>
      <c r="C1186" s="156" t="s">
        <v>16629</v>
      </c>
      <c r="D1186" s="159">
        <v>10</v>
      </c>
      <c r="E1186" s="155">
        <f t="shared" si="44"/>
        <v>1000</v>
      </c>
    </row>
    <row r="1187" ht="16.5" spans="1:5">
      <c r="A1187" s="151">
        <v>1186</v>
      </c>
      <c r="B1187" s="152" t="s">
        <v>4035</v>
      </c>
      <c r="C1187" s="156" t="s">
        <v>16629</v>
      </c>
      <c r="D1187" s="159">
        <v>10</v>
      </c>
      <c r="E1187" s="155">
        <f t="shared" si="44"/>
        <v>1000</v>
      </c>
    </row>
    <row r="1188" ht="16.5" spans="1:5">
      <c r="A1188" s="151">
        <v>1187</v>
      </c>
      <c r="B1188" s="152" t="s">
        <v>4038</v>
      </c>
      <c r="C1188" s="153" t="s">
        <v>16629</v>
      </c>
      <c r="D1188" s="154">
        <v>10</v>
      </c>
      <c r="E1188" s="155">
        <f t="shared" si="44"/>
        <v>1000</v>
      </c>
    </row>
    <row r="1189" ht="16.5" spans="1:5">
      <c r="A1189" s="151">
        <v>1188</v>
      </c>
      <c r="B1189" s="152" t="s">
        <v>4041</v>
      </c>
      <c r="C1189" s="153" t="s">
        <v>16629</v>
      </c>
      <c r="D1189" s="154">
        <v>10</v>
      </c>
      <c r="E1189" s="155">
        <f t="shared" si="44"/>
        <v>1000</v>
      </c>
    </row>
    <row r="1190" ht="16.5" spans="1:5">
      <c r="A1190" s="151">
        <v>1189</v>
      </c>
      <c r="B1190" s="152" t="s">
        <v>4044</v>
      </c>
      <c r="C1190" s="153" t="s">
        <v>16629</v>
      </c>
      <c r="D1190" s="154">
        <v>10</v>
      </c>
      <c r="E1190" s="155">
        <f t="shared" si="44"/>
        <v>1000</v>
      </c>
    </row>
    <row r="1191" ht="16.5" spans="1:5">
      <c r="A1191" s="151">
        <v>1190</v>
      </c>
      <c r="B1191" s="152" t="s">
        <v>4046</v>
      </c>
      <c r="C1191" s="153" t="s">
        <v>16629</v>
      </c>
      <c r="D1191" s="154">
        <v>30</v>
      </c>
      <c r="E1191" s="155">
        <f t="shared" si="44"/>
        <v>3000</v>
      </c>
    </row>
    <row r="1192" ht="16.5" spans="1:5">
      <c r="A1192" s="151">
        <v>1191</v>
      </c>
      <c r="B1192" s="152" t="s">
        <v>4050</v>
      </c>
      <c r="C1192" s="166" t="s">
        <v>16632</v>
      </c>
      <c r="D1192" s="166">
        <f>IFERROR(__xludf.DUMMYFUNCTION("""COMPUTED_VALUE"""),10000)</f>
        <v>10000</v>
      </c>
      <c r="E1192" s="168">
        <f>IFERROR(__xludf.DUMMYFUNCTION("""COMPUTED_VALUE"""),1500000)</f>
        <v>1500000</v>
      </c>
    </row>
    <row r="1193" ht="16.5" spans="1:5">
      <c r="A1193" s="151">
        <v>1192</v>
      </c>
      <c r="B1193" s="152" t="s">
        <v>4050</v>
      </c>
      <c r="C1193" s="166" t="s">
        <v>16632</v>
      </c>
      <c r="D1193" s="166">
        <f>IFERROR(__xludf.DUMMYFUNCTION("""COMPUTED_VALUE"""),10000)</f>
        <v>10000</v>
      </c>
      <c r="E1193" s="168">
        <f>IFERROR(__xludf.DUMMYFUNCTION("""COMPUTED_VALUE"""),1500000)</f>
        <v>1500000</v>
      </c>
    </row>
    <row r="1194" ht="16.5" spans="1:5">
      <c r="A1194" s="151">
        <v>1193</v>
      </c>
      <c r="B1194" s="152" t="s">
        <v>4051</v>
      </c>
      <c r="C1194" s="156" t="s">
        <v>16629</v>
      </c>
      <c r="D1194" s="159">
        <v>10</v>
      </c>
      <c r="E1194" s="155">
        <f>+D1194*100</f>
        <v>1000</v>
      </c>
    </row>
    <row r="1195" ht="16.5" spans="1:5">
      <c r="A1195" s="151">
        <v>1194</v>
      </c>
      <c r="B1195" s="152" t="s">
        <v>4055</v>
      </c>
      <c r="C1195" s="153" t="s">
        <v>16629</v>
      </c>
      <c r="D1195" s="154">
        <v>10</v>
      </c>
      <c r="E1195" s="155">
        <f>+D1195*100</f>
        <v>1000</v>
      </c>
    </row>
    <row r="1196" ht="16.5" spans="1:5">
      <c r="A1196" s="151">
        <v>1195</v>
      </c>
      <c r="B1196" s="152" t="s">
        <v>4059</v>
      </c>
      <c r="C1196" s="160" t="s">
        <v>16630</v>
      </c>
      <c r="D1196" s="175">
        <v>10</v>
      </c>
      <c r="E1196" s="161">
        <f>SUM(D1196*100)</f>
        <v>1000</v>
      </c>
    </row>
    <row r="1197" ht="16.5" spans="1:5">
      <c r="A1197" s="151">
        <v>1196</v>
      </c>
      <c r="B1197" s="152" t="s">
        <v>4062</v>
      </c>
      <c r="C1197" s="156" t="s">
        <v>16629</v>
      </c>
      <c r="D1197" s="154">
        <v>10</v>
      </c>
      <c r="E1197" s="155">
        <f t="shared" ref="E1197:E1211" si="45">+D1197*100</f>
        <v>1000</v>
      </c>
    </row>
    <row r="1198" ht="16.5" spans="1:5">
      <c r="A1198" s="151">
        <v>1197</v>
      </c>
      <c r="B1198" s="152" t="s">
        <v>4066</v>
      </c>
      <c r="C1198" s="153" t="s">
        <v>16629</v>
      </c>
      <c r="D1198" s="154">
        <v>10</v>
      </c>
      <c r="E1198" s="155">
        <f t="shared" si="45"/>
        <v>1000</v>
      </c>
    </row>
    <row r="1199" ht="16.5" spans="1:5">
      <c r="A1199" s="151">
        <v>1198</v>
      </c>
      <c r="B1199" s="152" t="s">
        <v>4069</v>
      </c>
      <c r="C1199" s="156" t="s">
        <v>16629</v>
      </c>
      <c r="D1199" s="157">
        <v>10</v>
      </c>
      <c r="E1199" s="155">
        <f t="shared" si="45"/>
        <v>1000</v>
      </c>
    </row>
    <row r="1200" ht="16.5" spans="1:5">
      <c r="A1200" s="151">
        <v>1199</v>
      </c>
      <c r="B1200" s="152" t="s">
        <v>4072</v>
      </c>
      <c r="C1200" s="156" t="s">
        <v>16629</v>
      </c>
      <c r="D1200" s="159">
        <v>10</v>
      </c>
      <c r="E1200" s="155">
        <f t="shared" si="45"/>
        <v>1000</v>
      </c>
    </row>
    <row r="1201" ht="16.5" spans="1:5">
      <c r="A1201" s="151">
        <v>1200</v>
      </c>
      <c r="B1201" s="152" t="s">
        <v>4075</v>
      </c>
      <c r="C1201" s="153" t="s">
        <v>16629</v>
      </c>
      <c r="D1201" s="154">
        <v>10</v>
      </c>
      <c r="E1201" s="155">
        <f t="shared" si="45"/>
        <v>1000</v>
      </c>
    </row>
    <row r="1202" ht="16.5" spans="1:5">
      <c r="A1202" s="151">
        <v>1201</v>
      </c>
      <c r="B1202" s="152" t="s">
        <v>4078</v>
      </c>
      <c r="C1202" s="156" t="s">
        <v>16629</v>
      </c>
      <c r="D1202" s="159">
        <v>10</v>
      </c>
      <c r="E1202" s="155">
        <f t="shared" si="45"/>
        <v>1000</v>
      </c>
    </row>
    <row r="1203" ht="16.5" spans="1:5">
      <c r="A1203" s="151">
        <v>1202</v>
      </c>
      <c r="B1203" s="152" t="s">
        <v>4081</v>
      </c>
      <c r="C1203" s="156" t="s">
        <v>16629</v>
      </c>
      <c r="D1203" s="159">
        <v>10</v>
      </c>
      <c r="E1203" s="155">
        <f t="shared" si="45"/>
        <v>1000</v>
      </c>
    </row>
    <row r="1204" ht="16.5" spans="1:5">
      <c r="A1204" s="151">
        <v>1203</v>
      </c>
      <c r="B1204" s="152" t="s">
        <v>4084</v>
      </c>
      <c r="C1204" s="156" t="s">
        <v>16629</v>
      </c>
      <c r="D1204" s="159">
        <v>10</v>
      </c>
      <c r="E1204" s="155">
        <f t="shared" si="45"/>
        <v>1000</v>
      </c>
    </row>
    <row r="1205" ht="16.5" spans="1:5">
      <c r="A1205" s="151">
        <v>1204</v>
      </c>
      <c r="B1205" s="152" t="s">
        <v>4087</v>
      </c>
      <c r="C1205" s="153" t="s">
        <v>16629</v>
      </c>
      <c r="D1205" s="158">
        <v>10</v>
      </c>
      <c r="E1205" s="155">
        <f t="shared" si="45"/>
        <v>1000</v>
      </c>
    </row>
    <row r="1206" ht="16.5" spans="1:5">
      <c r="A1206" s="151">
        <v>1205</v>
      </c>
      <c r="B1206" s="152" t="s">
        <v>4090</v>
      </c>
      <c r="C1206" s="153" t="s">
        <v>16629</v>
      </c>
      <c r="D1206" s="154">
        <v>10</v>
      </c>
      <c r="E1206" s="155">
        <f t="shared" si="45"/>
        <v>1000</v>
      </c>
    </row>
    <row r="1207" ht="16.5" spans="1:5">
      <c r="A1207" s="151">
        <v>1206</v>
      </c>
      <c r="B1207" s="152" t="s">
        <v>4094</v>
      </c>
      <c r="C1207" s="153" t="s">
        <v>16629</v>
      </c>
      <c r="D1207" s="158">
        <v>10</v>
      </c>
      <c r="E1207" s="155">
        <f t="shared" si="45"/>
        <v>1000</v>
      </c>
    </row>
    <row r="1208" ht="16.5" spans="1:5">
      <c r="A1208" s="151">
        <v>1207</v>
      </c>
      <c r="B1208" s="152" t="s">
        <v>4097</v>
      </c>
      <c r="C1208" s="156" t="s">
        <v>16629</v>
      </c>
      <c r="D1208" s="159">
        <v>10</v>
      </c>
      <c r="E1208" s="155">
        <f t="shared" si="45"/>
        <v>1000</v>
      </c>
    </row>
    <row r="1209" ht="16.5" spans="1:5">
      <c r="A1209" s="151">
        <v>1208</v>
      </c>
      <c r="B1209" s="152" t="s">
        <v>4101</v>
      </c>
      <c r="C1209" s="156" t="s">
        <v>16629</v>
      </c>
      <c r="D1209" s="157">
        <v>10</v>
      </c>
      <c r="E1209" s="155">
        <f t="shared" si="45"/>
        <v>1000</v>
      </c>
    </row>
    <row r="1210" ht="16.5" spans="1:5">
      <c r="A1210" s="151">
        <v>1209</v>
      </c>
      <c r="B1210" s="152" t="s">
        <v>4104</v>
      </c>
      <c r="C1210" s="153" t="s">
        <v>16629</v>
      </c>
      <c r="D1210" s="158">
        <v>10</v>
      </c>
      <c r="E1210" s="155">
        <f t="shared" si="45"/>
        <v>1000</v>
      </c>
    </row>
    <row r="1211" ht="16.5" spans="1:5">
      <c r="A1211" s="151">
        <v>1210</v>
      </c>
      <c r="B1211" s="152" t="s">
        <v>4107</v>
      </c>
      <c r="C1211" s="156" t="s">
        <v>16629</v>
      </c>
      <c r="D1211" s="159">
        <v>10</v>
      </c>
      <c r="E1211" s="155">
        <f t="shared" si="45"/>
        <v>1000</v>
      </c>
    </row>
    <row r="1212" ht="16.5" spans="1:5">
      <c r="A1212" s="151">
        <v>1211</v>
      </c>
      <c r="B1212" s="152" t="s">
        <v>4110</v>
      </c>
      <c r="C1212" s="160" t="s">
        <v>16630</v>
      </c>
      <c r="D1212" s="175">
        <v>10</v>
      </c>
      <c r="E1212" s="161">
        <f>SUM(D1212*100)</f>
        <v>1000</v>
      </c>
    </row>
    <row r="1213" ht="16.5" spans="1:5">
      <c r="A1213" s="151">
        <v>1212</v>
      </c>
      <c r="B1213" s="152" t="s">
        <v>4113</v>
      </c>
      <c r="C1213" s="153" t="s">
        <v>16629</v>
      </c>
      <c r="D1213" s="154">
        <v>10</v>
      </c>
      <c r="E1213" s="155">
        <f>+D1213*100</f>
        <v>1000</v>
      </c>
    </row>
    <row r="1214" ht="16.5" spans="1:5">
      <c r="A1214" s="151">
        <v>1213</v>
      </c>
      <c r="B1214" s="152" t="s">
        <v>4116</v>
      </c>
      <c r="C1214" s="160" t="s">
        <v>16630</v>
      </c>
      <c r="D1214" s="175">
        <v>2000</v>
      </c>
      <c r="E1214" s="161">
        <f>SUM(D1214*100)</f>
        <v>200000</v>
      </c>
    </row>
    <row r="1215" ht="16.5" spans="1:5">
      <c r="A1215" s="151">
        <v>1214</v>
      </c>
      <c r="B1215" s="152" t="s">
        <v>4119</v>
      </c>
      <c r="C1215" s="153" t="s">
        <v>16629</v>
      </c>
      <c r="D1215" s="158">
        <v>10</v>
      </c>
      <c r="E1215" s="155">
        <f>+D1215*100</f>
        <v>1000</v>
      </c>
    </row>
    <row r="1216" ht="16.5" spans="1:5">
      <c r="A1216" s="151">
        <v>1215</v>
      </c>
      <c r="B1216" s="152" t="s">
        <v>4122</v>
      </c>
      <c r="C1216" s="156" t="s">
        <v>16629</v>
      </c>
      <c r="D1216" s="157">
        <v>10</v>
      </c>
      <c r="E1216" s="155">
        <f>+D1216*100</f>
        <v>1000</v>
      </c>
    </row>
    <row r="1217" ht="16.5" spans="1:5">
      <c r="A1217" s="151">
        <v>1216</v>
      </c>
      <c r="B1217" s="152" t="s">
        <v>4125</v>
      </c>
      <c r="C1217" s="160" t="s">
        <v>16630</v>
      </c>
      <c r="D1217" s="160">
        <v>10</v>
      </c>
      <c r="E1217" s="161">
        <f>SUM(D1217*100)</f>
        <v>1000</v>
      </c>
    </row>
    <row r="1218" ht="16.5" spans="1:5">
      <c r="A1218" s="151">
        <v>1217</v>
      </c>
      <c r="B1218" s="152" t="s">
        <v>4129</v>
      </c>
      <c r="C1218" s="160" t="s">
        <v>16630</v>
      </c>
      <c r="D1218" s="160">
        <v>100</v>
      </c>
      <c r="E1218" s="161">
        <f>SUM(D1218*100)</f>
        <v>10000</v>
      </c>
    </row>
    <row r="1219" ht="16.5" spans="1:5">
      <c r="A1219" s="151">
        <v>1218</v>
      </c>
      <c r="B1219" s="152" t="s">
        <v>4132</v>
      </c>
      <c r="C1219" s="156" t="s">
        <v>16629</v>
      </c>
      <c r="D1219" s="158">
        <v>10</v>
      </c>
      <c r="E1219" s="155">
        <f>+D1219*100</f>
        <v>1000</v>
      </c>
    </row>
    <row r="1220" ht="16.5" spans="1:5">
      <c r="A1220" s="151">
        <v>1219</v>
      </c>
      <c r="B1220" s="152" t="s">
        <v>4136</v>
      </c>
      <c r="C1220" s="153" t="s">
        <v>16629</v>
      </c>
      <c r="D1220" s="154">
        <v>10</v>
      </c>
      <c r="E1220" s="155">
        <f>+D1220*100</f>
        <v>1000</v>
      </c>
    </row>
    <row r="1221" ht="16.5" spans="1:5">
      <c r="A1221" s="151">
        <v>1220</v>
      </c>
      <c r="B1221" s="152" t="s">
        <v>4139</v>
      </c>
      <c r="C1221" s="156" t="s">
        <v>16629</v>
      </c>
      <c r="D1221" s="159">
        <v>10</v>
      </c>
      <c r="E1221" s="155">
        <f>+D1221*100</f>
        <v>1000</v>
      </c>
    </row>
    <row r="1222" ht="16.5" spans="1:5">
      <c r="A1222" s="151">
        <v>1221</v>
      </c>
      <c r="B1222" s="152" t="s">
        <v>4143</v>
      </c>
      <c r="C1222" s="156" t="s">
        <v>16629</v>
      </c>
      <c r="D1222" s="159">
        <v>10</v>
      </c>
      <c r="E1222" s="155">
        <f>+D1222*100</f>
        <v>1000</v>
      </c>
    </row>
    <row r="1223" ht="16.5" spans="1:5">
      <c r="A1223" s="151">
        <v>1222</v>
      </c>
      <c r="B1223" s="152" t="s">
        <v>4147</v>
      </c>
      <c r="C1223" s="153" t="s">
        <v>16629</v>
      </c>
      <c r="D1223" s="154">
        <v>10</v>
      </c>
      <c r="E1223" s="155">
        <f>+D1223*100</f>
        <v>1000</v>
      </c>
    </row>
    <row r="1224" ht="16.5" spans="1:5">
      <c r="A1224" s="151">
        <v>1223</v>
      </c>
      <c r="B1224" s="152" t="s">
        <v>4151</v>
      </c>
      <c r="C1224" s="166" t="s">
        <v>16632</v>
      </c>
      <c r="D1224" s="151">
        <f>IFERROR(__xludf.DUMMYFUNCTION("""COMPUTED_VALUE"""),10000)</f>
        <v>10000</v>
      </c>
      <c r="E1224" s="167">
        <f>IFERROR(__xludf.DUMMYFUNCTION("""COMPUTED_VALUE"""),1500000)</f>
        <v>1500000</v>
      </c>
    </row>
    <row r="1225" ht="16.5" spans="1:5">
      <c r="A1225" s="151">
        <v>1224</v>
      </c>
      <c r="B1225" s="152" t="s">
        <v>4152</v>
      </c>
      <c r="C1225" s="153" t="s">
        <v>16629</v>
      </c>
      <c r="D1225" s="154">
        <v>10</v>
      </c>
      <c r="E1225" s="155">
        <f>+D1225*100</f>
        <v>1000</v>
      </c>
    </row>
    <row r="1226" ht="16.5" spans="1:5">
      <c r="A1226" s="151">
        <v>1225</v>
      </c>
      <c r="B1226" s="152" t="s">
        <v>4155</v>
      </c>
      <c r="C1226" s="153" t="s">
        <v>16629</v>
      </c>
      <c r="D1226" s="154">
        <v>10</v>
      </c>
      <c r="E1226" s="155">
        <f>+D1226*100</f>
        <v>1000</v>
      </c>
    </row>
    <row r="1227" ht="16.5" spans="1:5">
      <c r="A1227" s="151">
        <v>1226</v>
      </c>
      <c r="B1227" s="152" t="s">
        <v>4158</v>
      </c>
      <c r="C1227" s="160" t="s">
        <v>16630</v>
      </c>
      <c r="D1227" s="165">
        <v>500</v>
      </c>
      <c r="E1227" s="161">
        <f>SUM(D1227*100)</f>
        <v>50000</v>
      </c>
    </row>
    <row r="1228" ht="16.5" spans="1:5">
      <c r="A1228" s="151">
        <v>1227</v>
      </c>
      <c r="B1228" s="152" t="s">
        <v>4161</v>
      </c>
      <c r="C1228" s="153" t="s">
        <v>16629</v>
      </c>
      <c r="D1228" s="154">
        <v>10</v>
      </c>
      <c r="E1228" s="155">
        <f>+D1228*100</f>
        <v>1000</v>
      </c>
    </row>
    <row r="1229" ht="16.5" spans="1:5">
      <c r="A1229" s="151">
        <v>1228</v>
      </c>
      <c r="B1229" s="152" t="s">
        <v>4164</v>
      </c>
      <c r="C1229" s="160" t="s">
        <v>16630</v>
      </c>
      <c r="D1229" s="160">
        <v>500</v>
      </c>
      <c r="E1229" s="161">
        <f>SUM(D1229*100)</f>
        <v>50000</v>
      </c>
    </row>
    <row r="1230" ht="16.5" spans="1:5">
      <c r="A1230" s="151">
        <v>1229</v>
      </c>
      <c r="B1230" s="152" t="s">
        <v>4167</v>
      </c>
      <c r="C1230" s="153" t="s">
        <v>16629</v>
      </c>
      <c r="D1230" s="154">
        <v>10</v>
      </c>
      <c r="E1230" s="155">
        <f>+D1230*100</f>
        <v>1000</v>
      </c>
    </row>
    <row r="1231" ht="16.5" spans="1:5">
      <c r="A1231" s="151">
        <v>1230</v>
      </c>
      <c r="B1231" s="152" t="s">
        <v>4171</v>
      </c>
      <c r="C1231" s="156" t="s">
        <v>16629</v>
      </c>
      <c r="D1231" s="159">
        <v>10</v>
      </c>
      <c r="E1231" s="155">
        <f>+D1231*100</f>
        <v>1000</v>
      </c>
    </row>
    <row r="1232" ht="16.5" spans="1:5">
      <c r="A1232" s="151">
        <v>1231</v>
      </c>
      <c r="B1232" s="152" t="s">
        <v>4175</v>
      </c>
      <c r="C1232" s="156" t="s">
        <v>16629</v>
      </c>
      <c r="D1232" s="159">
        <v>10</v>
      </c>
      <c r="E1232" s="155">
        <f>+D1232*100</f>
        <v>1000</v>
      </c>
    </row>
    <row r="1233" ht="16.5" spans="1:5">
      <c r="A1233" s="151">
        <v>1232</v>
      </c>
      <c r="B1233" s="152" t="s">
        <v>4179</v>
      </c>
      <c r="C1233" s="153" t="s">
        <v>16629</v>
      </c>
      <c r="D1233" s="158">
        <v>10</v>
      </c>
      <c r="E1233" s="155">
        <f>+D1233*100</f>
        <v>1000</v>
      </c>
    </row>
    <row r="1234" ht="16.5" spans="1:5">
      <c r="A1234" s="151">
        <v>1233</v>
      </c>
      <c r="B1234" s="152" t="s">
        <v>4182</v>
      </c>
      <c r="C1234" s="160" t="s">
        <v>16630</v>
      </c>
      <c r="D1234" s="41">
        <v>100</v>
      </c>
      <c r="E1234" s="161">
        <f>SUM(D1234*100)</f>
        <v>10000</v>
      </c>
    </row>
    <row r="1235" ht="16.5" spans="1:5">
      <c r="A1235" s="151">
        <v>1234</v>
      </c>
      <c r="B1235" s="152" t="s">
        <v>4185</v>
      </c>
      <c r="C1235" s="160" t="s">
        <v>16630</v>
      </c>
      <c r="D1235" s="160">
        <v>90</v>
      </c>
      <c r="E1235" s="161">
        <f>SUM(D1235*100)</f>
        <v>9000</v>
      </c>
    </row>
    <row r="1236" ht="16.5" spans="1:5">
      <c r="A1236" s="151">
        <v>1235</v>
      </c>
      <c r="B1236" s="152" t="s">
        <v>4189</v>
      </c>
      <c r="C1236" s="160" t="s">
        <v>16630</v>
      </c>
      <c r="D1236" s="160">
        <v>500</v>
      </c>
      <c r="E1236" s="161">
        <f>SUM(D1236*100)</f>
        <v>50000</v>
      </c>
    </row>
    <row r="1237" ht="16.5" spans="1:5">
      <c r="A1237" s="151">
        <v>1236</v>
      </c>
      <c r="B1237" s="152" t="s">
        <v>4189</v>
      </c>
      <c r="C1237" s="162" t="s">
        <v>16631</v>
      </c>
      <c r="D1237" s="163">
        <v>1000</v>
      </c>
      <c r="E1237" s="163">
        <f>D1237*100</f>
        <v>100000</v>
      </c>
    </row>
    <row r="1238" ht="16.5" spans="1:5">
      <c r="A1238" s="151">
        <v>1237</v>
      </c>
      <c r="B1238" s="152" t="s">
        <v>4192</v>
      </c>
      <c r="C1238" s="153" t="s">
        <v>16629</v>
      </c>
      <c r="D1238" s="158">
        <v>10</v>
      </c>
      <c r="E1238" s="155">
        <f>+D1238*100</f>
        <v>1000</v>
      </c>
    </row>
    <row r="1239" ht="16.5" spans="1:5">
      <c r="A1239" s="151">
        <v>1238</v>
      </c>
      <c r="B1239" s="152" t="s">
        <v>4195</v>
      </c>
      <c r="C1239" s="156" t="s">
        <v>16629</v>
      </c>
      <c r="D1239" s="157">
        <v>10</v>
      </c>
      <c r="E1239" s="155">
        <f>+D1239*100</f>
        <v>1000</v>
      </c>
    </row>
    <row r="1240" ht="16.5" spans="1:5">
      <c r="A1240" s="151">
        <v>1239</v>
      </c>
      <c r="B1240" s="152" t="s">
        <v>4198</v>
      </c>
      <c r="C1240" s="153" t="s">
        <v>16629</v>
      </c>
      <c r="D1240" s="154">
        <v>10</v>
      </c>
      <c r="E1240" s="155">
        <f>+D1240*100</f>
        <v>1000</v>
      </c>
    </row>
    <row r="1241" ht="16.5" spans="1:5">
      <c r="A1241" s="151">
        <v>1240</v>
      </c>
      <c r="B1241" s="152" t="s">
        <v>4201</v>
      </c>
      <c r="C1241" s="156" t="s">
        <v>16629</v>
      </c>
      <c r="D1241" s="159">
        <v>10</v>
      </c>
      <c r="E1241" s="155">
        <f>+D1241*100</f>
        <v>1000</v>
      </c>
    </row>
    <row r="1242" ht="16.5" spans="1:5">
      <c r="A1242" s="151">
        <v>1241</v>
      </c>
      <c r="B1242" s="152" t="s">
        <v>4204</v>
      </c>
      <c r="C1242" s="153" t="s">
        <v>16629</v>
      </c>
      <c r="D1242" s="154">
        <v>10</v>
      </c>
      <c r="E1242" s="155">
        <f>SUM(D1242*100)</f>
        <v>1000</v>
      </c>
    </row>
    <row r="1243" ht="16.5" spans="1:5">
      <c r="A1243" s="151">
        <v>1242</v>
      </c>
      <c r="B1243" s="152" t="s">
        <v>4208</v>
      </c>
      <c r="C1243" s="162" t="s">
        <v>16631</v>
      </c>
      <c r="D1243" s="163">
        <v>1000</v>
      </c>
      <c r="E1243" s="163">
        <f>D1243*100</f>
        <v>100000</v>
      </c>
    </row>
    <row r="1244" ht="16.5" spans="1:5">
      <c r="A1244" s="151">
        <v>1243</v>
      </c>
      <c r="B1244" s="152" t="s">
        <v>4213</v>
      </c>
      <c r="C1244" s="153" t="s">
        <v>16629</v>
      </c>
      <c r="D1244" s="158">
        <v>10</v>
      </c>
      <c r="E1244" s="155">
        <f>+D1244*100</f>
        <v>1000</v>
      </c>
    </row>
    <row r="1245" ht="16.5" spans="1:5">
      <c r="A1245" s="151">
        <v>1244</v>
      </c>
      <c r="B1245" s="152" t="s">
        <v>4217</v>
      </c>
      <c r="C1245" s="156" t="s">
        <v>16629</v>
      </c>
      <c r="D1245" s="159">
        <v>10</v>
      </c>
      <c r="E1245" s="155">
        <f>+D1245*100</f>
        <v>1000</v>
      </c>
    </row>
    <row r="1246" ht="16.5" spans="1:5">
      <c r="A1246" s="151">
        <v>1245</v>
      </c>
      <c r="B1246" s="152" t="s">
        <v>4220</v>
      </c>
      <c r="C1246" s="153" t="s">
        <v>16629</v>
      </c>
      <c r="D1246" s="154">
        <v>10</v>
      </c>
      <c r="E1246" s="155">
        <f>+D1246*100</f>
        <v>1000</v>
      </c>
    </row>
    <row r="1247" ht="16.5" spans="1:5">
      <c r="A1247" s="151">
        <v>1246</v>
      </c>
      <c r="B1247" s="152" t="s">
        <v>4223</v>
      </c>
      <c r="C1247" s="153" t="s">
        <v>16629</v>
      </c>
      <c r="D1247" s="154">
        <v>10</v>
      </c>
      <c r="E1247" s="155">
        <f>+D1247*100</f>
        <v>1000</v>
      </c>
    </row>
    <row r="1248" ht="16.5" spans="1:5">
      <c r="A1248" s="151">
        <v>1247</v>
      </c>
      <c r="B1248" s="152" t="s">
        <v>4226</v>
      </c>
      <c r="C1248" s="153" t="s">
        <v>16629</v>
      </c>
      <c r="D1248" s="154">
        <v>10</v>
      </c>
      <c r="E1248" s="155">
        <f>+D1248*100</f>
        <v>1000</v>
      </c>
    </row>
    <row r="1249" ht="16.5" spans="1:5">
      <c r="A1249" s="151">
        <v>1248</v>
      </c>
      <c r="B1249" s="152" t="s">
        <v>4230</v>
      </c>
      <c r="C1249" s="162" t="s">
        <v>16631</v>
      </c>
      <c r="D1249" s="163">
        <v>1000</v>
      </c>
      <c r="E1249" s="163">
        <f>D1249*100</f>
        <v>100000</v>
      </c>
    </row>
    <row r="1250" ht="16.5" spans="1:5">
      <c r="A1250" s="151">
        <v>1249</v>
      </c>
      <c r="B1250" s="152" t="s">
        <v>4234</v>
      </c>
      <c r="C1250" s="153" t="s">
        <v>16629</v>
      </c>
      <c r="D1250" s="158">
        <v>10</v>
      </c>
      <c r="E1250" s="155">
        <f t="shared" ref="E1250:E1261" si="46">+D1250*100</f>
        <v>1000</v>
      </c>
    </row>
    <row r="1251" ht="16.5" spans="1:5">
      <c r="A1251" s="151">
        <v>1250</v>
      </c>
      <c r="B1251" s="152" t="s">
        <v>4237</v>
      </c>
      <c r="C1251" s="156" t="s">
        <v>16629</v>
      </c>
      <c r="D1251" s="159">
        <v>10</v>
      </c>
      <c r="E1251" s="155">
        <f t="shared" si="46"/>
        <v>1000</v>
      </c>
    </row>
    <row r="1252" ht="16.5" spans="1:5">
      <c r="A1252" s="151">
        <v>1251</v>
      </c>
      <c r="B1252" s="152" t="s">
        <v>4240</v>
      </c>
      <c r="C1252" s="156" t="s">
        <v>16629</v>
      </c>
      <c r="D1252" s="157">
        <v>10</v>
      </c>
      <c r="E1252" s="155">
        <f t="shared" si="46"/>
        <v>1000</v>
      </c>
    </row>
    <row r="1253" ht="16.5" spans="1:5">
      <c r="A1253" s="151">
        <v>1252</v>
      </c>
      <c r="B1253" s="152" t="s">
        <v>4243</v>
      </c>
      <c r="C1253" s="156" t="s">
        <v>16629</v>
      </c>
      <c r="D1253" s="159">
        <v>10</v>
      </c>
      <c r="E1253" s="155">
        <f t="shared" si="46"/>
        <v>1000</v>
      </c>
    </row>
    <row r="1254" ht="16.5" spans="1:5">
      <c r="A1254" s="151">
        <v>1253</v>
      </c>
      <c r="B1254" s="152" t="s">
        <v>4246</v>
      </c>
      <c r="C1254" s="156" t="s">
        <v>16629</v>
      </c>
      <c r="D1254" s="159">
        <v>10</v>
      </c>
      <c r="E1254" s="155">
        <f t="shared" si="46"/>
        <v>1000</v>
      </c>
    </row>
    <row r="1255" ht="16.5" spans="1:5">
      <c r="A1255" s="151">
        <v>1254</v>
      </c>
      <c r="B1255" s="152" t="s">
        <v>4250</v>
      </c>
      <c r="C1255" s="153" t="s">
        <v>16629</v>
      </c>
      <c r="D1255" s="154">
        <v>10</v>
      </c>
      <c r="E1255" s="155">
        <f t="shared" si="46"/>
        <v>1000</v>
      </c>
    </row>
    <row r="1256" ht="16.5" spans="1:5">
      <c r="A1256" s="151">
        <v>1255</v>
      </c>
      <c r="B1256" s="152" t="s">
        <v>4254</v>
      </c>
      <c r="C1256" s="153" t="s">
        <v>16629</v>
      </c>
      <c r="D1256" s="154">
        <v>10</v>
      </c>
      <c r="E1256" s="155">
        <f t="shared" si="46"/>
        <v>1000</v>
      </c>
    </row>
    <row r="1257" ht="16.5" spans="1:5">
      <c r="A1257" s="151">
        <v>1256</v>
      </c>
      <c r="B1257" s="152" t="s">
        <v>4257</v>
      </c>
      <c r="C1257" s="153" t="s">
        <v>16629</v>
      </c>
      <c r="D1257" s="158">
        <v>10</v>
      </c>
      <c r="E1257" s="155">
        <f t="shared" si="46"/>
        <v>1000</v>
      </c>
    </row>
    <row r="1258" ht="16.5" spans="1:5">
      <c r="A1258" s="151">
        <v>1257</v>
      </c>
      <c r="B1258" s="152" t="s">
        <v>4260</v>
      </c>
      <c r="C1258" s="156" t="s">
        <v>16629</v>
      </c>
      <c r="D1258" s="159">
        <v>10</v>
      </c>
      <c r="E1258" s="155">
        <f t="shared" si="46"/>
        <v>1000</v>
      </c>
    </row>
    <row r="1259" ht="16.5" spans="1:5">
      <c r="A1259" s="151">
        <v>1258</v>
      </c>
      <c r="B1259" s="152" t="s">
        <v>4263</v>
      </c>
      <c r="C1259" s="153" t="s">
        <v>16629</v>
      </c>
      <c r="D1259" s="158">
        <v>10</v>
      </c>
      <c r="E1259" s="155">
        <f t="shared" si="46"/>
        <v>1000</v>
      </c>
    </row>
    <row r="1260" ht="16.5" spans="1:5">
      <c r="A1260" s="151">
        <v>1259</v>
      </c>
      <c r="B1260" s="152" t="s">
        <v>4266</v>
      </c>
      <c r="C1260" s="156" t="s">
        <v>16629</v>
      </c>
      <c r="D1260" s="159">
        <v>10</v>
      </c>
      <c r="E1260" s="155">
        <f t="shared" si="46"/>
        <v>1000</v>
      </c>
    </row>
    <row r="1261" ht="16.5" spans="1:5">
      <c r="A1261" s="151">
        <v>1260</v>
      </c>
      <c r="B1261" s="152" t="s">
        <v>4269</v>
      </c>
      <c r="C1261" s="153" t="s">
        <v>16629</v>
      </c>
      <c r="D1261" s="180">
        <v>10</v>
      </c>
      <c r="E1261" s="155">
        <f t="shared" si="46"/>
        <v>1000</v>
      </c>
    </row>
    <row r="1262" ht="16.5" spans="1:5">
      <c r="A1262" s="151">
        <v>1261</v>
      </c>
      <c r="B1262" s="152" t="s">
        <v>4272</v>
      </c>
      <c r="C1262" s="160" t="s">
        <v>16630</v>
      </c>
      <c r="D1262" s="160">
        <v>1000</v>
      </c>
      <c r="E1262" s="161">
        <f>SUM(D1262*100)</f>
        <v>100000</v>
      </c>
    </row>
    <row r="1263" ht="16.5" spans="1:5">
      <c r="A1263" s="151">
        <v>1262</v>
      </c>
      <c r="B1263" s="152" t="s">
        <v>4276</v>
      </c>
      <c r="C1263" s="166" t="s">
        <v>16632</v>
      </c>
      <c r="D1263" s="166">
        <f>IFERROR(__xludf.DUMMYFUNCTION("""COMPUTED_VALUE"""),10000)</f>
        <v>10000</v>
      </c>
      <c r="E1263" s="168">
        <f>IFERROR(__xludf.DUMMYFUNCTION("""COMPUTED_VALUE"""),1500000)</f>
        <v>1500000</v>
      </c>
    </row>
    <row r="1264" ht="16.5" spans="1:5">
      <c r="A1264" s="151">
        <v>1263</v>
      </c>
      <c r="B1264" s="152" t="s">
        <v>4277</v>
      </c>
      <c r="C1264" s="153" t="s">
        <v>16629</v>
      </c>
      <c r="D1264" s="158">
        <v>10</v>
      </c>
      <c r="E1264" s="155">
        <f>+D1264*100</f>
        <v>1000</v>
      </c>
    </row>
    <row r="1265" ht="16.5" spans="1:5">
      <c r="A1265" s="151">
        <v>1264</v>
      </c>
      <c r="B1265" s="152" t="s">
        <v>4280</v>
      </c>
      <c r="C1265" s="153" t="s">
        <v>16629</v>
      </c>
      <c r="D1265" s="154">
        <v>10</v>
      </c>
      <c r="E1265" s="155">
        <f>+D1265*100</f>
        <v>1000</v>
      </c>
    </row>
    <row r="1266" ht="16.5" spans="1:5">
      <c r="A1266" s="151">
        <v>1265</v>
      </c>
      <c r="B1266" s="152" t="s">
        <v>4284</v>
      </c>
      <c r="C1266" s="160" t="s">
        <v>16630</v>
      </c>
      <c r="D1266" s="160">
        <v>100</v>
      </c>
      <c r="E1266" s="161">
        <f>SUM(D1266*100)</f>
        <v>10000</v>
      </c>
    </row>
    <row r="1267" ht="16.5" spans="1:5">
      <c r="A1267" s="151">
        <v>1266</v>
      </c>
      <c r="B1267" s="152" t="s">
        <v>4288</v>
      </c>
      <c r="C1267" s="156" t="s">
        <v>16629</v>
      </c>
      <c r="D1267" s="157">
        <v>10</v>
      </c>
      <c r="E1267" s="155">
        <f>+D1267*100</f>
        <v>1000</v>
      </c>
    </row>
    <row r="1268" ht="16.5" spans="1:5">
      <c r="A1268" s="151">
        <v>1267</v>
      </c>
      <c r="B1268" s="152" t="s">
        <v>4292</v>
      </c>
      <c r="C1268" s="162" t="s">
        <v>16631</v>
      </c>
      <c r="D1268" s="163">
        <v>1000</v>
      </c>
      <c r="E1268" s="163">
        <f>D1268*100</f>
        <v>100000</v>
      </c>
    </row>
    <row r="1269" ht="16.5" spans="1:5">
      <c r="A1269" s="151">
        <v>1268</v>
      </c>
      <c r="B1269" s="152" t="s">
        <v>4296</v>
      </c>
      <c r="C1269" s="156" t="s">
        <v>16629</v>
      </c>
      <c r="D1269" s="157">
        <v>10</v>
      </c>
      <c r="E1269" s="155">
        <f>+D1269*100</f>
        <v>1000</v>
      </c>
    </row>
    <row r="1270" ht="16.5" spans="1:5">
      <c r="A1270" s="151">
        <v>1269</v>
      </c>
      <c r="B1270" s="152" t="s">
        <v>4299</v>
      </c>
      <c r="C1270" s="160" t="s">
        <v>16630</v>
      </c>
      <c r="D1270" s="160">
        <v>200</v>
      </c>
      <c r="E1270" s="161">
        <f>SUM(D1270*100)</f>
        <v>20000</v>
      </c>
    </row>
    <row r="1271" ht="16.5" spans="1:5">
      <c r="A1271" s="151">
        <v>1270</v>
      </c>
      <c r="B1271" s="152" t="s">
        <v>4302</v>
      </c>
      <c r="C1271" s="153" t="s">
        <v>16629</v>
      </c>
      <c r="D1271" s="154">
        <v>10</v>
      </c>
      <c r="E1271" s="155">
        <f>+D1271*100</f>
        <v>1000</v>
      </c>
    </row>
    <row r="1272" ht="16.5" spans="1:5">
      <c r="A1272" s="151">
        <v>1271</v>
      </c>
      <c r="B1272" s="152" t="s">
        <v>4305</v>
      </c>
      <c r="C1272" s="160" t="s">
        <v>16630</v>
      </c>
      <c r="D1272" s="160">
        <v>104</v>
      </c>
      <c r="E1272" s="161">
        <f>SUM(D1272*100)</f>
        <v>10400</v>
      </c>
    </row>
    <row r="1273" ht="16.5" spans="1:5">
      <c r="A1273" s="151">
        <v>1272</v>
      </c>
      <c r="B1273" s="152" t="s">
        <v>4305</v>
      </c>
      <c r="C1273" s="162" t="s">
        <v>16631</v>
      </c>
      <c r="D1273" s="163">
        <v>1000</v>
      </c>
      <c r="E1273" s="163">
        <f>D1273*100</f>
        <v>100000</v>
      </c>
    </row>
    <row r="1274" ht="16.5" spans="1:5">
      <c r="A1274" s="151">
        <v>1273</v>
      </c>
      <c r="B1274" s="152" t="s">
        <v>4312</v>
      </c>
      <c r="C1274" s="153" t="s">
        <v>16629</v>
      </c>
      <c r="D1274" s="154">
        <v>10</v>
      </c>
      <c r="E1274" s="155">
        <f>+D1274*100</f>
        <v>1000</v>
      </c>
    </row>
    <row r="1275" ht="16.5" spans="1:5">
      <c r="A1275" s="151">
        <v>1274</v>
      </c>
      <c r="B1275" s="152" t="s">
        <v>4315</v>
      </c>
      <c r="C1275" s="160" t="s">
        <v>16630</v>
      </c>
      <c r="D1275" s="160">
        <v>10</v>
      </c>
      <c r="E1275" s="161">
        <f>SUM(D1275*100)</f>
        <v>1000</v>
      </c>
    </row>
    <row r="1276" ht="16.5" spans="1:5">
      <c r="A1276" s="151">
        <v>1275</v>
      </c>
      <c r="B1276" s="152" t="s">
        <v>4318</v>
      </c>
      <c r="C1276" s="156" t="s">
        <v>16629</v>
      </c>
      <c r="D1276" s="159">
        <v>10</v>
      </c>
      <c r="E1276" s="155">
        <f>+D1276*100</f>
        <v>1000</v>
      </c>
    </row>
    <row r="1277" ht="16.5" spans="1:5">
      <c r="A1277" s="151">
        <v>1276</v>
      </c>
      <c r="B1277" s="152" t="s">
        <v>4321</v>
      </c>
      <c r="C1277" s="156" t="s">
        <v>16629</v>
      </c>
      <c r="D1277" s="159">
        <v>10</v>
      </c>
      <c r="E1277" s="155">
        <f>+D1277*100</f>
        <v>1000</v>
      </c>
    </row>
    <row r="1278" ht="16.5" spans="1:5">
      <c r="A1278" s="151">
        <v>1277</v>
      </c>
      <c r="B1278" s="152" t="s">
        <v>4325</v>
      </c>
      <c r="C1278" s="153" t="s">
        <v>16629</v>
      </c>
      <c r="D1278" s="154">
        <v>10</v>
      </c>
      <c r="E1278" s="155">
        <f>+D1278*100</f>
        <v>1000</v>
      </c>
    </row>
    <row r="1279" ht="16.5" spans="1:5">
      <c r="A1279" s="151">
        <v>1278</v>
      </c>
      <c r="B1279" s="152" t="s">
        <v>4328</v>
      </c>
      <c r="C1279" s="160" t="s">
        <v>16630</v>
      </c>
      <c r="D1279" s="160">
        <v>50</v>
      </c>
      <c r="E1279" s="161">
        <f>SUM(D1279*100)</f>
        <v>5000</v>
      </c>
    </row>
    <row r="1280" ht="16.5" spans="1:5">
      <c r="A1280" s="151">
        <v>1279</v>
      </c>
      <c r="B1280" s="152" t="s">
        <v>4333</v>
      </c>
      <c r="C1280" s="162" t="s">
        <v>16631</v>
      </c>
      <c r="D1280" s="163">
        <v>1000</v>
      </c>
      <c r="E1280" s="163">
        <f>D1280*100</f>
        <v>100000</v>
      </c>
    </row>
    <row r="1281" ht="16.5" spans="1:5">
      <c r="A1281" s="151">
        <v>1280</v>
      </c>
      <c r="B1281" s="152" t="s">
        <v>4333</v>
      </c>
      <c r="C1281" s="162" t="s">
        <v>16633</v>
      </c>
      <c r="D1281" s="171">
        <f>G1281/100</f>
        <v>0</v>
      </c>
      <c r="E1281" s="171">
        <f>G1281</f>
        <v>0</v>
      </c>
    </row>
    <row r="1282" ht="16.5" spans="1:5">
      <c r="A1282" s="151">
        <v>1281</v>
      </c>
      <c r="B1282" s="152" t="s">
        <v>4337</v>
      </c>
      <c r="C1282" s="160" t="s">
        <v>16630</v>
      </c>
      <c r="D1282" s="160">
        <v>10</v>
      </c>
      <c r="E1282" s="161">
        <f>SUM(D1282*100)</f>
        <v>1000</v>
      </c>
    </row>
    <row r="1283" ht="16.5" spans="1:5">
      <c r="A1283" s="151">
        <v>1282</v>
      </c>
      <c r="B1283" s="152" t="s">
        <v>4342</v>
      </c>
      <c r="C1283" s="156" t="s">
        <v>16629</v>
      </c>
      <c r="D1283" s="159">
        <v>10</v>
      </c>
      <c r="E1283" s="155">
        <f>+D1283*100</f>
        <v>1000</v>
      </c>
    </row>
    <row r="1284" ht="16.5" spans="1:5">
      <c r="A1284" s="151">
        <v>1283</v>
      </c>
      <c r="B1284" s="152" t="s">
        <v>4345</v>
      </c>
      <c r="C1284" s="156" t="s">
        <v>16629</v>
      </c>
      <c r="D1284" s="158">
        <v>20</v>
      </c>
      <c r="E1284" s="155">
        <f>+D1284*100</f>
        <v>2000</v>
      </c>
    </row>
    <row r="1285" ht="16.5" spans="1:5">
      <c r="A1285" s="151">
        <v>1284</v>
      </c>
      <c r="B1285" s="152" t="s">
        <v>4348</v>
      </c>
      <c r="C1285" s="153" t="s">
        <v>16629</v>
      </c>
      <c r="D1285" s="154">
        <v>10</v>
      </c>
      <c r="E1285" s="155">
        <f>+D1285*100</f>
        <v>1000</v>
      </c>
    </row>
    <row r="1286" ht="16.5" spans="1:5">
      <c r="A1286" s="151">
        <v>1285</v>
      </c>
      <c r="B1286" s="152" t="s">
        <v>4351</v>
      </c>
      <c r="C1286" s="153" t="s">
        <v>16629</v>
      </c>
      <c r="D1286" s="158">
        <v>10</v>
      </c>
      <c r="E1286" s="155">
        <f>+D1286*100</f>
        <v>1000</v>
      </c>
    </row>
    <row r="1287" ht="16.5" spans="1:5">
      <c r="A1287" s="151">
        <v>1286</v>
      </c>
      <c r="B1287" s="152" t="s">
        <v>4354</v>
      </c>
      <c r="C1287" s="153" t="s">
        <v>16629</v>
      </c>
      <c r="D1287" s="154">
        <v>40</v>
      </c>
      <c r="E1287" s="155">
        <f>+D1287*100</f>
        <v>4000</v>
      </c>
    </row>
    <row r="1288" ht="16.5" spans="1:5">
      <c r="A1288" s="151">
        <v>1287</v>
      </c>
      <c r="B1288" s="152" t="s">
        <v>4358</v>
      </c>
      <c r="C1288" s="160" t="s">
        <v>16630</v>
      </c>
      <c r="D1288" s="160">
        <v>10</v>
      </c>
      <c r="E1288" s="161">
        <f>SUM(D1288*100)</f>
        <v>1000</v>
      </c>
    </row>
    <row r="1289" ht="16.5" spans="1:5">
      <c r="A1289" s="151">
        <v>1288</v>
      </c>
      <c r="B1289" s="152" t="s">
        <v>4362</v>
      </c>
      <c r="C1289" s="162" t="s">
        <v>16631</v>
      </c>
      <c r="D1289" s="163">
        <v>2000</v>
      </c>
      <c r="E1289" s="163">
        <f>D1289*100</f>
        <v>200000</v>
      </c>
    </row>
    <row r="1290" ht="16.5" spans="1:5">
      <c r="A1290" s="151">
        <v>1289</v>
      </c>
      <c r="B1290" s="152" t="s">
        <v>4367</v>
      </c>
      <c r="C1290" s="153" t="s">
        <v>16629</v>
      </c>
      <c r="D1290" s="158">
        <v>10</v>
      </c>
      <c r="E1290" s="155">
        <f>+D1290*100</f>
        <v>1000</v>
      </c>
    </row>
    <row r="1291" ht="16.5" spans="1:5">
      <c r="A1291" s="151">
        <v>1290</v>
      </c>
      <c r="B1291" s="152" t="s">
        <v>4370</v>
      </c>
      <c r="C1291" s="156" t="s">
        <v>16629</v>
      </c>
      <c r="D1291" s="159">
        <v>10</v>
      </c>
      <c r="E1291" s="155">
        <f>+D1291*100</f>
        <v>1000</v>
      </c>
    </row>
    <row r="1292" ht="16.5" spans="1:5">
      <c r="A1292" s="151">
        <v>1291</v>
      </c>
      <c r="B1292" s="152" t="s">
        <v>4373</v>
      </c>
      <c r="C1292" s="160" t="s">
        <v>16630</v>
      </c>
      <c r="D1292" s="160">
        <v>10</v>
      </c>
      <c r="E1292" s="161">
        <f>SUM(D1292*100)</f>
        <v>1000</v>
      </c>
    </row>
    <row r="1293" ht="16.5" spans="1:5">
      <c r="A1293" s="151">
        <v>1292</v>
      </c>
      <c r="B1293" s="152" t="s">
        <v>4377</v>
      </c>
      <c r="C1293" s="153" t="s">
        <v>16629</v>
      </c>
      <c r="D1293" s="154">
        <v>10</v>
      </c>
      <c r="E1293" s="155">
        <f>+D1293*100</f>
        <v>1000</v>
      </c>
    </row>
    <row r="1294" ht="16.5" spans="1:5">
      <c r="A1294" s="151">
        <v>1293</v>
      </c>
      <c r="B1294" s="152" t="s">
        <v>4380</v>
      </c>
      <c r="C1294" s="160" t="s">
        <v>16630</v>
      </c>
      <c r="D1294" s="160">
        <v>20</v>
      </c>
      <c r="E1294" s="161">
        <f>SUM(D1294*100)</f>
        <v>2000</v>
      </c>
    </row>
    <row r="1295" ht="16.5" spans="1:5">
      <c r="A1295" s="151">
        <v>1294</v>
      </c>
      <c r="B1295" s="152" t="s">
        <v>4383</v>
      </c>
      <c r="C1295" s="156" t="s">
        <v>16629</v>
      </c>
      <c r="D1295" s="159">
        <v>10</v>
      </c>
      <c r="E1295" s="155">
        <f>+D1295*100</f>
        <v>1000</v>
      </c>
    </row>
    <row r="1296" ht="16.5" spans="1:5">
      <c r="A1296" s="151">
        <v>1295</v>
      </c>
      <c r="B1296" s="152" t="s">
        <v>4386</v>
      </c>
      <c r="C1296" s="160" t="s">
        <v>16630</v>
      </c>
      <c r="D1296" s="160">
        <v>50</v>
      </c>
      <c r="E1296" s="161">
        <f>SUM(D1296*100)</f>
        <v>5000</v>
      </c>
    </row>
    <row r="1297" ht="16.5" spans="1:5">
      <c r="A1297" s="151">
        <v>1296</v>
      </c>
      <c r="B1297" s="152" t="s">
        <v>4391</v>
      </c>
      <c r="C1297" s="153" t="s">
        <v>16629</v>
      </c>
      <c r="D1297" s="154">
        <v>10</v>
      </c>
      <c r="E1297" s="155">
        <f t="shared" ref="E1297:E1307" si="47">+D1297*100</f>
        <v>1000</v>
      </c>
    </row>
    <row r="1298" ht="16.5" spans="1:5">
      <c r="A1298" s="151">
        <v>1297</v>
      </c>
      <c r="B1298" s="152" t="s">
        <v>4394</v>
      </c>
      <c r="C1298" s="156" t="s">
        <v>16629</v>
      </c>
      <c r="D1298" s="159">
        <v>10</v>
      </c>
      <c r="E1298" s="155">
        <f t="shared" si="47"/>
        <v>1000</v>
      </c>
    </row>
    <row r="1299" ht="16.5" spans="1:5">
      <c r="A1299" s="151">
        <v>1298</v>
      </c>
      <c r="B1299" s="152" t="s">
        <v>4397</v>
      </c>
      <c r="C1299" s="156" t="s">
        <v>16629</v>
      </c>
      <c r="D1299" s="157">
        <v>10</v>
      </c>
      <c r="E1299" s="155">
        <f t="shared" si="47"/>
        <v>1000</v>
      </c>
    </row>
    <row r="1300" ht="16.5" spans="1:5">
      <c r="A1300" s="151">
        <v>1299</v>
      </c>
      <c r="B1300" s="152" t="s">
        <v>4400</v>
      </c>
      <c r="C1300" s="156" t="s">
        <v>16629</v>
      </c>
      <c r="D1300" s="159">
        <v>10</v>
      </c>
      <c r="E1300" s="155">
        <f t="shared" si="47"/>
        <v>1000</v>
      </c>
    </row>
    <row r="1301" ht="16.5" spans="1:5">
      <c r="A1301" s="151">
        <v>1300</v>
      </c>
      <c r="B1301" s="152" t="s">
        <v>4403</v>
      </c>
      <c r="C1301" s="156" t="s">
        <v>16629</v>
      </c>
      <c r="D1301" s="157">
        <v>10</v>
      </c>
      <c r="E1301" s="155">
        <f t="shared" si="47"/>
        <v>1000</v>
      </c>
    </row>
    <row r="1302" ht="16.5" spans="1:5">
      <c r="A1302" s="151">
        <v>1301</v>
      </c>
      <c r="B1302" s="152" t="s">
        <v>4406</v>
      </c>
      <c r="C1302" s="156" t="s">
        <v>16629</v>
      </c>
      <c r="D1302" s="159">
        <v>10</v>
      </c>
      <c r="E1302" s="155">
        <f t="shared" si="47"/>
        <v>1000</v>
      </c>
    </row>
    <row r="1303" ht="16.5" spans="1:5">
      <c r="A1303" s="151">
        <v>1302</v>
      </c>
      <c r="B1303" s="152" t="s">
        <v>4409</v>
      </c>
      <c r="C1303" s="156" t="s">
        <v>16629</v>
      </c>
      <c r="D1303" s="159">
        <v>10</v>
      </c>
      <c r="E1303" s="155">
        <f t="shared" si="47"/>
        <v>1000</v>
      </c>
    </row>
    <row r="1304" ht="16.5" spans="1:5">
      <c r="A1304" s="151">
        <v>1303</v>
      </c>
      <c r="B1304" s="152" t="s">
        <v>4412</v>
      </c>
      <c r="C1304" s="153" t="s">
        <v>16629</v>
      </c>
      <c r="D1304" s="158">
        <v>10</v>
      </c>
      <c r="E1304" s="155">
        <f t="shared" si="47"/>
        <v>1000</v>
      </c>
    </row>
    <row r="1305" ht="16.5" spans="1:5">
      <c r="A1305" s="151">
        <v>1304</v>
      </c>
      <c r="B1305" s="152" t="s">
        <v>4415</v>
      </c>
      <c r="C1305" s="153" t="s">
        <v>16629</v>
      </c>
      <c r="D1305" s="154">
        <v>10</v>
      </c>
      <c r="E1305" s="155">
        <f t="shared" si="47"/>
        <v>1000</v>
      </c>
    </row>
    <row r="1306" ht="16.5" spans="1:5">
      <c r="A1306" s="151">
        <v>1305</v>
      </c>
      <c r="B1306" s="152" t="s">
        <v>4418</v>
      </c>
      <c r="C1306" s="156" t="s">
        <v>16629</v>
      </c>
      <c r="D1306" s="157">
        <v>10</v>
      </c>
      <c r="E1306" s="155">
        <f t="shared" si="47"/>
        <v>1000</v>
      </c>
    </row>
    <row r="1307" ht="16.5" spans="1:5">
      <c r="A1307" s="151">
        <v>1306</v>
      </c>
      <c r="B1307" s="152" t="s">
        <v>4421</v>
      </c>
      <c r="C1307" s="156" t="s">
        <v>16629</v>
      </c>
      <c r="D1307" s="154">
        <v>10</v>
      </c>
      <c r="E1307" s="155">
        <f t="shared" si="47"/>
        <v>1000</v>
      </c>
    </row>
    <row r="1308" ht="16.5" spans="1:5">
      <c r="A1308" s="151">
        <v>1307</v>
      </c>
      <c r="B1308" s="152" t="s">
        <v>4424</v>
      </c>
      <c r="C1308" s="160" t="s">
        <v>16630</v>
      </c>
      <c r="D1308" s="160">
        <v>45</v>
      </c>
      <c r="E1308" s="161">
        <f>SUM(D1308*100)</f>
        <v>4500</v>
      </c>
    </row>
    <row r="1309" ht="16.5" spans="1:5">
      <c r="A1309" s="151">
        <v>1308</v>
      </c>
      <c r="B1309" s="152" t="s">
        <v>4428</v>
      </c>
      <c r="C1309" s="156" t="s">
        <v>16629</v>
      </c>
      <c r="D1309" s="158">
        <v>10</v>
      </c>
      <c r="E1309" s="155">
        <f>+D1309*100</f>
        <v>1000</v>
      </c>
    </row>
    <row r="1310" ht="16.5" spans="1:5">
      <c r="A1310" s="151">
        <v>1309</v>
      </c>
      <c r="B1310" s="152" t="s">
        <v>4432</v>
      </c>
      <c r="C1310" s="153" t="s">
        <v>16629</v>
      </c>
      <c r="D1310" s="154">
        <v>10</v>
      </c>
      <c r="E1310" s="155">
        <f>+D1310*100</f>
        <v>1000</v>
      </c>
    </row>
    <row r="1311" ht="16.5" spans="1:5">
      <c r="A1311" s="151">
        <v>1310</v>
      </c>
      <c r="B1311" s="152" t="s">
        <v>4432</v>
      </c>
      <c r="C1311" s="156" t="s">
        <v>16629</v>
      </c>
      <c r="D1311" s="157">
        <v>40</v>
      </c>
      <c r="E1311" s="155">
        <f>+D1311*100</f>
        <v>4000</v>
      </c>
    </row>
    <row r="1312" ht="16.5" spans="1:5">
      <c r="A1312" s="151">
        <v>1311</v>
      </c>
      <c r="B1312" s="152" t="s">
        <v>4437</v>
      </c>
      <c r="C1312" s="162" t="s">
        <v>16631</v>
      </c>
      <c r="D1312" s="163">
        <v>1000</v>
      </c>
      <c r="E1312" s="163">
        <f>D1312*100</f>
        <v>100000</v>
      </c>
    </row>
    <row r="1313" ht="16.5" spans="1:5">
      <c r="A1313" s="151">
        <v>1312</v>
      </c>
      <c r="B1313" s="152" t="s">
        <v>4441</v>
      </c>
      <c r="C1313" s="160" t="s">
        <v>16630</v>
      </c>
      <c r="D1313" s="41">
        <v>10</v>
      </c>
      <c r="E1313" s="161">
        <f>SUM(D1313*100)</f>
        <v>1000</v>
      </c>
    </row>
    <row r="1314" ht="16.5" spans="1:5">
      <c r="A1314" s="151">
        <v>1313</v>
      </c>
      <c r="B1314" s="152" t="s">
        <v>4444</v>
      </c>
      <c r="C1314" s="160" t="s">
        <v>16630</v>
      </c>
      <c r="D1314" s="160">
        <v>200</v>
      </c>
      <c r="E1314" s="161">
        <f>SUM(D1314*100)</f>
        <v>20000</v>
      </c>
    </row>
    <row r="1315" ht="16.5" spans="1:5">
      <c r="A1315" s="151">
        <v>1314</v>
      </c>
      <c r="B1315" s="152" t="s">
        <v>4448</v>
      </c>
      <c r="C1315" s="156" t="s">
        <v>16629</v>
      </c>
      <c r="D1315" s="159">
        <v>10</v>
      </c>
      <c r="E1315" s="155">
        <f t="shared" ref="E1315:E1336" si="48">+D1315*100</f>
        <v>1000</v>
      </c>
    </row>
    <row r="1316" ht="16.5" spans="1:5">
      <c r="A1316" s="151">
        <v>1315</v>
      </c>
      <c r="B1316" s="152" t="s">
        <v>4452</v>
      </c>
      <c r="C1316" s="153" t="s">
        <v>16629</v>
      </c>
      <c r="D1316" s="154">
        <v>10</v>
      </c>
      <c r="E1316" s="155">
        <f t="shared" si="48"/>
        <v>1000</v>
      </c>
    </row>
    <row r="1317" ht="16.5" spans="1:5">
      <c r="A1317" s="151">
        <v>1316</v>
      </c>
      <c r="B1317" s="152" t="s">
        <v>4456</v>
      </c>
      <c r="C1317" s="153" t="s">
        <v>16629</v>
      </c>
      <c r="D1317" s="154">
        <v>10</v>
      </c>
      <c r="E1317" s="155">
        <f t="shared" si="48"/>
        <v>1000</v>
      </c>
    </row>
    <row r="1318" ht="16.5" spans="1:5">
      <c r="A1318" s="151">
        <v>1317</v>
      </c>
      <c r="B1318" s="152" t="s">
        <v>4460</v>
      </c>
      <c r="C1318" s="153" t="s">
        <v>16629</v>
      </c>
      <c r="D1318" s="154">
        <v>10</v>
      </c>
      <c r="E1318" s="155">
        <f t="shared" si="48"/>
        <v>1000</v>
      </c>
    </row>
    <row r="1319" ht="16.5" spans="1:5">
      <c r="A1319" s="151">
        <v>1318</v>
      </c>
      <c r="B1319" s="152" t="s">
        <v>4463</v>
      </c>
      <c r="C1319" s="153" t="s">
        <v>16629</v>
      </c>
      <c r="D1319" s="154">
        <v>10</v>
      </c>
      <c r="E1319" s="155">
        <f t="shared" si="48"/>
        <v>1000</v>
      </c>
    </row>
    <row r="1320" ht="16.5" spans="1:5">
      <c r="A1320" s="151">
        <v>1319</v>
      </c>
      <c r="B1320" s="152" t="s">
        <v>4466</v>
      </c>
      <c r="C1320" s="153" t="s">
        <v>16629</v>
      </c>
      <c r="D1320" s="158">
        <v>10</v>
      </c>
      <c r="E1320" s="155">
        <f t="shared" si="48"/>
        <v>1000</v>
      </c>
    </row>
    <row r="1321" ht="16.5" spans="1:5">
      <c r="A1321" s="151">
        <v>1320</v>
      </c>
      <c r="B1321" s="152" t="s">
        <v>4469</v>
      </c>
      <c r="C1321" s="156" t="s">
        <v>16629</v>
      </c>
      <c r="D1321" s="154">
        <v>10</v>
      </c>
      <c r="E1321" s="155">
        <f t="shared" si="48"/>
        <v>1000</v>
      </c>
    </row>
    <row r="1322" ht="16.5" spans="1:5">
      <c r="A1322" s="151">
        <v>1321</v>
      </c>
      <c r="B1322" s="152" t="s">
        <v>4472</v>
      </c>
      <c r="C1322" s="156" t="s">
        <v>16629</v>
      </c>
      <c r="D1322" s="159">
        <v>10</v>
      </c>
      <c r="E1322" s="155">
        <f t="shared" si="48"/>
        <v>1000</v>
      </c>
    </row>
    <row r="1323" ht="16.5" spans="1:5">
      <c r="A1323" s="151">
        <v>1322</v>
      </c>
      <c r="B1323" s="152" t="s">
        <v>4476</v>
      </c>
      <c r="C1323" s="156" t="s">
        <v>16629</v>
      </c>
      <c r="D1323" s="159">
        <v>10</v>
      </c>
      <c r="E1323" s="155">
        <f t="shared" si="48"/>
        <v>1000</v>
      </c>
    </row>
    <row r="1324" ht="16.5" spans="1:5">
      <c r="A1324" s="151">
        <v>1323</v>
      </c>
      <c r="B1324" s="152" t="s">
        <v>4480</v>
      </c>
      <c r="C1324" s="153" t="s">
        <v>16629</v>
      </c>
      <c r="D1324" s="158">
        <v>10</v>
      </c>
      <c r="E1324" s="155">
        <f t="shared" si="48"/>
        <v>1000</v>
      </c>
    </row>
    <row r="1325" ht="16.5" spans="1:5">
      <c r="A1325" s="151">
        <v>1324</v>
      </c>
      <c r="B1325" s="152" t="s">
        <v>4483</v>
      </c>
      <c r="C1325" s="156" t="s">
        <v>16629</v>
      </c>
      <c r="D1325" s="159">
        <v>10</v>
      </c>
      <c r="E1325" s="155">
        <f t="shared" si="48"/>
        <v>1000</v>
      </c>
    </row>
    <row r="1326" ht="16.5" spans="1:5">
      <c r="A1326" s="151">
        <v>1325</v>
      </c>
      <c r="B1326" s="152" t="s">
        <v>4486</v>
      </c>
      <c r="C1326" s="156" t="s">
        <v>16629</v>
      </c>
      <c r="D1326" s="157">
        <v>20</v>
      </c>
      <c r="E1326" s="155">
        <f t="shared" si="48"/>
        <v>2000</v>
      </c>
    </row>
    <row r="1327" ht="16.5" spans="1:5">
      <c r="A1327" s="151">
        <v>1326</v>
      </c>
      <c r="B1327" s="152" t="s">
        <v>4489</v>
      </c>
      <c r="C1327" s="153" t="s">
        <v>16629</v>
      </c>
      <c r="D1327" s="154">
        <v>10</v>
      </c>
      <c r="E1327" s="155">
        <f t="shared" si="48"/>
        <v>1000</v>
      </c>
    </row>
    <row r="1328" ht="16.5" spans="1:5">
      <c r="A1328" s="151">
        <v>1327</v>
      </c>
      <c r="B1328" s="152" t="s">
        <v>4492</v>
      </c>
      <c r="C1328" s="153" t="s">
        <v>16629</v>
      </c>
      <c r="D1328" s="154">
        <v>10</v>
      </c>
      <c r="E1328" s="155">
        <f t="shared" si="48"/>
        <v>1000</v>
      </c>
    </row>
    <row r="1329" ht="16.5" spans="1:5">
      <c r="A1329" s="151">
        <v>1328</v>
      </c>
      <c r="B1329" s="152" t="s">
        <v>4495</v>
      </c>
      <c r="C1329" s="156" t="s">
        <v>16629</v>
      </c>
      <c r="D1329" s="159">
        <v>10</v>
      </c>
      <c r="E1329" s="155">
        <f t="shared" si="48"/>
        <v>1000</v>
      </c>
    </row>
    <row r="1330" ht="16.5" spans="1:5">
      <c r="A1330" s="151">
        <v>1329</v>
      </c>
      <c r="B1330" s="152" t="s">
        <v>4498</v>
      </c>
      <c r="C1330" s="153" t="s">
        <v>16629</v>
      </c>
      <c r="D1330" s="154">
        <v>10</v>
      </c>
      <c r="E1330" s="155">
        <f t="shared" si="48"/>
        <v>1000</v>
      </c>
    </row>
    <row r="1331" ht="16.5" spans="1:5">
      <c r="A1331" s="151">
        <v>1330</v>
      </c>
      <c r="B1331" s="152" t="s">
        <v>4502</v>
      </c>
      <c r="C1331" s="156" t="s">
        <v>16629</v>
      </c>
      <c r="D1331" s="159">
        <v>10</v>
      </c>
      <c r="E1331" s="155">
        <f t="shared" si="48"/>
        <v>1000</v>
      </c>
    </row>
    <row r="1332" ht="16.5" spans="1:5">
      <c r="A1332" s="151">
        <v>1331</v>
      </c>
      <c r="B1332" s="152" t="s">
        <v>4506</v>
      </c>
      <c r="C1332" s="153" t="s">
        <v>16629</v>
      </c>
      <c r="D1332" s="154">
        <v>10</v>
      </c>
      <c r="E1332" s="155">
        <f t="shared" si="48"/>
        <v>1000</v>
      </c>
    </row>
    <row r="1333" ht="16.5" spans="1:5">
      <c r="A1333" s="151">
        <v>1332</v>
      </c>
      <c r="B1333" s="152" t="s">
        <v>4509</v>
      </c>
      <c r="C1333" s="153" t="s">
        <v>16629</v>
      </c>
      <c r="D1333" s="158">
        <v>10</v>
      </c>
      <c r="E1333" s="155">
        <f t="shared" si="48"/>
        <v>1000</v>
      </c>
    </row>
    <row r="1334" ht="16.5" spans="1:5">
      <c r="A1334" s="151">
        <v>1333</v>
      </c>
      <c r="B1334" s="152" t="s">
        <v>4512</v>
      </c>
      <c r="C1334" s="156" t="s">
        <v>16629</v>
      </c>
      <c r="D1334" s="157">
        <v>10</v>
      </c>
      <c r="E1334" s="155">
        <f t="shared" si="48"/>
        <v>1000</v>
      </c>
    </row>
    <row r="1335" ht="16.5" spans="1:5">
      <c r="A1335" s="151">
        <v>1334</v>
      </c>
      <c r="B1335" s="152" t="s">
        <v>4515</v>
      </c>
      <c r="C1335" s="156" t="s">
        <v>16629</v>
      </c>
      <c r="D1335" s="159">
        <v>10</v>
      </c>
      <c r="E1335" s="155">
        <f t="shared" si="48"/>
        <v>1000</v>
      </c>
    </row>
    <row r="1336" ht="16.5" spans="1:5">
      <c r="A1336" s="151">
        <v>1335</v>
      </c>
      <c r="B1336" s="152" t="s">
        <v>4518</v>
      </c>
      <c r="C1336" s="153" t="s">
        <v>16629</v>
      </c>
      <c r="D1336" s="158">
        <v>10</v>
      </c>
      <c r="E1336" s="155">
        <f t="shared" si="48"/>
        <v>1000</v>
      </c>
    </row>
    <row r="1337" ht="16.5" spans="1:5">
      <c r="A1337" s="151">
        <v>1336</v>
      </c>
      <c r="B1337" s="152" t="s">
        <v>4521</v>
      </c>
      <c r="C1337" s="160" t="s">
        <v>16630</v>
      </c>
      <c r="D1337" s="160">
        <v>200</v>
      </c>
      <c r="E1337" s="161">
        <f>SUM(D1337*100)</f>
        <v>20000</v>
      </c>
    </row>
    <row r="1338" ht="16.5" spans="1:5">
      <c r="A1338" s="151">
        <v>1337</v>
      </c>
      <c r="B1338" s="152" t="s">
        <v>4524</v>
      </c>
      <c r="C1338" s="153" t="s">
        <v>16629</v>
      </c>
      <c r="D1338" s="154">
        <v>10</v>
      </c>
      <c r="E1338" s="155">
        <f>+D1338*100</f>
        <v>1000</v>
      </c>
    </row>
    <row r="1339" ht="16.5" spans="1:5">
      <c r="A1339" s="151">
        <v>1338</v>
      </c>
      <c r="B1339" s="152" t="s">
        <v>4528</v>
      </c>
      <c r="C1339" s="156" t="s">
        <v>16629</v>
      </c>
      <c r="D1339" s="159">
        <v>10</v>
      </c>
      <c r="E1339" s="155">
        <f>+D1339*100</f>
        <v>1000</v>
      </c>
    </row>
    <row r="1340" ht="16.5" spans="1:5">
      <c r="A1340" s="151">
        <v>1339</v>
      </c>
      <c r="B1340" s="152" t="s">
        <v>4532</v>
      </c>
      <c r="C1340" s="153" t="s">
        <v>16629</v>
      </c>
      <c r="D1340" s="154">
        <v>10</v>
      </c>
      <c r="E1340" s="155">
        <f>+D1340*100</f>
        <v>1000</v>
      </c>
    </row>
    <row r="1341" ht="16.5" spans="1:5">
      <c r="A1341" s="151">
        <v>1340</v>
      </c>
      <c r="B1341" s="152" t="s">
        <v>4536</v>
      </c>
      <c r="C1341" s="160" t="s">
        <v>16630</v>
      </c>
      <c r="D1341" s="41">
        <v>1000</v>
      </c>
      <c r="E1341" s="161">
        <f>SUM(D1341*100)</f>
        <v>100000</v>
      </c>
    </row>
    <row r="1342" ht="16.5" spans="1:5">
      <c r="A1342" s="151">
        <v>1341</v>
      </c>
      <c r="B1342" s="152" t="s">
        <v>4539</v>
      </c>
      <c r="C1342" s="153" t="s">
        <v>16629</v>
      </c>
      <c r="D1342" s="154">
        <v>110</v>
      </c>
      <c r="E1342" s="155">
        <f>+D1342*100</f>
        <v>11000</v>
      </c>
    </row>
    <row r="1343" ht="16.5" spans="1:5">
      <c r="A1343" s="151">
        <v>1342</v>
      </c>
      <c r="B1343" s="152" t="s">
        <v>4543</v>
      </c>
      <c r="C1343" s="156" t="s">
        <v>16629</v>
      </c>
      <c r="D1343" s="157">
        <v>10</v>
      </c>
      <c r="E1343" s="155">
        <f>+D1343*100</f>
        <v>1000</v>
      </c>
    </row>
    <row r="1344" ht="16.5" spans="1:5">
      <c r="A1344" s="151">
        <v>1343</v>
      </c>
      <c r="B1344" s="152" t="s">
        <v>4547</v>
      </c>
      <c r="C1344" s="156" t="s">
        <v>16629</v>
      </c>
      <c r="D1344" s="154">
        <v>10</v>
      </c>
      <c r="E1344" s="155">
        <f>+D1344*100</f>
        <v>1000</v>
      </c>
    </row>
    <row r="1345" ht="16.5" spans="1:5">
      <c r="A1345" s="151">
        <v>1344</v>
      </c>
      <c r="B1345" s="152" t="s">
        <v>4550</v>
      </c>
      <c r="C1345" s="153" t="s">
        <v>16629</v>
      </c>
      <c r="D1345" s="158">
        <v>10</v>
      </c>
      <c r="E1345" s="155">
        <f>+D1345*100</f>
        <v>1000</v>
      </c>
    </row>
    <row r="1346" ht="16.5" spans="1:5">
      <c r="A1346" s="151">
        <v>1345</v>
      </c>
      <c r="B1346" s="152" t="s">
        <v>4553</v>
      </c>
      <c r="C1346" s="153" t="s">
        <v>16629</v>
      </c>
      <c r="D1346" s="158">
        <v>10</v>
      </c>
      <c r="E1346" s="155">
        <f>+D1346*100</f>
        <v>1000</v>
      </c>
    </row>
    <row r="1347" ht="16.5" spans="1:5">
      <c r="A1347" s="151">
        <v>1346</v>
      </c>
      <c r="B1347" s="152" t="s">
        <v>4557</v>
      </c>
      <c r="C1347" s="156" t="s">
        <v>16629</v>
      </c>
      <c r="D1347" s="159">
        <v>10</v>
      </c>
      <c r="E1347" s="155">
        <f>SUM(D1347*100)</f>
        <v>1000</v>
      </c>
    </row>
    <row r="1348" ht="16.5" spans="1:5">
      <c r="A1348" s="151">
        <v>1347</v>
      </c>
      <c r="B1348" s="152" t="s">
        <v>4561</v>
      </c>
      <c r="C1348" s="153" t="s">
        <v>16629</v>
      </c>
      <c r="D1348" s="154">
        <v>10</v>
      </c>
      <c r="E1348" s="155">
        <f>SUM(D1348*100)</f>
        <v>1000</v>
      </c>
    </row>
    <row r="1349" ht="16.5" spans="1:5">
      <c r="A1349" s="151">
        <v>1348</v>
      </c>
      <c r="B1349" s="152" t="s">
        <v>4564</v>
      </c>
      <c r="C1349" s="153" t="s">
        <v>16629</v>
      </c>
      <c r="D1349" s="154">
        <v>10</v>
      </c>
      <c r="E1349" s="155">
        <f>SUM(D1349*100)</f>
        <v>1000</v>
      </c>
    </row>
    <row r="1350" ht="16.5" spans="1:5">
      <c r="A1350" s="151">
        <v>1349</v>
      </c>
      <c r="B1350" s="152" t="s">
        <v>4568</v>
      </c>
      <c r="C1350" s="153" t="s">
        <v>16629</v>
      </c>
      <c r="D1350" s="154">
        <v>10</v>
      </c>
      <c r="E1350" s="155">
        <f>+D1350*100</f>
        <v>1000</v>
      </c>
    </row>
    <row r="1351" ht="16.5" spans="1:5">
      <c r="A1351" s="151">
        <v>1350</v>
      </c>
      <c r="B1351" s="152" t="s">
        <v>4572</v>
      </c>
      <c r="C1351" s="153" t="s">
        <v>16629</v>
      </c>
      <c r="D1351" s="154">
        <v>10</v>
      </c>
      <c r="E1351" s="155">
        <f>+D1351*100</f>
        <v>1000</v>
      </c>
    </row>
    <row r="1352" ht="16.5" spans="1:5">
      <c r="A1352" s="151">
        <v>1351</v>
      </c>
      <c r="B1352" s="152" t="s">
        <v>4575</v>
      </c>
      <c r="C1352" s="156" t="s">
        <v>16629</v>
      </c>
      <c r="D1352" s="159">
        <v>10</v>
      </c>
      <c r="E1352" s="155">
        <f>+D1352*100</f>
        <v>1000</v>
      </c>
    </row>
    <row r="1353" ht="16.5" spans="1:5">
      <c r="A1353" s="151">
        <v>1352</v>
      </c>
      <c r="B1353" s="152" t="s">
        <v>4578</v>
      </c>
      <c r="C1353" s="156" t="s">
        <v>16629</v>
      </c>
      <c r="D1353" s="154">
        <v>10</v>
      </c>
      <c r="E1353" s="155">
        <f>+D1353*100</f>
        <v>1000</v>
      </c>
    </row>
    <row r="1354" ht="16.5" spans="1:5">
      <c r="A1354" s="151">
        <v>1353</v>
      </c>
      <c r="B1354" s="152" t="s">
        <v>4582</v>
      </c>
      <c r="C1354" s="162" t="s">
        <v>16631</v>
      </c>
      <c r="D1354" s="163">
        <v>1000</v>
      </c>
      <c r="E1354" s="163">
        <f>D1354*100</f>
        <v>100000</v>
      </c>
    </row>
    <row r="1355" ht="16.5" spans="1:5">
      <c r="A1355" s="151">
        <v>1354</v>
      </c>
      <c r="B1355" s="152" t="s">
        <v>4586</v>
      </c>
      <c r="C1355" s="160" t="s">
        <v>16630</v>
      </c>
      <c r="D1355" s="160">
        <v>250</v>
      </c>
      <c r="E1355" s="161">
        <f>SUM(D1355*100)</f>
        <v>25000</v>
      </c>
    </row>
    <row r="1356" ht="16.5" spans="1:5">
      <c r="A1356" s="151">
        <v>1355</v>
      </c>
      <c r="B1356" s="152" t="s">
        <v>4590</v>
      </c>
      <c r="C1356" s="160" t="s">
        <v>16630</v>
      </c>
      <c r="D1356" s="160">
        <v>250</v>
      </c>
      <c r="E1356" s="161">
        <f>SUM(D1356*100)</f>
        <v>25000</v>
      </c>
    </row>
    <row r="1357" ht="16.5" spans="1:5">
      <c r="A1357" s="151">
        <v>1356</v>
      </c>
      <c r="B1357" s="152" t="s">
        <v>4593</v>
      </c>
      <c r="C1357" s="153" t="s">
        <v>16629</v>
      </c>
      <c r="D1357" s="158">
        <v>10</v>
      </c>
      <c r="E1357" s="155">
        <f>+D1357*100</f>
        <v>1000</v>
      </c>
    </row>
    <row r="1358" ht="16.5" spans="1:5">
      <c r="A1358" s="151">
        <v>1357</v>
      </c>
      <c r="B1358" s="152" t="s">
        <v>4596</v>
      </c>
      <c r="C1358" s="160" t="s">
        <v>16630</v>
      </c>
      <c r="D1358" s="160">
        <v>100</v>
      </c>
      <c r="E1358" s="161">
        <f>SUM(D1358*100)</f>
        <v>10000</v>
      </c>
    </row>
    <row r="1359" ht="16.5" spans="1:5">
      <c r="A1359" s="151">
        <v>1358</v>
      </c>
      <c r="B1359" s="152" t="s">
        <v>4599</v>
      </c>
      <c r="C1359" s="162" t="s">
        <v>16633</v>
      </c>
      <c r="D1359" s="171">
        <f>G1359/100</f>
        <v>0</v>
      </c>
      <c r="E1359" s="171">
        <f>G1359</f>
        <v>0</v>
      </c>
    </row>
    <row r="1360" ht="16.5" spans="1:5">
      <c r="A1360" s="151">
        <v>1359</v>
      </c>
      <c r="B1360" s="152" t="s">
        <v>4603</v>
      </c>
      <c r="C1360" s="162" t="s">
        <v>16631</v>
      </c>
      <c r="D1360" s="163">
        <v>1000</v>
      </c>
      <c r="E1360" s="163">
        <f>D1360*100</f>
        <v>100000</v>
      </c>
    </row>
    <row r="1361" ht="16.5" spans="1:5">
      <c r="A1361" s="151">
        <v>1360</v>
      </c>
      <c r="B1361" s="152" t="s">
        <v>4608</v>
      </c>
      <c r="C1361" s="162" t="s">
        <v>16631</v>
      </c>
      <c r="D1361" s="163">
        <v>1000</v>
      </c>
      <c r="E1361" s="163">
        <f>D1361*100</f>
        <v>100000</v>
      </c>
    </row>
    <row r="1362" ht="16.5" spans="1:5">
      <c r="A1362" s="151">
        <v>1361</v>
      </c>
      <c r="B1362" s="152" t="s">
        <v>4613</v>
      </c>
      <c r="C1362" s="162" t="s">
        <v>16631</v>
      </c>
      <c r="D1362" s="163">
        <v>1000</v>
      </c>
      <c r="E1362" s="163">
        <f>D1362*100</f>
        <v>100000</v>
      </c>
    </row>
    <row r="1363" ht="16.5" spans="1:5">
      <c r="A1363" s="151">
        <v>1362</v>
      </c>
      <c r="B1363" s="152" t="s">
        <v>4618</v>
      </c>
      <c r="C1363" s="162" t="s">
        <v>16631</v>
      </c>
      <c r="D1363" s="163">
        <v>1000</v>
      </c>
      <c r="E1363" s="163">
        <f>D1363*100</f>
        <v>100000</v>
      </c>
    </row>
    <row r="1364" ht="16.5" spans="1:5">
      <c r="A1364" s="151">
        <v>1363</v>
      </c>
      <c r="B1364" s="152" t="s">
        <v>4623</v>
      </c>
      <c r="C1364" s="160" t="s">
        <v>16630</v>
      </c>
      <c r="D1364" s="160">
        <v>10</v>
      </c>
      <c r="E1364" s="161">
        <f>SUM(D1364*100)</f>
        <v>1000</v>
      </c>
    </row>
    <row r="1365" ht="16.5" spans="1:5">
      <c r="A1365" s="151">
        <v>1364</v>
      </c>
      <c r="B1365" s="152" t="s">
        <v>4626</v>
      </c>
      <c r="C1365" s="166" t="s">
        <v>16632</v>
      </c>
      <c r="D1365" s="176">
        <v>2000</v>
      </c>
      <c r="E1365" s="45">
        <v>3500000</v>
      </c>
    </row>
    <row r="1366" ht="16.5" spans="1:5">
      <c r="A1366" s="151">
        <v>1365</v>
      </c>
      <c r="B1366" s="152" t="s">
        <v>4630</v>
      </c>
      <c r="C1366" s="160" t="s">
        <v>16630</v>
      </c>
      <c r="D1366" s="160">
        <v>20</v>
      </c>
      <c r="E1366" s="161">
        <f>SUM(D1366*100)</f>
        <v>2000</v>
      </c>
    </row>
    <row r="1367" ht="16.5" spans="1:5">
      <c r="A1367" s="151">
        <v>1366</v>
      </c>
      <c r="B1367" s="152" t="s">
        <v>4634</v>
      </c>
      <c r="C1367" s="160" t="s">
        <v>16630</v>
      </c>
      <c r="D1367" s="160">
        <v>10</v>
      </c>
      <c r="E1367" s="161">
        <f>SUM(D1367*100)</f>
        <v>1000</v>
      </c>
    </row>
    <row r="1368" ht="16.5" spans="1:5">
      <c r="A1368" s="151">
        <v>1367</v>
      </c>
      <c r="B1368" s="152" t="s">
        <v>4637</v>
      </c>
      <c r="C1368" s="156" t="s">
        <v>16629</v>
      </c>
      <c r="D1368" s="158">
        <v>10</v>
      </c>
      <c r="E1368" s="155">
        <f>+D1368*100</f>
        <v>1000</v>
      </c>
    </row>
    <row r="1369" ht="16.5" spans="1:5">
      <c r="A1369" s="151">
        <v>1368</v>
      </c>
      <c r="B1369" s="152" t="s">
        <v>4640</v>
      </c>
      <c r="C1369" s="166" t="s">
        <v>16632</v>
      </c>
      <c r="D1369" s="166">
        <f>IFERROR(__xludf.DUMMYFUNCTION("""COMPUTED_VALUE"""),10000)</f>
        <v>10000</v>
      </c>
      <c r="E1369" s="168">
        <f>IFERROR(__xludf.DUMMYFUNCTION("""COMPUTED_VALUE"""),1500000)</f>
        <v>1500000</v>
      </c>
    </row>
    <row r="1370" ht="16.5" spans="1:5">
      <c r="A1370" s="151">
        <v>1369</v>
      </c>
      <c r="B1370" s="152" t="s">
        <v>4641</v>
      </c>
      <c r="C1370" s="166" t="s">
        <v>16632</v>
      </c>
      <c r="D1370" s="173">
        <v>30000</v>
      </c>
      <c r="E1370" s="45">
        <v>3500000</v>
      </c>
    </row>
    <row r="1371" ht="16.5" spans="1:5">
      <c r="A1371" s="151">
        <v>1370</v>
      </c>
      <c r="B1371" s="152" t="s">
        <v>4645</v>
      </c>
      <c r="C1371" s="160" t="s">
        <v>16630</v>
      </c>
      <c r="D1371" s="160">
        <v>240</v>
      </c>
      <c r="E1371" s="161">
        <f>SUM(D1371*100)</f>
        <v>24000</v>
      </c>
    </row>
    <row r="1372" ht="16.5" spans="1:5">
      <c r="A1372" s="151">
        <v>1371</v>
      </c>
      <c r="B1372" s="152" t="s">
        <v>4650</v>
      </c>
      <c r="C1372" s="160" t="s">
        <v>16630</v>
      </c>
      <c r="D1372" s="160">
        <v>100</v>
      </c>
      <c r="E1372" s="161">
        <f>SUM(D1372*100)</f>
        <v>10000</v>
      </c>
    </row>
    <row r="1373" ht="16.5" spans="1:5">
      <c r="A1373" s="151">
        <v>1372</v>
      </c>
      <c r="B1373" s="152" t="s">
        <v>4654</v>
      </c>
      <c r="C1373" s="162" t="s">
        <v>16631</v>
      </c>
      <c r="D1373" s="169">
        <v>2000</v>
      </c>
      <c r="E1373" s="170">
        <f>D1373*100</f>
        <v>200000</v>
      </c>
    </row>
    <row r="1374" ht="16.5" spans="1:5">
      <c r="A1374" s="151">
        <v>1373</v>
      </c>
      <c r="B1374" s="152" t="s">
        <v>4659</v>
      </c>
      <c r="C1374" s="166" t="s">
        <v>16632</v>
      </c>
      <c r="D1374" s="166">
        <f>IFERROR(__xludf.DUMMYFUNCTION("""COMPUTED_VALUE"""),10000)</f>
        <v>10000</v>
      </c>
      <c r="E1374" s="168">
        <f>IFERROR(__xludf.DUMMYFUNCTION("""COMPUTED_VALUE"""),1500000)</f>
        <v>1500000</v>
      </c>
    </row>
    <row r="1375" ht="16.5" spans="1:5">
      <c r="A1375" s="151">
        <v>1374</v>
      </c>
      <c r="B1375" s="152" t="s">
        <v>4660</v>
      </c>
      <c r="C1375" s="166" t="s">
        <v>16632</v>
      </c>
      <c r="D1375" s="166">
        <f>IFERROR(__xludf.DUMMYFUNCTION("""COMPUTED_VALUE"""),10000)</f>
        <v>10000</v>
      </c>
      <c r="E1375" s="168">
        <f>IFERROR(__xludf.DUMMYFUNCTION("""COMPUTED_VALUE"""),1500000)</f>
        <v>1500000</v>
      </c>
    </row>
    <row r="1376" ht="16.5" spans="1:5">
      <c r="A1376" s="151">
        <v>1375</v>
      </c>
      <c r="B1376" s="152" t="s">
        <v>4661</v>
      </c>
      <c r="C1376" s="162" t="s">
        <v>16631</v>
      </c>
      <c r="D1376" s="163">
        <v>1000</v>
      </c>
      <c r="E1376" s="163">
        <f>D1376*100</f>
        <v>100000</v>
      </c>
    </row>
    <row r="1377" ht="16.5" spans="1:5">
      <c r="A1377" s="151">
        <v>1376</v>
      </c>
      <c r="B1377" s="152" t="s">
        <v>4666</v>
      </c>
      <c r="C1377" s="153" t="s">
        <v>16629</v>
      </c>
      <c r="D1377" s="158">
        <v>10</v>
      </c>
      <c r="E1377" s="155">
        <f>+D1377*100</f>
        <v>1000</v>
      </c>
    </row>
    <row r="1378" ht="16.5" spans="1:5">
      <c r="A1378" s="151">
        <v>1377</v>
      </c>
      <c r="B1378" s="152" t="s">
        <v>4670</v>
      </c>
      <c r="C1378" s="160" t="s">
        <v>16630</v>
      </c>
      <c r="D1378" s="160">
        <v>1500</v>
      </c>
      <c r="E1378" s="161">
        <f>SUM(D1378*100)</f>
        <v>150000</v>
      </c>
    </row>
    <row r="1379" ht="16.5" spans="1:5">
      <c r="A1379" s="151">
        <v>1378</v>
      </c>
      <c r="B1379" s="152" t="s">
        <v>4673</v>
      </c>
      <c r="C1379" s="162" t="s">
        <v>16631</v>
      </c>
      <c r="D1379" s="163">
        <v>1000</v>
      </c>
      <c r="E1379" s="163">
        <f>D1379*100</f>
        <v>100000</v>
      </c>
    </row>
    <row r="1380" ht="16.5" spans="1:5">
      <c r="A1380" s="151">
        <v>1379</v>
      </c>
      <c r="B1380" s="152" t="s">
        <v>4677</v>
      </c>
      <c r="C1380" s="162" t="s">
        <v>16631</v>
      </c>
      <c r="D1380" s="163">
        <v>1000</v>
      </c>
      <c r="E1380" s="163">
        <f>D1380*100</f>
        <v>100000</v>
      </c>
    </row>
    <row r="1381" ht="16.5" spans="1:5">
      <c r="A1381" s="151">
        <v>1380</v>
      </c>
      <c r="B1381" s="152" t="s">
        <v>4682</v>
      </c>
      <c r="C1381" s="160" t="s">
        <v>16630</v>
      </c>
      <c r="D1381" s="41">
        <v>230</v>
      </c>
      <c r="E1381" s="161">
        <f>SUM(D1381*100)</f>
        <v>23000</v>
      </c>
    </row>
    <row r="1382" ht="16.5" spans="1:5">
      <c r="A1382" s="151">
        <v>1381</v>
      </c>
      <c r="B1382" s="152" t="s">
        <v>4684</v>
      </c>
      <c r="C1382" s="153" t="s">
        <v>16629</v>
      </c>
      <c r="D1382" s="154">
        <v>10</v>
      </c>
      <c r="E1382" s="155">
        <f>+D1382*100</f>
        <v>1000</v>
      </c>
    </row>
    <row r="1383" ht="16.5" spans="1:5">
      <c r="A1383" s="151">
        <v>1382</v>
      </c>
      <c r="B1383" s="152" t="s">
        <v>4688</v>
      </c>
      <c r="C1383" s="162" t="s">
        <v>16633</v>
      </c>
      <c r="D1383" s="171">
        <f>G1383/100</f>
        <v>0</v>
      </c>
      <c r="E1383" s="171">
        <f>G1383</f>
        <v>0</v>
      </c>
    </row>
    <row r="1384" ht="16.5" spans="1:5">
      <c r="A1384" s="151">
        <v>1383</v>
      </c>
      <c r="B1384" s="152" t="s">
        <v>4693</v>
      </c>
      <c r="C1384" s="162" t="s">
        <v>16631</v>
      </c>
      <c r="D1384" s="163">
        <v>2000</v>
      </c>
      <c r="E1384" s="163">
        <f>D1384*100</f>
        <v>200000</v>
      </c>
    </row>
    <row r="1385" ht="16.5" spans="1:5">
      <c r="A1385" s="151">
        <v>1384</v>
      </c>
      <c r="B1385" s="152" t="s">
        <v>4697</v>
      </c>
      <c r="C1385" s="162" t="s">
        <v>16631</v>
      </c>
      <c r="D1385" s="163">
        <v>1000</v>
      </c>
      <c r="E1385" s="163">
        <f>D1385*100</f>
        <v>100000</v>
      </c>
    </row>
    <row r="1386" ht="16.5" spans="1:5">
      <c r="A1386" s="151">
        <v>1385</v>
      </c>
      <c r="B1386" s="152" t="s">
        <v>4701</v>
      </c>
      <c r="C1386" s="156" t="s">
        <v>16629</v>
      </c>
      <c r="D1386" s="159">
        <v>100</v>
      </c>
      <c r="E1386" s="155">
        <f>+D1386*100</f>
        <v>10000</v>
      </c>
    </row>
    <row r="1387" ht="16.5" spans="1:5">
      <c r="A1387" s="151">
        <v>1386</v>
      </c>
      <c r="B1387" s="152" t="s">
        <v>4704</v>
      </c>
      <c r="C1387" s="156" t="s">
        <v>16629</v>
      </c>
      <c r="D1387" s="157">
        <v>10</v>
      </c>
      <c r="E1387" s="155">
        <f>+D1387*100</f>
        <v>1000</v>
      </c>
    </row>
    <row r="1388" ht="16.5" spans="1:5">
      <c r="A1388" s="151">
        <v>1387</v>
      </c>
      <c r="B1388" s="152" t="s">
        <v>4707</v>
      </c>
      <c r="C1388" s="153" t="s">
        <v>16629</v>
      </c>
      <c r="D1388" s="154">
        <v>10</v>
      </c>
      <c r="E1388" s="155">
        <f>+D1388*100</f>
        <v>1000</v>
      </c>
    </row>
    <row r="1389" ht="16.5" spans="1:5">
      <c r="A1389" s="151">
        <v>1388</v>
      </c>
      <c r="B1389" s="152" t="s">
        <v>4711</v>
      </c>
      <c r="C1389" s="153" t="s">
        <v>16629</v>
      </c>
      <c r="D1389" s="158">
        <v>10</v>
      </c>
      <c r="E1389" s="155">
        <f>+D1389*100</f>
        <v>1000</v>
      </c>
    </row>
    <row r="1390" ht="16.5" spans="1:5">
      <c r="A1390" s="151">
        <v>1389</v>
      </c>
      <c r="B1390" s="152" t="s">
        <v>4715</v>
      </c>
      <c r="C1390" s="160" t="s">
        <v>16630</v>
      </c>
      <c r="D1390" s="160">
        <v>50</v>
      </c>
      <c r="E1390" s="161">
        <f>SUM(D1390*100)</f>
        <v>5000</v>
      </c>
    </row>
    <row r="1391" ht="16.5" spans="1:5">
      <c r="A1391" s="151">
        <v>1390</v>
      </c>
      <c r="B1391" s="152" t="s">
        <v>4718</v>
      </c>
      <c r="C1391" s="156" t="s">
        <v>16629</v>
      </c>
      <c r="D1391" s="157">
        <v>10</v>
      </c>
      <c r="E1391" s="155">
        <f>+D1391*100</f>
        <v>1000</v>
      </c>
    </row>
    <row r="1392" ht="16.5" spans="1:5">
      <c r="A1392" s="151">
        <v>1391</v>
      </c>
      <c r="B1392" s="152" t="s">
        <v>4721</v>
      </c>
      <c r="C1392" s="166" t="s">
        <v>16632</v>
      </c>
      <c r="D1392" s="173">
        <v>30000</v>
      </c>
      <c r="E1392" s="45">
        <v>3500000</v>
      </c>
    </row>
    <row r="1393" ht="16.5" spans="1:5">
      <c r="A1393" s="151">
        <v>1392</v>
      </c>
      <c r="B1393" s="152" t="s">
        <v>4726</v>
      </c>
      <c r="C1393" s="153" t="s">
        <v>16629</v>
      </c>
      <c r="D1393" s="158">
        <v>10</v>
      </c>
      <c r="E1393" s="155">
        <f>+D1393*100</f>
        <v>1000</v>
      </c>
    </row>
    <row r="1394" ht="16.5" spans="1:5">
      <c r="A1394" s="151">
        <v>1393</v>
      </c>
      <c r="B1394" s="152" t="s">
        <v>4729</v>
      </c>
      <c r="C1394" s="153" t="s">
        <v>16629</v>
      </c>
      <c r="D1394" s="154">
        <v>10</v>
      </c>
      <c r="E1394" s="155">
        <f>+D1394*100</f>
        <v>1000</v>
      </c>
    </row>
    <row r="1395" ht="16.5" spans="1:5">
      <c r="A1395" s="151">
        <v>1394</v>
      </c>
      <c r="B1395" s="152" t="s">
        <v>4733</v>
      </c>
      <c r="C1395" s="156" t="s">
        <v>16629</v>
      </c>
      <c r="D1395" s="157">
        <v>10</v>
      </c>
      <c r="E1395" s="155">
        <f>+D1395*100</f>
        <v>1000</v>
      </c>
    </row>
    <row r="1396" ht="16.5" spans="1:5">
      <c r="A1396" s="151">
        <v>1395</v>
      </c>
      <c r="B1396" s="152" t="s">
        <v>4737</v>
      </c>
      <c r="C1396" s="156" t="s">
        <v>16629</v>
      </c>
      <c r="D1396" s="159">
        <v>10</v>
      </c>
      <c r="E1396" s="155">
        <f>+D1396*100</f>
        <v>1000</v>
      </c>
    </row>
    <row r="1397" ht="16.5" spans="1:5">
      <c r="A1397" s="151">
        <v>1396</v>
      </c>
      <c r="B1397" s="152" t="s">
        <v>4741</v>
      </c>
      <c r="C1397" s="156" t="s">
        <v>16629</v>
      </c>
      <c r="D1397" s="154">
        <v>20</v>
      </c>
      <c r="E1397" s="155">
        <f>+D1397*100</f>
        <v>2000</v>
      </c>
    </row>
    <row r="1398" ht="16.5" spans="1:5">
      <c r="A1398" s="151">
        <v>1397</v>
      </c>
      <c r="B1398" s="152" t="s">
        <v>4745</v>
      </c>
      <c r="C1398" s="160" t="s">
        <v>16630</v>
      </c>
      <c r="D1398" s="160">
        <v>50</v>
      </c>
      <c r="E1398" s="161">
        <f>SUM(D1398*100)</f>
        <v>5000</v>
      </c>
    </row>
    <row r="1399" ht="16.5" spans="1:5">
      <c r="A1399" s="151">
        <v>1398</v>
      </c>
      <c r="B1399" s="152" t="s">
        <v>4749</v>
      </c>
      <c r="C1399" s="153" t="s">
        <v>16629</v>
      </c>
      <c r="D1399" s="154">
        <v>10</v>
      </c>
      <c r="E1399" s="155">
        <f>+D1399*100</f>
        <v>1000</v>
      </c>
    </row>
    <row r="1400" ht="16.5" spans="1:5">
      <c r="A1400" s="151">
        <v>1399</v>
      </c>
      <c r="B1400" s="152" t="s">
        <v>4753</v>
      </c>
      <c r="C1400" s="160" t="s">
        <v>16630</v>
      </c>
      <c r="D1400" s="160">
        <v>100</v>
      </c>
      <c r="E1400" s="161">
        <f>SUM(D1400*100)</f>
        <v>10000</v>
      </c>
    </row>
    <row r="1401" ht="16.5" spans="1:5">
      <c r="A1401" s="151">
        <v>1400</v>
      </c>
      <c r="B1401" s="152" t="s">
        <v>4756</v>
      </c>
      <c r="C1401" s="160" t="s">
        <v>16630</v>
      </c>
      <c r="D1401" s="175">
        <v>10</v>
      </c>
      <c r="E1401" s="161">
        <f>SUM(D1401*100)</f>
        <v>1000</v>
      </c>
    </row>
    <row r="1402" ht="16.5" spans="1:5">
      <c r="A1402" s="151">
        <v>1401</v>
      </c>
      <c r="B1402" s="152" t="s">
        <v>4759</v>
      </c>
      <c r="C1402" s="153" t="s">
        <v>16629</v>
      </c>
      <c r="D1402" s="154">
        <v>10</v>
      </c>
      <c r="E1402" s="155">
        <f>+D1402*100</f>
        <v>1000</v>
      </c>
    </row>
    <row r="1403" ht="16.5" spans="1:5">
      <c r="A1403" s="151">
        <v>1402</v>
      </c>
      <c r="B1403" s="152" t="s">
        <v>4763</v>
      </c>
      <c r="C1403" s="156" t="s">
        <v>16629</v>
      </c>
      <c r="D1403" s="159">
        <v>10</v>
      </c>
      <c r="E1403" s="155">
        <f>+D1403*100</f>
        <v>1000</v>
      </c>
    </row>
    <row r="1404" ht="16.5" spans="1:5">
      <c r="A1404" s="151">
        <v>1403</v>
      </c>
      <c r="B1404" s="152" t="s">
        <v>4766</v>
      </c>
      <c r="C1404" s="156" t="s">
        <v>16629</v>
      </c>
      <c r="D1404" s="159">
        <v>10</v>
      </c>
      <c r="E1404" s="155">
        <f>+D1404*100</f>
        <v>1000</v>
      </c>
    </row>
    <row r="1405" ht="16.5" spans="1:5">
      <c r="A1405" s="151">
        <v>1404</v>
      </c>
      <c r="B1405" s="152" t="s">
        <v>4769</v>
      </c>
      <c r="C1405" s="166" t="s">
        <v>16632</v>
      </c>
      <c r="D1405" s="166">
        <f>IFERROR(__xludf.DUMMYFUNCTION("""COMPUTED_VALUE"""),10000)</f>
        <v>10000</v>
      </c>
      <c r="E1405" s="168">
        <f>IFERROR(__xludf.DUMMYFUNCTION("""COMPUTED_VALUE"""),1500000)</f>
        <v>1500000</v>
      </c>
    </row>
    <row r="1406" ht="16.5" spans="1:5">
      <c r="A1406" s="151">
        <v>1405</v>
      </c>
      <c r="B1406" s="152" t="s">
        <v>4770</v>
      </c>
      <c r="C1406" s="156" t="s">
        <v>16629</v>
      </c>
      <c r="D1406" s="159">
        <v>10</v>
      </c>
      <c r="E1406" s="155">
        <f>+D1406*100</f>
        <v>1000</v>
      </c>
    </row>
    <row r="1407" ht="16.5" spans="1:5">
      <c r="A1407" s="151">
        <v>1406</v>
      </c>
      <c r="B1407" s="152" t="s">
        <v>4773</v>
      </c>
      <c r="C1407" s="153" t="s">
        <v>16629</v>
      </c>
      <c r="D1407" s="158">
        <v>10</v>
      </c>
      <c r="E1407" s="155">
        <f>+D1407*100</f>
        <v>1000</v>
      </c>
    </row>
    <row r="1408" ht="16.5" spans="1:5">
      <c r="A1408" s="151">
        <v>1407</v>
      </c>
      <c r="B1408" s="152" t="s">
        <v>4776</v>
      </c>
      <c r="C1408" s="166" t="s">
        <v>16632</v>
      </c>
      <c r="D1408" s="173">
        <v>35000</v>
      </c>
      <c r="E1408" s="45">
        <v>3500000</v>
      </c>
    </row>
    <row r="1409" ht="16.5" spans="1:5">
      <c r="A1409" s="151">
        <v>1408</v>
      </c>
      <c r="B1409" s="152" t="s">
        <v>4780</v>
      </c>
      <c r="C1409" s="153" t="s">
        <v>16629</v>
      </c>
      <c r="D1409" s="154">
        <v>10</v>
      </c>
      <c r="E1409" s="155">
        <f>+D1409*100</f>
        <v>1000</v>
      </c>
    </row>
    <row r="1410" ht="16.5" spans="1:5">
      <c r="A1410" s="151">
        <v>1409</v>
      </c>
      <c r="B1410" s="152" t="s">
        <v>4784</v>
      </c>
      <c r="C1410" s="156" t="s">
        <v>16629</v>
      </c>
      <c r="D1410" s="159">
        <v>10</v>
      </c>
      <c r="E1410" s="155">
        <f>+D1410*100</f>
        <v>1000</v>
      </c>
    </row>
    <row r="1411" ht="16.5" spans="1:5">
      <c r="A1411" s="151">
        <v>1410</v>
      </c>
      <c r="B1411" s="152" t="s">
        <v>4788</v>
      </c>
      <c r="C1411" s="166" t="s">
        <v>16632</v>
      </c>
      <c r="D1411" s="166">
        <f>IFERROR(__xludf.DUMMYFUNCTION("""COMPUTED_VALUE"""),10000)</f>
        <v>10000</v>
      </c>
      <c r="E1411" s="168">
        <f>IFERROR(__xludf.DUMMYFUNCTION("""COMPUTED_VALUE"""),1500000)</f>
        <v>1500000</v>
      </c>
    </row>
    <row r="1412" ht="16.5" spans="1:5">
      <c r="A1412" s="151">
        <v>1411</v>
      </c>
      <c r="B1412" s="152" t="s">
        <v>4788</v>
      </c>
      <c r="C1412" s="166" t="s">
        <v>16632</v>
      </c>
      <c r="D1412" s="166">
        <f>IFERROR(__xludf.DUMMYFUNCTION("""COMPUTED_VALUE"""),10000)</f>
        <v>10000</v>
      </c>
      <c r="E1412" s="168">
        <f>IFERROR(__xludf.DUMMYFUNCTION("""COMPUTED_VALUE"""),1500000)</f>
        <v>1500000</v>
      </c>
    </row>
    <row r="1413" ht="16.5" spans="1:5">
      <c r="A1413" s="151">
        <v>1412</v>
      </c>
      <c r="B1413" s="152" t="s">
        <v>4789</v>
      </c>
      <c r="C1413" s="160" t="s">
        <v>16630</v>
      </c>
      <c r="D1413" s="160">
        <v>10</v>
      </c>
      <c r="E1413" s="161">
        <f>SUM(D1413*100)</f>
        <v>1000</v>
      </c>
    </row>
    <row r="1414" ht="16.5" spans="1:5">
      <c r="A1414" s="151">
        <v>1413</v>
      </c>
      <c r="B1414" s="152" t="s">
        <v>4792</v>
      </c>
      <c r="C1414" s="162" t="s">
        <v>16631</v>
      </c>
      <c r="D1414" s="163">
        <v>1000</v>
      </c>
      <c r="E1414" s="163">
        <f>D1414*100</f>
        <v>100000</v>
      </c>
    </row>
    <row r="1415" ht="16.5" spans="1:5">
      <c r="A1415" s="151">
        <v>1414</v>
      </c>
      <c r="B1415" s="152" t="s">
        <v>4796</v>
      </c>
      <c r="C1415" s="160" t="s">
        <v>16630</v>
      </c>
      <c r="D1415" s="160">
        <v>10</v>
      </c>
      <c r="E1415" s="161">
        <f>SUM(D1415*100)</f>
        <v>1000</v>
      </c>
    </row>
    <row r="1416" ht="16.5" spans="1:5">
      <c r="A1416" s="151">
        <v>1415</v>
      </c>
      <c r="B1416" s="152" t="s">
        <v>4799</v>
      </c>
      <c r="C1416" s="153" t="s">
        <v>16629</v>
      </c>
      <c r="D1416" s="154">
        <v>10</v>
      </c>
      <c r="E1416" s="155">
        <f>+D1416*100</f>
        <v>1000</v>
      </c>
    </row>
    <row r="1417" ht="16.5" spans="1:5">
      <c r="A1417" s="151">
        <v>1416</v>
      </c>
      <c r="B1417" s="152" t="s">
        <v>4803</v>
      </c>
      <c r="C1417" s="166" t="s">
        <v>16632</v>
      </c>
      <c r="D1417" s="173">
        <v>30000</v>
      </c>
      <c r="E1417" s="45">
        <v>3500000</v>
      </c>
    </row>
    <row r="1418" ht="16.5" spans="1:5">
      <c r="A1418" s="151">
        <v>1417</v>
      </c>
      <c r="B1418" s="152" t="s">
        <v>4806</v>
      </c>
      <c r="C1418" s="162" t="s">
        <v>16631</v>
      </c>
      <c r="D1418" s="163">
        <v>1000</v>
      </c>
      <c r="E1418" s="163">
        <f>D1418*100</f>
        <v>100000</v>
      </c>
    </row>
    <row r="1419" ht="16.5" spans="1:5">
      <c r="A1419" s="151">
        <v>1418</v>
      </c>
      <c r="B1419" s="152" t="s">
        <v>4811</v>
      </c>
      <c r="C1419" s="162" t="s">
        <v>16631</v>
      </c>
      <c r="D1419" s="163">
        <v>20000</v>
      </c>
      <c r="E1419" s="163">
        <f>D1419*100</f>
        <v>2000000</v>
      </c>
    </row>
    <row r="1420" ht="16.5" spans="1:5">
      <c r="A1420" s="151">
        <v>1419</v>
      </c>
      <c r="B1420" s="152" t="s">
        <v>4816</v>
      </c>
      <c r="C1420" s="153" t="s">
        <v>16629</v>
      </c>
      <c r="D1420" s="154">
        <v>10</v>
      </c>
      <c r="E1420" s="155">
        <f>+D1420*100</f>
        <v>1000</v>
      </c>
    </row>
    <row r="1421" ht="16.5" spans="1:5">
      <c r="A1421" s="151">
        <v>1420</v>
      </c>
      <c r="B1421" s="152" t="s">
        <v>4819</v>
      </c>
      <c r="C1421" s="160" t="s">
        <v>16630</v>
      </c>
      <c r="D1421" s="160">
        <v>100</v>
      </c>
      <c r="E1421" s="161">
        <f>SUM(D1421*100)</f>
        <v>10000</v>
      </c>
    </row>
    <row r="1422" ht="16.5" spans="1:5">
      <c r="A1422" s="151">
        <v>1421</v>
      </c>
      <c r="B1422" s="152" t="s">
        <v>4822</v>
      </c>
      <c r="C1422" s="153" t="s">
        <v>16629</v>
      </c>
      <c r="D1422" s="154">
        <v>10</v>
      </c>
      <c r="E1422" s="155">
        <f>+D1422*100</f>
        <v>1000</v>
      </c>
    </row>
    <row r="1423" ht="16.5" spans="1:5">
      <c r="A1423" s="151">
        <v>1422</v>
      </c>
      <c r="B1423" s="152" t="s">
        <v>4825</v>
      </c>
      <c r="C1423" s="160" t="s">
        <v>16630</v>
      </c>
      <c r="D1423" s="165">
        <v>10</v>
      </c>
      <c r="E1423" s="161">
        <f>SUM(D1423*100)</f>
        <v>1000</v>
      </c>
    </row>
    <row r="1424" ht="16.5" spans="1:5">
      <c r="A1424" s="151">
        <v>1423</v>
      </c>
      <c r="B1424" s="152" t="s">
        <v>4828</v>
      </c>
      <c r="C1424" s="160" t="s">
        <v>16630</v>
      </c>
      <c r="D1424" s="160">
        <v>200</v>
      </c>
      <c r="E1424" s="161">
        <f>SUM(D1424*100)</f>
        <v>20000</v>
      </c>
    </row>
    <row r="1425" ht="16.5" spans="1:5">
      <c r="A1425" s="151">
        <v>1424</v>
      </c>
      <c r="B1425" s="152" t="s">
        <v>4832</v>
      </c>
      <c r="C1425" s="153" t="s">
        <v>16629</v>
      </c>
      <c r="D1425" s="154">
        <v>10</v>
      </c>
      <c r="E1425" s="155">
        <f>+D1425*100</f>
        <v>1000</v>
      </c>
    </row>
    <row r="1426" ht="16.5" spans="1:5">
      <c r="A1426" s="151">
        <v>1425</v>
      </c>
      <c r="B1426" s="152" t="s">
        <v>4835</v>
      </c>
      <c r="C1426" s="160" t="s">
        <v>16630</v>
      </c>
      <c r="D1426" s="160">
        <v>30</v>
      </c>
      <c r="E1426" s="161">
        <f>SUM(D1426*100)</f>
        <v>3000</v>
      </c>
    </row>
    <row r="1427" ht="16.5" spans="1:5">
      <c r="A1427" s="151">
        <v>1426</v>
      </c>
      <c r="B1427" s="152" t="s">
        <v>4839</v>
      </c>
      <c r="C1427" s="160" t="s">
        <v>16630</v>
      </c>
      <c r="D1427" s="160">
        <v>100</v>
      </c>
      <c r="E1427" s="161">
        <f>SUM(D1427*100)</f>
        <v>10000</v>
      </c>
    </row>
    <row r="1428" ht="16.5" spans="1:5">
      <c r="A1428" s="151">
        <v>1427</v>
      </c>
      <c r="B1428" s="152" t="s">
        <v>4843</v>
      </c>
      <c r="C1428" s="166" t="s">
        <v>16632</v>
      </c>
      <c r="D1428" s="166">
        <f>IFERROR(__xludf.DUMMYFUNCTION("""COMPUTED_VALUE"""),10000)</f>
        <v>10000</v>
      </c>
      <c r="E1428" s="168">
        <f>IFERROR(__xludf.DUMMYFUNCTION("""COMPUTED_VALUE"""),1500000)</f>
        <v>1500000</v>
      </c>
    </row>
    <row r="1429" ht="16.5" spans="1:5">
      <c r="A1429" s="151">
        <v>1428</v>
      </c>
      <c r="B1429" s="152" t="s">
        <v>4844</v>
      </c>
      <c r="C1429" s="160" t="s">
        <v>16630</v>
      </c>
      <c r="D1429" s="160">
        <v>500</v>
      </c>
      <c r="E1429" s="161">
        <f>SUM(D1429*100)</f>
        <v>50000</v>
      </c>
    </row>
    <row r="1430" ht="16.5" spans="1:5">
      <c r="A1430" s="151">
        <v>1429</v>
      </c>
      <c r="B1430" s="152" t="s">
        <v>4848</v>
      </c>
      <c r="C1430" s="160" t="s">
        <v>16630</v>
      </c>
      <c r="D1430" s="160">
        <v>10</v>
      </c>
      <c r="E1430" s="161">
        <f>SUM(D1430*100)</f>
        <v>1000</v>
      </c>
    </row>
    <row r="1431" ht="16.5" spans="1:5">
      <c r="A1431" s="151">
        <v>1430</v>
      </c>
      <c r="B1431" s="152" t="s">
        <v>4852</v>
      </c>
      <c r="C1431" s="160" t="s">
        <v>16630</v>
      </c>
      <c r="D1431" s="160">
        <v>12</v>
      </c>
      <c r="E1431" s="161">
        <f>SUM(D1431*100)</f>
        <v>1200</v>
      </c>
    </row>
    <row r="1432" ht="16.5" spans="1:5">
      <c r="A1432" s="151">
        <v>1431</v>
      </c>
      <c r="B1432" s="152" t="s">
        <v>4855</v>
      </c>
      <c r="C1432" s="156" t="s">
        <v>16629</v>
      </c>
      <c r="D1432" s="157">
        <v>10</v>
      </c>
      <c r="E1432" s="155">
        <f>+D1432*100</f>
        <v>1000</v>
      </c>
    </row>
    <row r="1433" ht="16.5" spans="1:5">
      <c r="A1433" s="151">
        <v>1432</v>
      </c>
      <c r="B1433" s="152" t="s">
        <v>4859</v>
      </c>
      <c r="C1433" s="166" t="s">
        <v>16632</v>
      </c>
      <c r="D1433" s="166">
        <f>IFERROR(__xludf.DUMMYFUNCTION("""COMPUTED_VALUE"""),10000)</f>
        <v>10000</v>
      </c>
      <c r="E1433" s="168">
        <f>IFERROR(__xludf.DUMMYFUNCTION("""COMPUTED_VALUE"""),1500000)</f>
        <v>1500000</v>
      </c>
    </row>
    <row r="1434" ht="16.5" spans="1:5">
      <c r="A1434" s="151">
        <v>1433</v>
      </c>
      <c r="B1434" s="152" t="s">
        <v>4861</v>
      </c>
      <c r="C1434" s="153" t="s">
        <v>16629</v>
      </c>
      <c r="D1434" s="154">
        <v>10</v>
      </c>
      <c r="E1434" s="155">
        <f>+D1434*100</f>
        <v>1000</v>
      </c>
    </row>
    <row r="1435" ht="16.5" spans="1:5">
      <c r="A1435" s="151">
        <v>1434</v>
      </c>
      <c r="B1435" s="152" t="s">
        <v>4864</v>
      </c>
      <c r="C1435" s="160" t="s">
        <v>16630</v>
      </c>
      <c r="D1435" s="160">
        <v>7500</v>
      </c>
      <c r="E1435" s="161">
        <f>SUM(D1435*100)</f>
        <v>750000</v>
      </c>
    </row>
    <row r="1436" ht="16.5" spans="1:5">
      <c r="A1436" s="151">
        <v>1435</v>
      </c>
      <c r="B1436" s="152" t="s">
        <v>4869</v>
      </c>
      <c r="C1436" s="166" t="s">
        <v>16632</v>
      </c>
      <c r="D1436" s="166">
        <f>IFERROR(__xludf.DUMMYFUNCTION("""COMPUTED_VALUE"""),10000)</f>
        <v>10000</v>
      </c>
      <c r="E1436" s="168">
        <f>IFERROR(__xludf.DUMMYFUNCTION("""COMPUTED_VALUE"""),1500000)</f>
        <v>1500000</v>
      </c>
    </row>
    <row r="1437" ht="16.5" spans="1:5">
      <c r="A1437" s="151">
        <v>1436</v>
      </c>
      <c r="B1437" s="152" t="s">
        <v>4870</v>
      </c>
      <c r="C1437" s="160" t="s">
        <v>16630</v>
      </c>
      <c r="D1437" s="160">
        <v>10</v>
      </c>
      <c r="E1437" s="161">
        <f>SUM(D1437*100)</f>
        <v>1000</v>
      </c>
    </row>
    <row r="1438" ht="16.5" spans="1:5">
      <c r="A1438" s="151">
        <v>1437</v>
      </c>
      <c r="B1438" s="152" t="s">
        <v>4873</v>
      </c>
      <c r="C1438" s="162" t="s">
        <v>16631</v>
      </c>
      <c r="D1438" s="163">
        <v>1000</v>
      </c>
      <c r="E1438" s="163">
        <f>D1438*100</f>
        <v>100000</v>
      </c>
    </row>
    <row r="1439" ht="16.5" spans="1:5">
      <c r="A1439" s="151">
        <v>1438</v>
      </c>
      <c r="B1439" s="152" t="s">
        <v>4878</v>
      </c>
      <c r="C1439" s="160" t="s">
        <v>16630</v>
      </c>
      <c r="D1439" s="160">
        <v>10</v>
      </c>
      <c r="E1439" s="161">
        <f>SUM(D1439*100)</f>
        <v>1000</v>
      </c>
    </row>
    <row r="1440" ht="16.5" spans="1:5">
      <c r="A1440" s="151">
        <v>1439</v>
      </c>
      <c r="B1440" s="152" t="s">
        <v>4882</v>
      </c>
      <c r="C1440" s="153" t="s">
        <v>16629</v>
      </c>
      <c r="D1440" s="158">
        <v>10</v>
      </c>
      <c r="E1440" s="155">
        <f>+D1440*100</f>
        <v>1000</v>
      </c>
    </row>
    <row r="1441" ht="16.5" spans="1:5">
      <c r="A1441" s="151">
        <v>1440</v>
      </c>
      <c r="B1441" s="152" t="s">
        <v>4886</v>
      </c>
      <c r="C1441" s="160" t="s">
        <v>16630</v>
      </c>
      <c r="D1441" s="165">
        <v>50</v>
      </c>
      <c r="E1441" s="161">
        <f>SUM(D1441*100)</f>
        <v>5000</v>
      </c>
    </row>
    <row r="1442" ht="16.5" spans="1:5">
      <c r="A1442" s="151">
        <v>1441</v>
      </c>
      <c r="B1442" s="152" t="s">
        <v>4889</v>
      </c>
      <c r="C1442" s="160" t="s">
        <v>16630</v>
      </c>
      <c r="D1442" s="160">
        <v>120</v>
      </c>
      <c r="E1442" s="161">
        <f>SUM(D1442*100)</f>
        <v>12000</v>
      </c>
    </row>
    <row r="1443" ht="16.5" spans="1:5">
      <c r="A1443" s="151">
        <v>1442</v>
      </c>
      <c r="B1443" s="152" t="s">
        <v>4893</v>
      </c>
      <c r="C1443" s="160" t="s">
        <v>16630</v>
      </c>
      <c r="D1443" s="160">
        <v>600</v>
      </c>
      <c r="E1443" s="161">
        <f>SUM(D1443*100)</f>
        <v>60000</v>
      </c>
    </row>
    <row r="1444" ht="16.5" spans="1:5">
      <c r="A1444" s="151">
        <v>1443</v>
      </c>
      <c r="B1444" s="152" t="s">
        <v>4897</v>
      </c>
      <c r="C1444" s="153" t="s">
        <v>16629</v>
      </c>
      <c r="D1444" s="158">
        <v>10</v>
      </c>
      <c r="E1444" s="155">
        <f>+D1444*100</f>
        <v>1000</v>
      </c>
    </row>
    <row r="1445" ht="16.5" spans="1:5">
      <c r="A1445" s="151">
        <v>1444</v>
      </c>
      <c r="B1445" s="152" t="s">
        <v>4900</v>
      </c>
      <c r="C1445" s="160" t="s">
        <v>16630</v>
      </c>
      <c r="D1445" s="160">
        <v>1000</v>
      </c>
      <c r="E1445" s="161">
        <f>SUM(D1445*100)</f>
        <v>100000</v>
      </c>
    </row>
    <row r="1446" ht="16.5" spans="1:5">
      <c r="A1446" s="151">
        <v>1445</v>
      </c>
      <c r="B1446" s="152" t="s">
        <v>4905</v>
      </c>
      <c r="C1446" s="162" t="s">
        <v>16631</v>
      </c>
      <c r="D1446" s="169">
        <v>1000</v>
      </c>
      <c r="E1446" s="170">
        <f>D1446*100</f>
        <v>100000</v>
      </c>
    </row>
    <row r="1447" ht="16.5" spans="1:5">
      <c r="A1447" s="151">
        <v>1446</v>
      </c>
      <c r="B1447" s="152" t="s">
        <v>4909</v>
      </c>
      <c r="C1447" s="166" t="s">
        <v>16632</v>
      </c>
      <c r="D1447" s="151">
        <f>IFERROR(__xludf.DUMMYFUNCTION("""COMPUTED_VALUE"""),10000)</f>
        <v>10000</v>
      </c>
      <c r="E1447" s="167">
        <f>IFERROR(__xludf.DUMMYFUNCTION("""COMPUTED_VALUE"""),1500000)</f>
        <v>1500000</v>
      </c>
    </row>
    <row r="1448" ht="16.5" spans="1:5">
      <c r="A1448" s="151">
        <v>1447</v>
      </c>
      <c r="B1448" s="152" t="s">
        <v>4910</v>
      </c>
      <c r="C1448" s="160" t="s">
        <v>16630</v>
      </c>
      <c r="D1448" s="41">
        <v>10</v>
      </c>
      <c r="E1448" s="161">
        <f>SUM(D1448*100)</f>
        <v>1000</v>
      </c>
    </row>
    <row r="1449" ht="16.5" spans="1:5">
      <c r="A1449" s="151">
        <v>1448</v>
      </c>
      <c r="B1449" s="152" t="s">
        <v>4913</v>
      </c>
      <c r="C1449" s="166" t="s">
        <v>16632</v>
      </c>
      <c r="D1449" s="166">
        <f>IFERROR(__xludf.DUMMYFUNCTION("""COMPUTED_VALUE"""),10000)</f>
        <v>10000</v>
      </c>
      <c r="E1449" s="168">
        <f>IFERROR(__xludf.DUMMYFUNCTION("""COMPUTED_VALUE"""),1500000)</f>
        <v>1500000</v>
      </c>
    </row>
    <row r="1450" ht="16.5" spans="1:5">
      <c r="A1450" s="151">
        <v>1449</v>
      </c>
      <c r="B1450" s="152" t="s">
        <v>4913</v>
      </c>
      <c r="C1450" s="166" t="s">
        <v>16632</v>
      </c>
      <c r="D1450" s="166">
        <f>IFERROR(__xludf.DUMMYFUNCTION("""COMPUTED_VALUE"""),10000)</f>
        <v>10000</v>
      </c>
      <c r="E1450" s="168">
        <f>IFERROR(__xludf.DUMMYFUNCTION("""COMPUTED_VALUE"""),1500000)</f>
        <v>1500000</v>
      </c>
    </row>
    <row r="1451" ht="16.5" spans="1:5">
      <c r="A1451" s="151">
        <v>1450</v>
      </c>
      <c r="B1451" s="152" t="s">
        <v>4914</v>
      </c>
      <c r="C1451" s="162" t="s">
        <v>16631</v>
      </c>
      <c r="D1451" s="163">
        <v>1000</v>
      </c>
      <c r="E1451" s="163">
        <f>D1451*100</f>
        <v>100000</v>
      </c>
    </row>
    <row r="1452" ht="16.5" spans="1:5">
      <c r="A1452" s="151">
        <v>1451</v>
      </c>
      <c r="B1452" s="152" t="s">
        <v>4918</v>
      </c>
      <c r="C1452" s="160" t="s">
        <v>16630</v>
      </c>
      <c r="D1452" s="160">
        <v>1000</v>
      </c>
      <c r="E1452" s="161">
        <f>SUM(D1452*100)</f>
        <v>100000</v>
      </c>
    </row>
    <row r="1453" ht="16.5" spans="1:5">
      <c r="A1453" s="151">
        <v>1452</v>
      </c>
      <c r="B1453" s="152" t="s">
        <v>4924</v>
      </c>
      <c r="C1453" s="160" t="s">
        <v>16630</v>
      </c>
      <c r="D1453" s="160">
        <v>50</v>
      </c>
      <c r="E1453" s="161">
        <f>SUM(D1453*100)</f>
        <v>5000</v>
      </c>
    </row>
    <row r="1454" ht="16.5" spans="1:5">
      <c r="A1454" s="151">
        <v>1453</v>
      </c>
      <c r="B1454" s="152" t="s">
        <v>4928</v>
      </c>
      <c r="C1454" s="162" t="s">
        <v>16631</v>
      </c>
      <c r="D1454" s="169">
        <v>2000</v>
      </c>
      <c r="E1454" s="170">
        <f>D1454*100</f>
        <v>200000</v>
      </c>
    </row>
    <row r="1455" ht="16.5" spans="1:5">
      <c r="A1455" s="151">
        <v>1454</v>
      </c>
      <c r="B1455" s="152" t="s">
        <v>4933</v>
      </c>
      <c r="C1455" s="156" t="s">
        <v>16629</v>
      </c>
      <c r="D1455" s="159">
        <v>10</v>
      </c>
      <c r="E1455" s="155">
        <f>+D1455*100</f>
        <v>1000</v>
      </c>
    </row>
    <row r="1456" ht="16.5" spans="1:5">
      <c r="A1456" s="151">
        <v>1455</v>
      </c>
      <c r="B1456" s="152" t="s">
        <v>4936</v>
      </c>
      <c r="C1456" s="160" t="s">
        <v>16630</v>
      </c>
      <c r="D1456" s="41">
        <v>200</v>
      </c>
      <c r="E1456" s="161">
        <f>SUM(D1456*100)</f>
        <v>20000</v>
      </c>
    </row>
    <row r="1457" ht="16.5" spans="1:5">
      <c r="A1457" s="151">
        <v>1456</v>
      </c>
      <c r="B1457" s="152" t="s">
        <v>4939</v>
      </c>
      <c r="C1457" s="160" t="s">
        <v>16630</v>
      </c>
      <c r="D1457" s="164">
        <v>10</v>
      </c>
      <c r="E1457" s="161">
        <f>SUM(D1457*100)</f>
        <v>1000</v>
      </c>
    </row>
    <row r="1458" ht="16.5" spans="1:5">
      <c r="A1458" s="151">
        <v>1457</v>
      </c>
      <c r="B1458" s="152" t="s">
        <v>4942</v>
      </c>
      <c r="C1458" s="162" t="s">
        <v>16631</v>
      </c>
      <c r="D1458" s="169">
        <v>2000</v>
      </c>
      <c r="E1458" s="170">
        <f>D1458*100</f>
        <v>200000</v>
      </c>
    </row>
    <row r="1459" ht="16.5" spans="1:5">
      <c r="A1459" s="151">
        <v>1458</v>
      </c>
      <c r="B1459" s="152" t="s">
        <v>4942</v>
      </c>
      <c r="C1459" s="162" t="s">
        <v>16633</v>
      </c>
      <c r="D1459" s="171">
        <f>G1459/100</f>
        <v>0</v>
      </c>
      <c r="E1459" s="171">
        <f>G1459</f>
        <v>0</v>
      </c>
    </row>
    <row r="1460" ht="16.5" spans="1:5">
      <c r="A1460" s="151">
        <v>1459</v>
      </c>
      <c r="B1460" s="152" t="s">
        <v>4947</v>
      </c>
      <c r="C1460" s="160" t="s">
        <v>16630</v>
      </c>
      <c r="D1460" s="160">
        <v>20</v>
      </c>
      <c r="E1460" s="161">
        <f>SUM(D1460*100)</f>
        <v>2000</v>
      </c>
    </row>
    <row r="1461" ht="16.5" spans="1:5">
      <c r="A1461" s="151">
        <v>1460</v>
      </c>
      <c r="B1461" s="152" t="s">
        <v>4951</v>
      </c>
      <c r="C1461" s="156" t="s">
        <v>16629</v>
      </c>
      <c r="D1461" s="158">
        <v>10</v>
      </c>
      <c r="E1461" s="155">
        <f>+D1461*100</f>
        <v>1000</v>
      </c>
    </row>
    <row r="1462" ht="16.5" spans="1:5">
      <c r="A1462" s="151">
        <v>1461</v>
      </c>
      <c r="B1462" s="152" t="s">
        <v>4955</v>
      </c>
      <c r="C1462" s="153" t="s">
        <v>16629</v>
      </c>
      <c r="D1462" s="158">
        <v>50</v>
      </c>
      <c r="E1462" s="155">
        <f>+D1462*100</f>
        <v>5000</v>
      </c>
    </row>
    <row r="1463" ht="16.5" spans="1:5">
      <c r="A1463" s="151">
        <v>1462</v>
      </c>
      <c r="B1463" s="152" t="s">
        <v>4958</v>
      </c>
      <c r="C1463" s="156" t="s">
        <v>16629</v>
      </c>
      <c r="D1463" s="159">
        <v>10</v>
      </c>
      <c r="E1463" s="155">
        <f>+D1463*100</f>
        <v>1000</v>
      </c>
    </row>
    <row r="1464" ht="16.5" spans="1:5">
      <c r="A1464" s="151">
        <v>1463</v>
      </c>
      <c r="B1464" s="152" t="s">
        <v>4962</v>
      </c>
      <c r="C1464" s="156" t="s">
        <v>16629</v>
      </c>
      <c r="D1464" s="159">
        <v>10</v>
      </c>
      <c r="E1464" s="155">
        <f>+D1464*100</f>
        <v>1000</v>
      </c>
    </row>
    <row r="1465" ht="16.5" spans="1:5">
      <c r="A1465" s="151">
        <v>1464</v>
      </c>
      <c r="B1465" s="152" t="s">
        <v>4965</v>
      </c>
      <c r="C1465" s="156" t="s">
        <v>16629</v>
      </c>
      <c r="D1465" s="159">
        <v>10</v>
      </c>
      <c r="E1465" s="155">
        <f>+D1465*100</f>
        <v>1000</v>
      </c>
    </row>
    <row r="1466" ht="16.5" spans="1:5">
      <c r="A1466" s="151">
        <v>1465</v>
      </c>
      <c r="B1466" s="152" t="s">
        <v>4968</v>
      </c>
      <c r="C1466" s="160" t="s">
        <v>16630</v>
      </c>
      <c r="D1466" s="41">
        <v>10</v>
      </c>
      <c r="E1466" s="161">
        <f>SUM(D1466*100)</f>
        <v>1000</v>
      </c>
    </row>
    <row r="1467" ht="16.5" spans="1:5">
      <c r="A1467" s="151">
        <v>1466</v>
      </c>
      <c r="B1467" s="152" t="s">
        <v>4971</v>
      </c>
      <c r="C1467" s="153" t="s">
        <v>16629</v>
      </c>
      <c r="D1467" s="158">
        <v>10</v>
      </c>
      <c r="E1467" s="155">
        <f>+D1467*100</f>
        <v>1000</v>
      </c>
    </row>
    <row r="1468" ht="16.5" spans="1:5">
      <c r="A1468" s="151">
        <v>1467</v>
      </c>
      <c r="B1468" s="152" t="s">
        <v>4974</v>
      </c>
      <c r="C1468" s="156" t="s">
        <v>16629</v>
      </c>
      <c r="D1468" s="159">
        <v>10</v>
      </c>
      <c r="E1468" s="155">
        <f>SUM(D1468*100)</f>
        <v>1000</v>
      </c>
    </row>
    <row r="1469" ht="16.5" spans="1:5">
      <c r="A1469" s="151">
        <v>1468</v>
      </c>
      <c r="B1469" s="152" t="s">
        <v>4978</v>
      </c>
      <c r="C1469" s="153" t="s">
        <v>16629</v>
      </c>
      <c r="D1469" s="158">
        <v>10</v>
      </c>
      <c r="E1469" s="155">
        <f>+D1469*100</f>
        <v>1000</v>
      </c>
    </row>
    <row r="1470" ht="16.5" spans="1:5">
      <c r="A1470" s="151">
        <v>1469</v>
      </c>
      <c r="B1470" s="152" t="s">
        <v>4981</v>
      </c>
      <c r="C1470" s="162" t="s">
        <v>16631</v>
      </c>
      <c r="D1470" s="169">
        <v>5000</v>
      </c>
      <c r="E1470" s="170">
        <f>D1470*100</f>
        <v>500000</v>
      </c>
    </row>
    <row r="1471" ht="16.5" spans="1:5">
      <c r="A1471" s="151">
        <v>1470</v>
      </c>
      <c r="B1471" s="152" t="s">
        <v>4985</v>
      </c>
      <c r="C1471" s="153" t="s">
        <v>16629</v>
      </c>
      <c r="D1471" s="154">
        <v>10</v>
      </c>
      <c r="E1471" s="155">
        <f t="shared" ref="E1471:E1482" si="49">+D1471*100</f>
        <v>1000</v>
      </c>
    </row>
    <row r="1472" ht="16.5" spans="1:5">
      <c r="A1472" s="151">
        <v>1471</v>
      </c>
      <c r="B1472" s="152" t="s">
        <v>4988</v>
      </c>
      <c r="C1472" s="156" t="s">
        <v>16629</v>
      </c>
      <c r="D1472" s="157">
        <v>10</v>
      </c>
      <c r="E1472" s="155">
        <f t="shared" si="49"/>
        <v>1000</v>
      </c>
    </row>
    <row r="1473" ht="16.5" spans="1:5">
      <c r="A1473" s="151">
        <v>1472</v>
      </c>
      <c r="B1473" s="152" t="s">
        <v>4991</v>
      </c>
      <c r="C1473" s="153" t="s">
        <v>16629</v>
      </c>
      <c r="D1473" s="154">
        <v>10</v>
      </c>
      <c r="E1473" s="155">
        <f t="shared" si="49"/>
        <v>1000</v>
      </c>
    </row>
    <row r="1474" ht="16.5" spans="1:5">
      <c r="A1474" s="151">
        <v>1473</v>
      </c>
      <c r="B1474" s="152" t="s">
        <v>4994</v>
      </c>
      <c r="C1474" s="153" t="s">
        <v>16629</v>
      </c>
      <c r="D1474" s="154">
        <v>10</v>
      </c>
      <c r="E1474" s="155">
        <f t="shared" si="49"/>
        <v>1000</v>
      </c>
    </row>
    <row r="1475" ht="16.5" spans="1:5">
      <c r="A1475" s="151">
        <v>1474</v>
      </c>
      <c r="B1475" s="152" t="s">
        <v>4998</v>
      </c>
      <c r="C1475" s="153" t="s">
        <v>16629</v>
      </c>
      <c r="D1475" s="154">
        <v>10</v>
      </c>
      <c r="E1475" s="155">
        <f t="shared" si="49"/>
        <v>1000</v>
      </c>
    </row>
    <row r="1476" ht="16.5" spans="1:5">
      <c r="A1476" s="151">
        <v>1475</v>
      </c>
      <c r="B1476" s="152" t="s">
        <v>5001</v>
      </c>
      <c r="C1476" s="156" t="s">
        <v>16629</v>
      </c>
      <c r="D1476" s="159">
        <v>10</v>
      </c>
      <c r="E1476" s="155">
        <f t="shared" si="49"/>
        <v>1000</v>
      </c>
    </row>
    <row r="1477" ht="16.5" spans="1:5">
      <c r="A1477" s="151">
        <v>1476</v>
      </c>
      <c r="B1477" s="152" t="s">
        <v>5004</v>
      </c>
      <c r="C1477" s="153" t="s">
        <v>16629</v>
      </c>
      <c r="D1477" s="154">
        <v>10</v>
      </c>
      <c r="E1477" s="155">
        <f t="shared" si="49"/>
        <v>1000</v>
      </c>
    </row>
    <row r="1478" ht="16.5" spans="1:5">
      <c r="A1478" s="151">
        <v>1477</v>
      </c>
      <c r="B1478" s="152" t="s">
        <v>5007</v>
      </c>
      <c r="C1478" s="153" t="s">
        <v>16629</v>
      </c>
      <c r="D1478" s="158">
        <v>10</v>
      </c>
      <c r="E1478" s="155">
        <f t="shared" si="49"/>
        <v>1000</v>
      </c>
    </row>
    <row r="1479" ht="16.5" spans="1:5">
      <c r="A1479" s="151">
        <v>1478</v>
      </c>
      <c r="B1479" s="152" t="s">
        <v>5010</v>
      </c>
      <c r="C1479" s="156" t="s">
        <v>16629</v>
      </c>
      <c r="D1479" s="157">
        <v>10</v>
      </c>
      <c r="E1479" s="155">
        <f t="shared" si="49"/>
        <v>1000</v>
      </c>
    </row>
    <row r="1480" ht="16.5" spans="1:5">
      <c r="A1480" s="151">
        <v>1479</v>
      </c>
      <c r="B1480" s="152" t="s">
        <v>5013</v>
      </c>
      <c r="C1480" s="153" t="s">
        <v>16629</v>
      </c>
      <c r="D1480" s="154">
        <v>10</v>
      </c>
      <c r="E1480" s="155">
        <f t="shared" si="49"/>
        <v>1000</v>
      </c>
    </row>
    <row r="1481" ht="16.5" spans="1:5">
      <c r="A1481" s="151">
        <v>1480</v>
      </c>
      <c r="B1481" s="152" t="s">
        <v>5017</v>
      </c>
      <c r="C1481" s="156" t="s">
        <v>16629</v>
      </c>
      <c r="D1481" s="159">
        <v>10</v>
      </c>
      <c r="E1481" s="155">
        <f t="shared" si="49"/>
        <v>1000</v>
      </c>
    </row>
    <row r="1482" ht="16.5" spans="1:5">
      <c r="A1482" s="151">
        <v>1481</v>
      </c>
      <c r="B1482" s="152" t="s">
        <v>5020</v>
      </c>
      <c r="C1482" s="156" t="s">
        <v>16629</v>
      </c>
      <c r="D1482" s="159">
        <v>10</v>
      </c>
      <c r="E1482" s="155">
        <f t="shared" si="49"/>
        <v>1000</v>
      </c>
    </row>
    <row r="1483" ht="16.5" spans="1:5">
      <c r="A1483" s="151">
        <v>1482</v>
      </c>
      <c r="B1483" s="152" t="s">
        <v>5023</v>
      </c>
      <c r="C1483" s="160" t="s">
        <v>16630</v>
      </c>
      <c r="D1483" s="160">
        <v>350</v>
      </c>
      <c r="E1483" s="161">
        <f>SUM(D1483*100)</f>
        <v>35000</v>
      </c>
    </row>
    <row r="1484" ht="16.5" spans="1:5">
      <c r="A1484" s="151">
        <v>1483</v>
      </c>
      <c r="B1484" s="152" t="s">
        <v>5029</v>
      </c>
      <c r="C1484" s="156" t="s">
        <v>16629</v>
      </c>
      <c r="D1484" s="157">
        <v>10</v>
      </c>
      <c r="E1484" s="155">
        <f t="shared" ref="E1484:E1489" si="50">+D1484*100</f>
        <v>1000</v>
      </c>
    </row>
    <row r="1485" ht="16.5" spans="1:5">
      <c r="A1485" s="151">
        <v>1484</v>
      </c>
      <c r="B1485" s="152" t="s">
        <v>5033</v>
      </c>
      <c r="C1485" s="156" t="s">
        <v>16629</v>
      </c>
      <c r="D1485" s="159">
        <v>10</v>
      </c>
      <c r="E1485" s="155">
        <f t="shared" si="50"/>
        <v>1000</v>
      </c>
    </row>
    <row r="1486" ht="16.5" spans="1:5">
      <c r="A1486" s="151">
        <v>1485</v>
      </c>
      <c r="B1486" s="152" t="s">
        <v>5036</v>
      </c>
      <c r="C1486" s="153" t="s">
        <v>16629</v>
      </c>
      <c r="D1486" s="154">
        <v>10</v>
      </c>
      <c r="E1486" s="155">
        <f t="shared" si="50"/>
        <v>1000</v>
      </c>
    </row>
    <row r="1487" ht="16.5" spans="1:5">
      <c r="A1487" s="151">
        <v>1486</v>
      </c>
      <c r="B1487" s="152" t="s">
        <v>5039</v>
      </c>
      <c r="C1487" s="153" t="s">
        <v>16629</v>
      </c>
      <c r="D1487" s="158">
        <v>10</v>
      </c>
      <c r="E1487" s="155">
        <f t="shared" si="50"/>
        <v>1000</v>
      </c>
    </row>
    <row r="1488" ht="16.5" spans="1:5">
      <c r="A1488" s="151">
        <v>1487</v>
      </c>
      <c r="B1488" s="152" t="s">
        <v>5042</v>
      </c>
      <c r="C1488" s="153" t="s">
        <v>16629</v>
      </c>
      <c r="D1488" s="154">
        <v>10</v>
      </c>
      <c r="E1488" s="155">
        <f t="shared" si="50"/>
        <v>1000</v>
      </c>
    </row>
    <row r="1489" ht="16.5" spans="1:5">
      <c r="A1489" s="151">
        <v>1488</v>
      </c>
      <c r="B1489" s="152" t="s">
        <v>5045</v>
      </c>
      <c r="C1489" s="156" t="s">
        <v>16629</v>
      </c>
      <c r="D1489" s="157">
        <v>10</v>
      </c>
      <c r="E1489" s="155">
        <f t="shared" si="50"/>
        <v>1000</v>
      </c>
    </row>
    <row r="1490" ht="16.5" spans="1:5">
      <c r="A1490" s="151">
        <v>1489</v>
      </c>
      <c r="B1490" s="152" t="s">
        <v>5048</v>
      </c>
      <c r="C1490" s="166" t="s">
        <v>16632</v>
      </c>
      <c r="D1490" s="151">
        <f>IFERROR(__xludf.DUMMYFUNCTION("""COMPUTED_VALUE"""),10000)</f>
        <v>10000</v>
      </c>
      <c r="E1490" s="167">
        <f>IFERROR(__xludf.DUMMYFUNCTION("""COMPUTED_VALUE"""),1500000)</f>
        <v>1500000</v>
      </c>
    </row>
    <row r="1491" ht="16.5" spans="1:5">
      <c r="A1491" s="151">
        <v>1490</v>
      </c>
      <c r="B1491" s="152" t="s">
        <v>5049</v>
      </c>
      <c r="C1491" s="156" t="s">
        <v>16629</v>
      </c>
      <c r="D1491" s="159">
        <v>10</v>
      </c>
      <c r="E1491" s="155">
        <f>+D1491*100</f>
        <v>1000</v>
      </c>
    </row>
    <row r="1492" ht="16.5" spans="1:5">
      <c r="A1492" s="151">
        <v>1491</v>
      </c>
      <c r="B1492" s="152" t="s">
        <v>5053</v>
      </c>
      <c r="C1492" s="156" t="s">
        <v>16629</v>
      </c>
      <c r="D1492" s="159">
        <v>10</v>
      </c>
      <c r="E1492" s="155">
        <f>+D1492*100</f>
        <v>1000</v>
      </c>
    </row>
    <row r="1493" ht="16.5" spans="1:5">
      <c r="A1493" s="151">
        <v>1492</v>
      </c>
      <c r="B1493" s="152" t="s">
        <v>5056</v>
      </c>
      <c r="C1493" s="153" t="s">
        <v>16629</v>
      </c>
      <c r="D1493" s="154">
        <v>10</v>
      </c>
      <c r="E1493" s="155">
        <f>+D1493*100</f>
        <v>1000</v>
      </c>
    </row>
    <row r="1494" ht="16.5" spans="1:5">
      <c r="A1494" s="151">
        <v>1493</v>
      </c>
      <c r="B1494" s="152" t="s">
        <v>5060</v>
      </c>
      <c r="C1494" s="160" t="s">
        <v>16630</v>
      </c>
      <c r="D1494" s="160">
        <v>500</v>
      </c>
      <c r="E1494" s="161">
        <f>SUM(D1494*100)</f>
        <v>50000</v>
      </c>
    </row>
    <row r="1495" ht="16.5" spans="1:5">
      <c r="A1495" s="151">
        <v>1494</v>
      </c>
      <c r="B1495" s="152" t="s">
        <v>5064</v>
      </c>
      <c r="C1495" s="162" t="s">
        <v>16633</v>
      </c>
      <c r="D1495" s="171">
        <f>G1495/100</f>
        <v>0</v>
      </c>
      <c r="E1495" s="171">
        <f>G1495</f>
        <v>0</v>
      </c>
    </row>
    <row r="1496" ht="16.5" spans="1:5">
      <c r="A1496" s="151">
        <v>1495</v>
      </c>
      <c r="B1496" s="152" t="s">
        <v>5069</v>
      </c>
      <c r="C1496" s="160" t="s">
        <v>16630</v>
      </c>
      <c r="D1496" s="160">
        <v>150</v>
      </c>
      <c r="E1496" s="161">
        <f>SUM(D1496*100)</f>
        <v>15000</v>
      </c>
    </row>
    <row r="1497" ht="16.5" spans="1:5">
      <c r="A1497" s="151">
        <v>1496</v>
      </c>
      <c r="B1497" s="152" t="s">
        <v>5073</v>
      </c>
      <c r="C1497" s="162" t="s">
        <v>16631</v>
      </c>
      <c r="D1497" s="163">
        <v>1000</v>
      </c>
      <c r="E1497" s="163">
        <f>D1497*100</f>
        <v>100000</v>
      </c>
    </row>
    <row r="1498" ht="16.5" spans="1:5">
      <c r="A1498" s="151">
        <v>1497</v>
      </c>
      <c r="B1498" s="152" t="s">
        <v>5077</v>
      </c>
      <c r="C1498" s="162" t="s">
        <v>16631</v>
      </c>
      <c r="D1498" s="163">
        <v>1000</v>
      </c>
      <c r="E1498" s="163">
        <f>D1498*100</f>
        <v>100000</v>
      </c>
    </row>
    <row r="1499" ht="16.5" spans="1:5">
      <c r="A1499" s="151">
        <v>1498</v>
      </c>
      <c r="B1499" s="152" t="s">
        <v>5082</v>
      </c>
      <c r="C1499" s="160" t="s">
        <v>16630</v>
      </c>
      <c r="D1499" s="41">
        <v>20</v>
      </c>
      <c r="E1499" s="161">
        <f>SUM(D1499*100)</f>
        <v>2000</v>
      </c>
    </row>
    <row r="1500" ht="16.5" spans="1:5">
      <c r="A1500" s="151">
        <v>1499</v>
      </c>
      <c r="B1500" s="152" t="s">
        <v>5085</v>
      </c>
      <c r="C1500" s="160" t="s">
        <v>16630</v>
      </c>
      <c r="D1500" s="41">
        <v>70</v>
      </c>
      <c r="E1500" s="161">
        <f>SUM(D1500*100)</f>
        <v>7000</v>
      </c>
    </row>
    <row r="1501" ht="16.5" spans="1:5">
      <c r="A1501" s="151">
        <v>1500</v>
      </c>
      <c r="B1501" s="152" t="s">
        <v>5088</v>
      </c>
      <c r="C1501" s="160" t="s">
        <v>16630</v>
      </c>
      <c r="D1501" s="160">
        <v>5000</v>
      </c>
      <c r="E1501" s="161">
        <f>SUM(D1501*10)</f>
        <v>50000</v>
      </c>
    </row>
    <row r="1502" ht="16.5" spans="1:5">
      <c r="A1502" s="151">
        <v>1501</v>
      </c>
      <c r="B1502" s="152" t="s">
        <v>5092</v>
      </c>
      <c r="C1502" s="160" t="s">
        <v>16630</v>
      </c>
      <c r="D1502" s="160">
        <v>40</v>
      </c>
      <c r="E1502" s="161">
        <f>SUM(D1502*100)</f>
        <v>4000</v>
      </c>
    </row>
    <row r="1503" ht="16.5" spans="1:5">
      <c r="A1503" s="151">
        <v>1502</v>
      </c>
      <c r="B1503" s="152" t="s">
        <v>5096</v>
      </c>
      <c r="C1503" s="160" t="s">
        <v>16630</v>
      </c>
      <c r="D1503" s="160">
        <v>10</v>
      </c>
      <c r="E1503" s="161">
        <f>SUM(D1503*100)</f>
        <v>1000</v>
      </c>
    </row>
    <row r="1504" ht="16.5" spans="1:5">
      <c r="A1504" s="151">
        <v>1503</v>
      </c>
      <c r="B1504" s="152" t="s">
        <v>5100</v>
      </c>
      <c r="C1504" s="162" t="s">
        <v>16631</v>
      </c>
      <c r="D1504" s="163">
        <v>3000</v>
      </c>
      <c r="E1504" s="163">
        <f>D1504*100</f>
        <v>300000</v>
      </c>
    </row>
    <row r="1505" ht="16.5" spans="1:5">
      <c r="A1505" s="151">
        <v>1504</v>
      </c>
      <c r="B1505" s="152" t="s">
        <v>5105</v>
      </c>
      <c r="C1505" s="153" t="s">
        <v>16629</v>
      </c>
      <c r="D1505" s="154">
        <v>10</v>
      </c>
      <c r="E1505" s="155">
        <f>+D1505*100</f>
        <v>1000</v>
      </c>
    </row>
    <row r="1506" ht="16.5" spans="1:5">
      <c r="A1506" s="151">
        <v>1505</v>
      </c>
      <c r="B1506" s="152" t="s">
        <v>5109</v>
      </c>
      <c r="C1506" s="160" t="s">
        <v>16630</v>
      </c>
      <c r="D1506" s="160">
        <v>100</v>
      </c>
      <c r="E1506" s="161">
        <f>SUM(D1506*100)</f>
        <v>10000</v>
      </c>
    </row>
    <row r="1507" ht="16.5" spans="1:5">
      <c r="A1507" s="151">
        <v>1506</v>
      </c>
      <c r="B1507" s="152" t="s">
        <v>5113</v>
      </c>
      <c r="C1507" s="153" t="s">
        <v>16629</v>
      </c>
      <c r="D1507" s="154">
        <v>10</v>
      </c>
      <c r="E1507" s="155">
        <f>+D1507*100</f>
        <v>1000</v>
      </c>
    </row>
    <row r="1508" ht="16.5" spans="1:5">
      <c r="A1508" s="151">
        <v>1507</v>
      </c>
      <c r="B1508" s="152" t="s">
        <v>5116</v>
      </c>
      <c r="C1508" s="162" t="s">
        <v>16631</v>
      </c>
      <c r="D1508" s="163">
        <v>1000</v>
      </c>
      <c r="E1508" s="163">
        <f>D1508*100</f>
        <v>100000</v>
      </c>
    </row>
    <row r="1509" ht="16.5" spans="1:5">
      <c r="A1509" s="151">
        <v>1508</v>
      </c>
      <c r="B1509" s="152" t="s">
        <v>5121</v>
      </c>
      <c r="C1509" s="153" t="s">
        <v>16629</v>
      </c>
      <c r="D1509" s="158">
        <v>10</v>
      </c>
      <c r="E1509" s="155">
        <f t="shared" ref="E1509:E1514" si="51">+D1509*100</f>
        <v>1000</v>
      </c>
    </row>
    <row r="1510" ht="16.5" spans="1:5">
      <c r="A1510" s="151">
        <v>1509</v>
      </c>
      <c r="B1510" s="152" t="s">
        <v>5124</v>
      </c>
      <c r="C1510" s="153" t="s">
        <v>16629</v>
      </c>
      <c r="D1510" s="154">
        <v>10</v>
      </c>
      <c r="E1510" s="155">
        <f t="shared" si="51"/>
        <v>1000</v>
      </c>
    </row>
    <row r="1511" ht="16.5" spans="1:5">
      <c r="A1511" s="151">
        <v>1510</v>
      </c>
      <c r="B1511" s="152" t="s">
        <v>5127</v>
      </c>
      <c r="C1511" s="153" t="s">
        <v>16629</v>
      </c>
      <c r="D1511" s="154">
        <v>10</v>
      </c>
      <c r="E1511" s="155">
        <f t="shared" si="51"/>
        <v>1000</v>
      </c>
    </row>
    <row r="1512" ht="16.5" spans="1:5">
      <c r="A1512" s="151">
        <v>1511</v>
      </c>
      <c r="B1512" s="152" t="s">
        <v>5130</v>
      </c>
      <c r="C1512" s="153" t="s">
        <v>16629</v>
      </c>
      <c r="D1512" s="158">
        <v>10</v>
      </c>
      <c r="E1512" s="155">
        <f t="shared" si="51"/>
        <v>1000</v>
      </c>
    </row>
    <row r="1513" ht="16.5" spans="1:5">
      <c r="A1513" s="151">
        <v>1512</v>
      </c>
      <c r="B1513" s="152" t="s">
        <v>5133</v>
      </c>
      <c r="C1513" s="153" t="s">
        <v>16629</v>
      </c>
      <c r="D1513" s="154">
        <v>10</v>
      </c>
      <c r="E1513" s="155">
        <f t="shared" si="51"/>
        <v>1000</v>
      </c>
    </row>
    <row r="1514" ht="16.5" spans="1:5">
      <c r="A1514" s="151">
        <v>1513</v>
      </c>
      <c r="B1514" s="152" t="s">
        <v>5136</v>
      </c>
      <c r="C1514" s="156" t="s">
        <v>16629</v>
      </c>
      <c r="D1514" s="159">
        <v>10</v>
      </c>
      <c r="E1514" s="155">
        <f t="shared" si="51"/>
        <v>1000</v>
      </c>
    </row>
    <row r="1515" ht="16.5" spans="1:5">
      <c r="A1515" s="151">
        <v>1514</v>
      </c>
      <c r="B1515" s="152" t="s">
        <v>5139</v>
      </c>
      <c r="C1515" s="160" t="s">
        <v>16630</v>
      </c>
      <c r="D1515" s="160">
        <v>100</v>
      </c>
      <c r="E1515" s="161">
        <f>SUM(D1515*100)</f>
        <v>10000</v>
      </c>
    </row>
    <row r="1516" ht="16.5" spans="1:5">
      <c r="A1516" s="151">
        <v>1515</v>
      </c>
      <c r="B1516" s="152" t="s">
        <v>5143</v>
      </c>
      <c r="C1516" s="156" t="s">
        <v>16629</v>
      </c>
      <c r="D1516" s="157">
        <v>10</v>
      </c>
      <c r="E1516" s="155">
        <f>+D1516*100</f>
        <v>1000</v>
      </c>
    </row>
    <row r="1517" ht="16.5" spans="1:5">
      <c r="A1517" s="151">
        <v>1516</v>
      </c>
      <c r="B1517" s="152" t="s">
        <v>5146</v>
      </c>
      <c r="C1517" s="162" t="s">
        <v>16631</v>
      </c>
      <c r="D1517" s="169">
        <v>1000</v>
      </c>
      <c r="E1517" s="170">
        <f>D1517*100</f>
        <v>100000</v>
      </c>
    </row>
    <row r="1518" ht="16.5" spans="1:5">
      <c r="A1518" s="151">
        <v>1517</v>
      </c>
      <c r="B1518" s="152" t="s">
        <v>5151</v>
      </c>
      <c r="C1518" s="156" t="s">
        <v>16629</v>
      </c>
      <c r="D1518" s="159">
        <v>10</v>
      </c>
      <c r="E1518" s="155">
        <f>+D1518*100</f>
        <v>1000</v>
      </c>
    </row>
    <row r="1519" ht="16.5" spans="1:5">
      <c r="A1519" s="151">
        <v>1518</v>
      </c>
      <c r="B1519" s="152" t="s">
        <v>5154</v>
      </c>
      <c r="C1519" s="160" t="s">
        <v>16630</v>
      </c>
      <c r="D1519" s="160">
        <v>700</v>
      </c>
      <c r="E1519" s="161">
        <f>SUM(D1519*100)</f>
        <v>70000</v>
      </c>
    </row>
    <row r="1520" ht="16.5" spans="1:5">
      <c r="A1520" s="151">
        <v>1519</v>
      </c>
      <c r="B1520" s="152" t="s">
        <v>5158</v>
      </c>
      <c r="C1520" s="162" t="s">
        <v>16631</v>
      </c>
      <c r="D1520" s="163">
        <v>1000</v>
      </c>
      <c r="E1520" s="163">
        <f>D1520*100</f>
        <v>100000</v>
      </c>
    </row>
    <row r="1521" ht="16.5" spans="1:5">
      <c r="A1521" s="151">
        <v>1520</v>
      </c>
      <c r="B1521" s="152" t="s">
        <v>5163</v>
      </c>
      <c r="C1521" s="153" t="s">
        <v>16629</v>
      </c>
      <c r="D1521" s="158">
        <v>10</v>
      </c>
      <c r="E1521" s="155">
        <f>+D1521*100</f>
        <v>1000</v>
      </c>
    </row>
    <row r="1522" ht="16.5" spans="1:5">
      <c r="A1522" s="151">
        <v>1521</v>
      </c>
      <c r="B1522" s="152" t="s">
        <v>5166</v>
      </c>
      <c r="C1522" s="160" t="s">
        <v>16630</v>
      </c>
      <c r="D1522" s="160">
        <v>400</v>
      </c>
      <c r="E1522" s="161">
        <f>SUM(D1522*100)</f>
        <v>40000</v>
      </c>
    </row>
    <row r="1523" ht="16.5" spans="1:5">
      <c r="A1523" s="151">
        <v>1522</v>
      </c>
      <c r="B1523" s="152" t="s">
        <v>5169</v>
      </c>
      <c r="C1523" s="153" t="s">
        <v>16629</v>
      </c>
      <c r="D1523" s="154">
        <v>10</v>
      </c>
      <c r="E1523" s="155">
        <f t="shared" ref="E1523:E1529" si="52">+D1523*100</f>
        <v>1000</v>
      </c>
    </row>
    <row r="1524" ht="16.5" spans="1:5">
      <c r="A1524" s="151">
        <v>1523</v>
      </c>
      <c r="B1524" s="152" t="s">
        <v>5173</v>
      </c>
      <c r="C1524" s="153" t="s">
        <v>16629</v>
      </c>
      <c r="D1524" s="158">
        <v>10</v>
      </c>
      <c r="E1524" s="155">
        <f t="shared" si="52"/>
        <v>1000</v>
      </c>
    </row>
    <row r="1525" ht="16.5" spans="1:5">
      <c r="A1525" s="151">
        <v>1524</v>
      </c>
      <c r="B1525" s="152" t="s">
        <v>5176</v>
      </c>
      <c r="C1525" s="156" t="s">
        <v>16629</v>
      </c>
      <c r="D1525" s="157">
        <v>10</v>
      </c>
      <c r="E1525" s="155">
        <f t="shared" si="52"/>
        <v>1000</v>
      </c>
    </row>
    <row r="1526" ht="16.5" spans="1:5">
      <c r="A1526" s="151">
        <v>1525</v>
      </c>
      <c r="B1526" s="152" t="s">
        <v>5179</v>
      </c>
      <c r="C1526" s="156" t="s">
        <v>16629</v>
      </c>
      <c r="D1526" s="159">
        <v>10</v>
      </c>
      <c r="E1526" s="155">
        <f t="shared" si="52"/>
        <v>1000</v>
      </c>
    </row>
    <row r="1527" ht="16.5" spans="1:5">
      <c r="A1527" s="151">
        <v>1526</v>
      </c>
      <c r="B1527" s="152" t="s">
        <v>5182</v>
      </c>
      <c r="C1527" s="153" t="s">
        <v>16629</v>
      </c>
      <c r="D1527" s="154">
        <v>10</v>
      </c>
      <c r="E1527" s="155">
        <f t="shared" si="52"/>
        <v>1000</v>
      </c>
    </row>
    <row r="1528" ht="16.5" spans="1:5">
      <c r="A1528" s="151">
        <v>1527</v>
      </c>
      <c r="B1528" s="152" t="s">
        <v>5186</v>
      </c>
      <c r="C1528" s="153" t="s">
        <v>16629</v>
      </c>
      <c r="D1528" s="154">
        <v>10</v>
      </c>
      <c r="E1528" s="155">
        <f t="shared" si="52"/>
        <v>1000</v>
      </c>
    </row>
    <row r="1529" ht="16.5" spans="1:5">
      <c r="A1529" s="151">
        <v>1528</v>
      </c>
      <c r="B1529" s="152" t="s">
        <v>5190</v>
      </c>
      <c r="C1529" s="156" t="s">
        <v>16629</v>
      </c>
      <c r="D1529" s="154">
        <v>10</v>
      </c>
      <c r="E1529" s="155">
        <f t="shared" si="52"/>
        <v>1000</v>
      </c>
    </row>
    <row r="1530" ht="16.5" spans="1:5">
      <c r="A1530" s="151">
        <v>1529</v>
      </c>
      <c r="B1530" s="152" t="s">
        <v>5193</v>
      </c>
      <c r="C1530" s="166" t="s">
        <v>16632</v>
      </c>
      <c r="D1530" s="166">
        <f>IFERROR(__xludf.DUMMYFUNCTION("""COMPUTED_VALUE"""),10000)</f>
        <v>10000</v>
      </c>
      <c r="E1530" s="168">
        <f>IFERROR(__xludf.DUMMYFUNCTION("""COMPUTED_VALUE"""),1500000)</f>
        <v>1500000</v>
      </c>
    </row>
    <row r="1531" ht="16.5" spans="1:5">
      <c r="A1531" s="151">
        <v>1530</v>
      </c>
      <c r="B1531" s="152" t="s">
        <v>5194</v>
      </c>
      <c r="C1531" s="156" t="s">
        <v>16629</v>
      </c>
      <c r="D1531" s="157">
        <v>10</v>
      </c>
      <c r="E1531" s="155">
        <f t="shared" ref="E1531:E1546" si="53">+D1531*100</f>
        <v>1000</v>
      </c>
    </row>
    <row r="1532" ht="16.5" spans="1:5">
      <c r="A1532" s="151">
        <v>1531</v>
      </c>
      <c r="B1532" s="152" t="s">
        <v>5198</v>
      </c>
      <c r="C1532" s="153" t="s">
        <v>16629</v>
      </c>
      <c r="D1532" s="158">
        <v>10</v>
      </c>
      <c r="E1532" s="155">
        <f t="shared" si="53"/>
        <v>1000</v>
      </c>
    </row>
    <row r="1533" ht="16.5" spans="1:5">
      <c r="A1533" s="151">
        <v>1532</v>
      </c>
      <c r="B1533" s="152" t="s">
        <v>5201</v>
      </c>
      <c r="C1533" s="153" t="s">
        <v>16629</v>
      </c>
      <c r="D1533" s="154">
        <v>10</v>
      </c>
      <c r="E1533" s="155">
        <f t="shared" si="53"/>
        <v>1000</v>
      </c>
    </row>
    <row r="1534" ht="16.5" spans="1:5">
      <c r="A1534" s="151">
        <v>1533</v>
      </c>
      <c r="B1534" s="152" t="s">
        <v>5204</v>
      </c>
      <c r="C1534" s="153" t="s">
        <v>16629</v>
      </c>
      <c r="D1534" s="158">
        <v>10</v>
      </c>
      <c r="E1534" s="155">
        <f t="shared" si="53"/>
        <v>1000</v>
      </c>
    </row>
    <row r="1535" ht="16.5" spans="1:5">
      <c r="A1535" s="151">
        <v>1534</v>
      </c>
      <c r="B1535" s="152" t="s">
        <v>5207</v>
      </c>
      <c r="C1535" s="153" t="s">
        <v>16629</v>
      </c>
      <c r="D1535" s="158">
        <v>10</v>
      </c>
      <c r="E1535" s="155">
        <f t="shared" si="53"/>
        <v>1000</v>
      </c>
    </row>
    <row r="1536" ht="16.5" spans="1:5">
      <c r="A1536" s="151">
        <v>1535</v>
      </c>
      <c r="B1536" s="152" t="s">
        <v>5210</v>
      </c>
      <c r="C1536" s="153" t="s">
        <v>16629</v>
      </c>
      <c r="D1536" s="158">
        <v>10</v>
      </c>
      <c r="E1536" s="155">
        <f t="shared" si="53"/>
        <v>1000</v>
      </c>
    </row>
    <row r="1537" ht="16.5" spans="1:5">
      <c r="A1537" s="151">
        <v>1536</v>
      </c>
      <c r="B1537" s="152" t="s">
        <v>5213</v>
      </c>
      <c r="C1537" s="156" t="s">
        <v>16629</v>
      </c>
      <c r="D1537" s="159">
        <v>10</v>
      </c>
      <c r="E1537" s="155">
        <f t="shared" si="53"/>
        <v>1000</v>
      </c>
    </row>
    <row r="1538" ht="16.5" spans="1:5">
      <c r="A1538" s="151">
        <v>1537</v>
      </c>
      <c r="B1538" s="152" t="s">
        <v>5216</v>
      </c>
      <c r="C1538" s="156" t="s">
        <v>16629</v>
      </c>
      <c r="D1538" s="157">
        <v>10</v>
      </c>
      <c r="E1538" s="155">
        <f t="shared" si="53"/>
        <v>1000</v>
      </c>
    </row>
    <row r="1539" ht="16.5" spans="1:5">
      <c r="A1539" s="151">
        <v>1538</v>
      </c>
      <c r="B1539" s="152" t="s">
        <v>5220</v>
      </c>
      <c r="C1539" s="153" t="s">
        <v>16629</v>
      </c>
      <c r="D1539" s="158">
        <v>10</v>
      </c>
      <c r="E1539" s="155">
        <f t="shared" si="53"/>
        <v>1000</v>
      </c>
    </row>
    <row r="1540" ht="16.5" spans="1:5">
      <c r="A1540" s="151">
        <v>1539</v>
      </c>
      <c r="B1540" s="152" t="s">
        <v>5223</v>
      </c>
      <c r="C1540" s="153" t="s">
        <v>16629</v>
      </c>
      <c r="D1540" s="154">
        <v>10</v>
      </c>
      <c r="E1540" s="155">
        <f t="shared" si="53"/>
        <v>1000</v>
      </c>
    </row>
    <row r="1541" ht="16.5" spans="1:5">
      <c r="A1541" s="151">
        <v>1540</v>
      </c>
      <c r="B1541" s="152" t="s">
        <v>5226</v>
      </c>
      <c r="C1541" s="156" t="s">
        <v>16629</v>
      </c>
      <c r="D1541" s="159">
        <v>10</v>
      </c>
      <c r="E1541" s="155">
        <f t="shared" si="53"/>
        <v>1000</v>
      </c>
    </row>
    <row r="1542" ht="16.5" spans="1:5">
      <c r="A1542" s="151">
        <v>1541</v>
      </c>
      <c r="B1542" s="152" t="s">
        <v>5229</v>
      </c>
      <c r="C1542" s="156" t="s">
        <v>16629</v>
      </c>
      <c r="D1542" s="159">
        <v>10</v>
      </c>
      <c r="E1542" s="155">
        <f t="shared" si="53"/>
        <v>1000</v>
      </c>
    </row>
    <row r="1543" ht="16.5" spans="1:5">
      <c r="A1543" s="151">
        <v>1542</v>
      </c>
      <c r="B1543" s="152" t="s">
        <v>5232</v>
      </c>
      <c r="C1543" s="156" t="s">
        <v>16629</v>
      </c>
      <c r="D1543" s="157">
        <v>10</v>
      </c>
      <c r="E1543" s="155">
        <f t="shared" si="53"/>
        <v>1000</v>
      </c>
    </row>
    <row r="1544" ht="16.5" spans="1:5">
      <c r="A1544" s="151">
        <v>1543</v>
      </c>
      <c r="B1544" s="152" t="s">
        <v>5235</v>
      </c>
      <c r="C1544" s="156" t="s">
        <v>16629</v>
      </c>
      <c r="D1544" s="159">
        <v>10</v>
      </c>
      <c r="E1544" s="155">
        <f t="shared" si="53"/>
        <v>1000</v>
      </c>
    </row>
    <row r="1545" ht="16.5" spans="1:5">
      <c r="A1545" s="151">
        <v>1544</v>
      </c>
      <c r="B1545" s="152" t="s">
        <v>5238</v>
      </c>
      <c r="C1545" s="153" t="s">
        <v>16629</v>
      </c>
      <c r="D1545" s="154">
        <v>10</v>
      </c>
      <c r="E1545" s="155">
        <f t="shared" si="53"/>
        <v>1000</v>
      </c>
    </row>
    <row r="1546" ht="16.5" spans="1:5">
      <c r="A1546" s="151">
        <v>1545</v>
      </c>
      <c r="B1546" s="152" t="s">
        <v>5241</v>
      </c>
      <c r="C1546" s="153" t="s">
        <v>16629</v>
      </c>
      <c r="D1546" s="154">
        <v>10</v>
      </c>
      <c r="E1546" s="155">
        <f t="shared" si="53"/>
        <v>1000</v>
      </c>
    </row>
    <row r="1547" ht="16.5" spans="1:5">
      <c r="A1547" s="151">
        <v>1546</v>
      </c>
      <c r="B1547" s="152" t="s">
        <v>5245</v>
      </c>
      <c r="C1547" s="160" t="s">
        <v>16630</v>
      </c>
      <c r="D1547" s="160">
        <v>48</v>
      </c>
      <c r="E1547" s="161">
        <f>SUM(D1547*100)</f>
        <v>4800</v>
      </c>
    </row>
    <row r="1548" ht="16.5" spans="1:5">
      <c r="A1548" s="151">
        <v>1547</v>
      </c>
      <c r="B1548" s="152" t="s">
        <v>5248</v>
      </c>
      <c r="C1548" s="156" t="s">
        <v>16629</v>
      </c>
      <c r="D1548" s="157">
        <v>10</v>
      </c>
      <c r="E1548" s="155">
        <f t="shared" ref="E1548:E1556" si="54">+D1548*100</f>
        <v>1000</v>
      </c>
    </row>
    <row r="1549" ht="16.5" spans="1:5">
      <c r="A1549" s="151">
        <v>1548</v>
      </c>
      <c r="B1549" s="152" t="s">
        <v>5252</v>
      </c>
      <c r="C1549" s="153" t="s">
        <v>16629</v>
      </c>
      <c r="D1549" s="158">
        <v>10</v>
      </c>
      <c r="E1549" s="155">
        <f t="shared" si="54"/>
        <v>1000</v>
      </c>
    </row>
    <row r="1550" ht="16.5" spans="1:5">
      <c r="A1550" s="151">
        <v>1549</v>
      </c>
      <c r="B1550" s="152" t="s">
        <v>5255</v>
      </c>
      <c r="C1550" s="156" t="s">
        <v>16629</v>
      </c>
      <c r="D1550" s="159">
        <v>10</v>
      </c>
      <c r="E1550" s="155">
        <f t="shared" si="54"/>
        <v>1000</v>
      </c>
    </row>
    <row r="1551" ht="16.5" spans="1:5">
      <c r="A1551" s="151">
        <v>1550</v>
      </c>
      <c r="B1551" s="152" t="s">
        <v>5258</v>
      </c>
      <c r="C1551" s="153" t="s">
        <v>16629</v>
      </c>
      <c r="D1551" s="154">
        <v>10</v>
      </c>
      <c r="E1551" s="155">
        <f t="shared" si="54"/>
        <v>1000</v>
      </c>
    </row>
    <row r="1552" ht="16.5" spans="1:5">
      <c r="A1552" s="151">
        <v>1551</v>
      </c>
      <c r="B1552" s="152" t="s">
        <v>5261</v>
      </c>
      <c r="C1552" s="156" t="s">
        <v>16629</v>
      </c>
      <c r="D1552" s="159">
        <v>10</v>
      </c>
      <c r="E1552" s="155">
        <f t="shared" si="54"/>
        <v>1000</v>
      </c>
    </row>
    <row r="1553" ht="16.5" spans="1:5">
      <c r="A1553" s="151">
        <v>1552</v>
      </c>
      <c r="B1553" s="152" t="s">
        <v>5264</v>
      </c>
      <c r="C1553" s="156" t="s">
        <v>16629</v>
      </c>
      <c r="D1553" s="159">
        <v>10</v>
      </c>
      <c r="E1553" s="155">
        <f t="shared" si="54"/>
        <v>1000</v>
      </c>
    </row>
    <row r="1554" ht="16.5" spans="1:5">
      <c r="A1554" s="151">
        <v>1553</v>
      </c>
      <c r="B1554" s="152" t="s">
        <v>5267</v>
      </c>
      <c r="C1554" s="153" t="s">
        <v>16629</v>
      </c>
      <c r="D1554" s="154">
        <v>10</v>
      </c>
      <c r="E1554" s="155">
        <f t="shared" si="54"/>
        <v>1000</v>
      </c>
    </row>
    <row r="1555" ht="16.5" spans="1:5">
      <c r="A1555" s="151">
        <v>1554</v>
      </c>
      <c r="B1555" s="152" t="s">
        <v>5270</v>
      </c>
      <c r="C1555" s="153" t="s">
        <v>16629</v>
      </c>
      <c r="D1555" s="154">
        <v>10</v>
      </c>
      <c r="E1555" s="155">
        <f t="shared" si="54"/>
        <v>1000</v>
      </c>
    </row>
    <row r="1556" ht="16.5" spans="1:5">
      <c r="A1556" s="151">
        <v>1555</v>
      </c>
      <c r="B1556" s="152" t="s">
        <v>5274</v>
      </c>
      <c r="C1556" s="156" t="s">
        <v>16629</v>
      </c>
      <c r="D1556" s="154">
        <v>10</v>
      </c>
      <c r="E1556" s="155">
        <f t="shared" si="54"/>
        <v>1000</v>
      </c>
    </row>
    <row r="1557" ht="16.5" spans="1:5">
      <c r="A1557" s="151">
        <v>1556</v>
      </c>
      <c r="B1557" s="152" t="s">
        <v>5277</v>
      </c>
      <c r="C1557" s="160" t="s">
        <v>16630</v>
      </c>
      <c r="D1557" s="160">
        <v>200</v>
      </c>
      <c r="E1557" s="161">
        <f>SUM(D1557*100)</f>
        <v>20000</v>
      </c>
    </row>
    <row r="1558" ht="16.5" spans="1:5">
      <c r="A1558" s="151">
        <v>1557</v>
      </c>
      <c r="B1558" s="152" t="s">
        <v>5280</v>
      </c>
      <c r="C1558" s="156" t="s">
        <v>16629</v>
      </c>
      <c r="D1558" s="159">
        <v>10</v>
      </c>
      <c r="E1558" s="155">
        <f>+D1558*100</f>
        <v>1000</v>
      </c>
    </row>
    <row r="1559" ht="16.5" spans="1:5">
      <c r="A1559" s="151">
        <v>1558</v>
      </c>
      <c r="B1559" s="152" t="s">
        <v>5283</v>
      </c>
      <c r="C1559" s="153" t="s">
        <v>16629</v>
      </c>
      <c r="D1559" s="154">
        <v>10</v>
      </c>
      <c r="E1559" s="155">
        <f>+D1559*100</f>
        <v>1000</v>
      </c>
    </row>
    <row r="1560" ht="16.5" spans="1:5">
      <c r="A1560" s="151">
        <v>1559</v>
      </c>
      <c r="B1560" s="152" t="s">
        <v>5287</v>
      </c>
      <c r="C1560" s="156" t="s">
        <v>16629</v>
      </c>
      <c r="D1560" s="159">
        <v>10</v>
      </c>
      <c r="E1560" s="155">
        <f>+D1560*100</f>
        <v>1000</v>
      </c>
    </row>
    <row r="1561" ht="16.5" spans="1:5">
      <c r="A1561" s="151">
        <v>1560</v>
      </c>
      <c r="B1561" s="152" t="s">
        <v>5291</v>
      </c>
      <c r="C1561" s="160" t="s">
        <v>16630</v>
      </c>
      <c r="D1561" s="41">
        <v>1000</v>
      </c>
      <c r="E1561" s="161">
        <f>SUM(D1561*100)</f>
        <v>100000</v>
      </c>
    </row>
    <row r="1562" ht="16.5" spans="1:5">
      <c r="A1562" s="151">
        <v>1561</v>
      </c>
      <c r="B1562" s="152" t="s">
        <v>5294</v>
      </c>
      <c r="C1562" s="160" t="s">
        <v>16630</v>
      </c>
      <c r="D1562" s="160">
        <v>100</v>
      </c>
      <c r="E1562" s="161">
        <f>SUM(D1562*100)</f>
        <v>10000</v>
      </c>
    </row>
    <row r="1563" ht="16.5" spans="1:5">
      <c r="A1563" s="151">
        <v>1562</v>
      </c>
      <c r="B1563" s="152" t="s">
        <v>5298</v>
      </c>
      <c r="C1563" s="160" t="s">
        <v>16630</v>
      </c>
      <c r="D1563" s="160">
        <v>200</v>
      </c>
      <c r="E1563" s="161">
        <f>SUM(D1563*100)</f>
        <v>20000</v>
      </c>
    </row>
    <row r="1564" ht="16.5" spans="1:5">
      <c r="A1564" s="151">
        <v>1563</v>
      </c>
      <c r="B1564" s="152" t="s">
        <v>5302</v>
      </c>
      <c r="C1564" s="166" t="s">
        <v>16632</v>
      </c>
      <c r="D1564" s="166">
        <f>IFERROR(__xludf.DUMMYFUNCTION("""COMPUTED_VALUE"""),15000)</f>
        <v>15000</v>
      </c>
      <c r="E1564" s="168">
        <f>IFERROR(__xludf.DUMMYFUNCTION("""COMPUTED_VALUE"""),1500000)</f>
        <v>1500000</v>
      </c>
    </row>
    <row r="1565" ht="16.5" spans="1:5">
      <c r="A1565" s="151">
        <v>1564</v>
      </c>
      <c r="B1565" s="152" t="s">
        <v>5303</v>
      </c>
      <c r="C1565" s="156" t="s">
        <v>16629</v>
      </c>
      <c r="D1565" s="159">
        <v>10</v>
      </c>
      <c r="E1565" s="155">
        <f>+D1565*100</f>
        <v>1000</v>
      </c>
    </row>
    <row r="1566" ht="16.5" spans="1:5">
      <c r="A1566" s="151">
        <v>1565</v>
      </c>
      <c r="B1566" s="152" t="s">
        <v>5306</v>
      </c>
      <c r="C1566" s="156" t="s">
        <v>16629</v>
      </c>
      <c r="D1566" s="180">
        <v>10</v>
      </c>
      <c r="E1566" s="155">
        <f>+D1566*100</f>
        <v>1000</v>
      </c>
    </row>
    <row r="1567" ht="16.5" spans="1:5">
      <c r="A1567" s="151">
        <v>1566</v>
      </c>
      <c r="B1567" s="152" t="s">
        <v>5309</v>
      </c>
      <c r="C1567" s="166" t="s">
        <v>16632</v>
      </c>
      <c r="D1567" s="166">
        <f>IFERROR(__xludf.DUMMYFUNCTION("""COMPUTED_VALUE"""),10000)</f>
        <v>10000</v>
      </c>
      <c r="E1567" s="168">
        <f>IFERROR(__xludf.DUMMYFUNCTION("""COMPUTED_VALUE"""),1500000)</f>
        <v>1500000</v>
      </c>
    </row>
    <row r="1568" ht="16.5" spans="1:5">
      <c r="A1568" s="151">
        <v>1567</v>
      </c>
      <c r="B1568" s="152" t="s">
        <v>5310</v>
      </c>
      <c r="C1568" s="153" t="s">
        <v>16629</v>
      </c>
      <c r="D1568" s="154">
        <v>10</v>
      </c>
      <c r="E1568" s="155">
        <f>+D1568*100</f>
        <v>1000</v>
      </c>
    </row>
    <row r="1569" ht="16.5" spans="1:5">
      <c r="A1569" s="151">
        <v>1568</v>
      </c>
      <c r="B1569" s="152" t="s">
        <v>5314</v>
      </c>
      <c r="C1569" s="162" t="s">
        <v>16633</v>
      </c>
      <c r="D1569" s="171">
        <f>G1569/100</f>
        <v>0</v>
      </c>
      <c r="E1569" s="171">
        <f>G1569</f>
        <v>0</v>
      </c>
    </row>
    <row r="1570" ht="16.5" spans="1:5">
      <c r="A1570" s="151">
        <v>1569</v>
      </c>
      <c r="B1570" s="152" t="s">
        <v>5314</v>
      </c>
      <c r="C1570" s="162" t="s">
        <v>16631</v>
      </c>
      <c r="D1570" s="163">
        <v>2000</v>
      </c>
      <c r="E1570" s="163">
        <f>D1570*100</f>
        <v>200000</v>
      </c>
    </row>
    <row r="1571" ht="16.5" spans="1:5">
      <c r="A1571" s="151">
        <v>1570</v>
      </c>
      <c r="B1571" s="152" t="s">
        <v>5318</v>
      </c>
      <c r="C1571" s="160" t="s">
        <v>16630</v>
      </c>
      <c r="D1571" s="160">
        <v>300</v>
      </c>
      <c r="E1571" s="161">
        <f>SUM(D1571*100)</f>
        <v>30000</v>
      </c>
    </row>
    <row r="1572" ht="16.5" spans="1:5">
      <c r="A1572" s="151">
        <v>1571</v>
      </c>
      <c r="B1572" s="152" t="s">
        <v>5318</v>
      </c>
      <c r="C1572" s="162" t="s">
        <v>16631</v>
      </c>
      <c r="D1572" s="163">
        <v>1000</v>
      </c>
      <c r="E1572" s="163">
        <f>D1572*100</f>
        <v>100000</v>
      </c>
    </row>
    <row r="1573" ht="16.5" spans="1:5">
      <c r="A1573" s="151">
        <v>1572</v>
      </c>
      <c r="B1573" s="152" t="s">
        <v>5321</v>
      </c>
      <c r="C1573" s="160" t="s">
        <v>16630</v>
      </c>
      <c r="D1573" s="160">
        <v>1000</v>
      </c>
      <c r="E1573" s="161">
        <f>SUM(D1573*100)</f>
        <v>100000</v>
      </c>
    </row>
    <row r="1574" ht="16.5" spans="1:5">
      <c r="A1574" s="151">
        <v>1573</v>
      </c>
      <c r="B1574" s="152" t="s">
        <v>5325</v>
      </c>
      <c r="C1574" s="162" t="s">
        <v>16631</v>
      </c>
      <c r="D1574" s="163">
        <v>2000</v>
      </c>
      <c r="E1574" s="163">
        <f>D1574*100</f>
        <v>200000</v>
      </c>
    </row>
    <row r="1575" ht="16.5" spans="1:5">
      <c r="A1575" s="151">
        <v>1574</v>
      </c>
      <c r="B1575" s="152" t="s">
        <v>5329</v>
      </c>
      <c r="C1575" s="162" t="s">
        <v>16633</v>
      </c>
      <c r="D1575" s="171">
        <f>G1575/100</f>
        <v>0</v>
      </c>
      <c r="E1575" s="171">
        <f>G1575</f>
        <v>0</v>
      </c>
    </row>
    <row r="1576" ht="16.5" spans="1:5">
      <c r="A1576" s="151">
        <v>1575</v>
      </c>
      <c r="B1576" s="152" t="s">
        <v>5331</v>
      </c>
      <c r="C1576" s="162" t="s">
        <v>16633</v>
      </c>
      <c r="D1576" s="171">
        <f>G1576/100</f>
        <v>0</v>
      </c>
      <c r="E1576" s="171">
        <f>G1576</f>
        <v>0</v>
      </c>
    </row>
    <row r="1577" ht="16.5" spans="1:5">
      <c r="A1577" s="151">
        <v>1576</v>
      </c>
      <c r="B1577" s="152" t="s">
        <v>5335</v>
      </c>
      <c r="C1577" s="160" t="s">
        <v>16630</v>
      </c>
      <c r="D1577" s="160">
        <v>10</v>
      </c>
      <c r="E1577" s="161">
        <f>SUM(D1577*100)</f>
        <v>1000</v>
      </c>
    </row>
    <row r="1578" ht="16.5" spans="1:5">
      <c r="A1578" s="151">
        <v>1577</v>
      </c>
      <c r="B1578" s="152" t="s">
        <v>5338</v>
      </c>
      <c r="C1578" s="160" t="s">
        <v>16630</v>
      </c>
      <c r="D1578" s="160">
        <v>10</v>
      </c>
      <c r="E1578" s="161">
        <f>SUM(D1578*100)</f>
        <v>1000</v>
      </c>
    </row>
    <row r="1579" ht="16.5" spans="1:5">
      <c r="A1579" s="151">
        <v>1578</v>
      </c>
      <c r="B1579" s="152" t="s">
        <v>5341</v>
      </c>
      <c r="C1579" s="160" t="s">
        <v>16630</v>
      </c>
      <c r="D1579" s="160">
        <v>100</v>
      </c>
      <c r="E1579" s="161">
        <f>SUM(D1579*100)</f>
        <v>10000</v>
      </c>
    </row>
    <row r="1580" ht="16.5" spans="1:5">
      <c r="A1580" s="151">
        <v>1579</v>
      </c>
      <c r="B1580" s="152" t="s">
        <v>5344</v>
      </c>
      <c r="C1580" s="162" t="s">
        <v>16631</v>
      </c>
      <c r="D1580" s="163">
        <v>1000</v>
      </c>
      <c r="E1580" s="163">
        <f>D1580*100</f>
        <v>100000</v>
      </c>
    </row>
    <row r="1581" ht="16.5" spans="1:5">
      <c r="A1581" s="151">
        <v>1580</v>
      </c>
      <c r="B1581" s="152" t="s">
        <v>5344</v>
      </c>
      <c r="C1581" s="162" t="s">
        <v>16633</v>
      </c>
      <c r="D1581" s="171">
        <f>G1581/100</f>
        <v>0</v>
      </c>
      <c r="E1581" s="171">
        <f>G1581</f>
        <v>0</v>
      </c>
    </row>
    <row r="1582" ht="16.5" spans="1:5">
      <c r="A1582" s="151">
        <v>1581</v>
      </c>
      <c r="B1582" s="152" t="s">
        <v>5348</v>
      </c>
      <c r="C1582" s="160" t="s">
        <v>16630</v>
      </c>
      <c r="D1582" s="164">
        <v>100</v>
      </c>
      <c r="E1582" s="161">
        <f>SUM(D1582*100)</f>
        <v>10000</v>
      </c>
    </row>
    <row r="1583" ht="16.5" spans="1:5">
      <c r="A1583" s="151">
        <v>1582</v>
      </c>
      <c r="B1583" s="152" t="s">
        <v>5351</v>
      </c>
      <c r="C1583" s="156" t="s">
        <v>16629</v>
      </c>
      <c r="D1583" s="159">
        <v>10</v>
      </c>
      <c r="E1583" s="155">
        <f>+D1583*100</f>
        <v>1000</v>
      </c>
    </row>
    <row r="1584" ht="16.5" spans="1:5">
      <c r="A1584" s="151">
        <v>1583</v>
      </c>
      <c r="B1584" s="152" t="s">
        <v>5355</v>
      </c>
      <c r="C1584" s="160" t="s">
        <v>16630</v>
      </c>
      <c r="D1584" s="175">
        <v>10</v>
      </c>
      <c r="E1584" s="161">
        <f>SUM(D1584*100)</f>
        <v>1000</v>
      </c>
    </row>
    <row r="1585" ht="16.5" spans="1:5">
      <c r="A1585" s="151">
        <v>1584</v>
      </c>
      <c r="B1585" s="152" t="s">
        <v>5358</v>
      </c>
      <c r="C1585" s="166" t="s">
        <v>16632</v>
      </c>
      <c r="D1585" s="151">
        <f>IFERROR(__xludf.DUMMYFUNCTION("""COMPUTED_VALUE"""),10000)</f>
        <v>10000</v>
      </c>
      <c r="E1585" s="167">
        <f>IFERROR(__xludf.DUMMYFUNCTION("""COMPUTED_VALUE"""),1500000)</f>
        <v>1500000</v>
      </c>
    </row>
    <row r="1586" ht="16.5" spans="1:5">
      <c r="A1586" s="151">
        <v>1585</v>
      </c>
      <c r="B1586" s="152" t="s">
        <v>5359</v>
      </c>
      <c r="C1586" s="160" t="s">
        <v>16630</v>
      </c>
      <c r="D1586" s="160">
        <v>10</v>
      </c>
      <c r="E1586" s="161">
        <f>SUM(D1586*100)</f>
        <v>1000</v>
      </c>
    </row>
    <row r="1587" ht="16.5" spans="1:5">
      <c r="A1587" s="151">
        <v>1586</v>
      </c>
      <c r="B1587" s="152" t="s">
        <v>5362</v>
      </c>
      <c r="C1587" s="160" t="s">
        <v>16630</v>
      </c>
      <c r="D1587" s="160">
        <v>50</v>
      </c>
      <c r="E1587" s="161">
        <f>SUM(D1587*100)</f>
        <v>5000</v>
      </c>
    </row>
    <row r="1588" ht="16.5" spans="1:5">
      <c r="A1588" s="151">
        <v>1587</v>
      </c>
      <c r="B1588" s="152" t="s">
        <v>5366</v>
      </c>
      <c r="C1588" s="160" t="s">
        <v>16630</v>
      </c>
      <c r="D1588" s="160">
        <v>10</v>
      </c>
      <c r="E1588" s="161">
        <f>SUM(D1588*100)</f>
        <v>1000</v>
      </c>
    </row>
    <row r="1589" ht="16.5" spans="1:5">
      <c r="A1589" s="151">
        <v>1588</v>
      </c>
      <c r="B1589" s="152" t="s">
        <v>5370</v>
      </c>
      <c r="C1589" s="162" t="s">
        <v>16631</v>
      </c>
      <c r="D1589" s="163">
        <v>1000</v>
      </c>
      <c r="E1589" s="163">
        <f>D1589*100</f>
        <v>100000</v>
      </c>
    </row>
    <row r="1590" ht="16.5" spans="1:5">
      <c r="A1590" s="151">
        <v>1589</v>
      </c>
      <c r="B1590" s="152" t="s">
        <v>5375</v>
      </c>
      <c r="C1590" s="160" t="s">
        <v>16630</v>
      </c>
      <c r="D1590" s="160">
        <v>50</v>
      </c>
      <c r="E1590" s="161">
        <f>SUM(D1590*100)</f>
        <v>5000</v>
      </c>
    </row>
    <row r="1591" ht="16.5" spans="1:5">
      <c r="A1591" s="151">
        <v>1590</v>
      </c>
      <c r="B1591" s="152" t="s">
        <v>5378</v>
      </c>
      <c r="C1591" s="160" t="s">
        <v>16630</v>
      </c>
      <c r="D1591" s="41">
        <v>1000</v>
      </c>
      <c r="E1591" s="161">
        <f>SUM(D1591*100)</f>
        <v>100000</v>
      </c>
    </row>
    <row r="1592" ht="16.5" spans="1:5">
      <c r="A1592" s="151">
        <v>1591</v>
      </c>
      <c r="B1592" s="152" t="s">
        <v>5381</v>
      </c>
      <c r="C1592" s="153" t="s">
        <v>16629</v>
      </c>
      <c r="D1592" s="154">
        <v>10</v>
      </c>
      <c r="E1592" s="155">
        <f t="shared" ref="E1592:E1598" si="55">+D1592*100</f>
        <v>1000</v>
      </c>
    </row>
    <row r="1593" ht="16.5" spans="1:5">
      <c r="A1593" s="151">
        <v>1592</v>
      </c>
      <c r="B1593" s="152" t="s">
        <v>5384</v>
      </c>
      <c r="C1593" s="153" t="s">
        <v>16629</v>
      </c>
      <c r="D1593" s="154">
        <v>10</v>
      </c>
      <c r="E1593" s="155">
        <f t="shared" si="55"/>
        <v>1000</v>
      </c>
    </row>
    <row r="1594" ht="16.5" spans="1:5">
      <c r="A1594" s="151">
        <v>1593</v>
      </c>
      <c r="B1594" s="152" t="s">
        <v>5387</v>
      </c>
      <c r="C1594" s="153" t="s">
        <v>16629</v>
      </c>
      <c r="D1594" s="158">
        <v>10</v>
      </c>
      <c r="E1594" s="155">
        <f t="shared" si="55"/>
        <v>1000</v>
      </c>
    </row>
    <row r="1595" ht="16.5" spans="1:5">
      <c r="A1595" s="151">
        <v>1594</v>
      </c>
      <c r="B1595" s="152" t="s">
        <v>5391</v>
      </c>
      <c r="C1595" s="153" t="s">
        <v>16629</v>
      </c>
      <c r="D1595" s="154">
        <v>10</v>
      </c>
      <c r="E1595" s="155">
        <f t="shared" si="55"/>
        <v>1000</v>
      </c>
    </row>
    <row r="1596" ht="16.5" spans="1:5">
      <c r="A1596" s="151">
        <v>1595</v>
      </c>
      <c r="B1596" s="152" t="s">
        <v>5394</v>
      </c>
      <c r="C1596" s="153" t="s">
        <v>16629</v>
      </c>
      <c r="D1596" s="154">
        <v>10</v>
      </c>
      <c r="E1596" s="155">
        <f t="shared" si="55"/>
        <v>1000</v>
      </c>
    </row>
    <row r="1597" ht="16.5" spans="1:5">
      <c r="A1597" s="151">
        <v>1596</v>
      </c>
      <c r="B1597" s="152" t="s">
        <v>5398</v>
      </c>
      <c r="C1597" s="156" t="s">
        <v>16629</v>
      </c>
      <c r="D1597" s="159">
        <v>10</v>
      </c>
      <c r="E1597" s="155">
        <f t="shared" si="55"/>
        <v>1000</v>
      </c>
    </row>
    <row r="1598" ht="16.5" spans="1:5">
      <c r="A1598" s="151">
        <v>1597</v>
      </c>
      <c r="B1598" s="152" t="s">
        <v>5402</v>
      </c>
      <c r="C1598" s="153" t="s">
        <v>16629</v>
      </c>
      <c r="D1598" s="158">
        <v>10</v>
      </c>
      <c r="E1598" s="155">
        <f t="shared" si="55"/>
        <v>1000</v>
      </c>
    </row>
    <row r="1599" ht="16.5" spans="1:5">
      <c r="A1599" s="151">
        <v>1598</v>
      </c>
      <c r="B1599" s="152" t="s">
        <v>5405</v>
      </c>
      <c r="C1599" s="160" t="s">
        <v>16630</v>
      </c>
      <c r="D1599" s="160">
        <v>200</v>
      </c>
      <c r="E1599" s="161">
        <f>SUM(D1599*100)</f>
        <v>20000</v>
      </c>
    </row>
    <row r="1600" ht="16.5" spans="1:5">
      <c r="A1600" s="151">
        <v>1599</v>
      </c>
      <c r="B1600" s="152" t="s">
        <v>5408</v>
      </c>
      <c r="C1600" s="156" t="s">
        <v>16629</v>
      </c>
      <c r="D1600" s="159">
        <v>10</v>
      </c>
      <c r="E1600" s="155">
        <f>SUM(D1600*100)</f>
        <v>1000</v>
      </c>
    </row>
    <row r="1601" ht="16.5" spans="1:5">
      <c r="A1601" s="151">
        <v>1600</v>
      </c>
      <c r="B1601" s="152" t="s">
        <v>5411</v>
      </c>
      <c r="C1601" s="153" t="s">
        <v>16629</v>
      </c>
      <c r="D1601" s="158">
        <v>10</v>
      </c>
      <c r="E1601" s="155">
        <f>+D1601*100</f>
        <v>1000</v>
      </c>
    </row>
    <row r="1602" ht="16.5" spans="1:5">
      <c r="A1602" s="151">
        <v>1601</v>
      </c>
      <c r="B1602" s="152" t="s">
        <v>5414</v>
      </c>
      <c r="C1602" s="153" t="s">
        <v>16629</v>
      </c>
      <c r="D1602" s="154">
        <v>10</v>
      </c>
      <c r="E1602" s="155">
        <f>+D1602*100</f>
        <v>1000</v>
      </c>
    </row>
    <row r="1603" ht="16.5" spans="1:5">
      <c r="A1603" s="151">
        <v>1602</v>
      </c>
      <c r="B1603" s="152" t="s">
        <v>5417</v>
      </c>
      <c r="C1603" s="156" t="s">
        <v>16629</v>
      </c>
      <c r="D1603" s="159">
        <v>50</v>
      </c>
      <c r="E1603" s="155">
        <f>+D1603*100</f>
        <v>5000</v>
      </c>
    </row>
    <row r="1604" ht="16.5" spans="1:5">
      <c r="A1604" s="151">
        <v>1603</v>
      </c>
      <c r="B1604" s="152" t="s">
        <v>5421</v>
      </c>
      <c r="C1604" s="153" t="s">
        <v>16629</v>
      </c>
      <c r="D1604" s="154">
        <v>10</v>
      </c>
      <c r="E1604" s="155">
        <f>+D1604*100</f>
        <v>1000</v>
      </c>
    </row>
    <row r="1605" ht="16.5" spans="1:5">
      <c r="A1605" s="151">
        <v>1604</v>
      </c>
      <c r="B1605" s="152" t="s">
        <v>5425</v>
      </c>
      <c r="C1605" s="156" t="s">
        <v>16629</v>
      </c>
      <c r="D1605" s="159">
        <v>10</v>
      </c>
      <c r="E1605" s="155">
        <f>+D1605*100</f>
        <v>1000</v>
      </c>
    </row>
    <row r="1606" ht="16.5" spans="1:5">
      <c r="A1606" s="151">
        <v>1605</v>
      </c>
      <c r="B1606" s="152" t="s">
        <v>5428</v>
      </c>
      <c r="C1606" s="156" t="s">
        <v>16629</v>
      </c>
      <c r="D1606" s="159">
        <v>10</v>
      </c>
      <c r="E1606" s="155">
        <f>SUM(D1606*100)</f>
        <v>1000</v>
      </c>
    </row>
    <row r="1607" ht="16.5" spans="1:5">
      <c r="A1607" s="151">
        <v>1606</v>
      </c>
      <c r="B1607" s="152" t="s">
        <v>5432</v>
      </c>
      <c r="C1607" s="160" t="s">
        <v>16630</v>
      </c>
      <c r="D1607" s="164">
        <v>50</v>
      </c>
      <c r="E1607" s="161">
        <f>SUM(D1607*100)</f>
        <v>5000</v>
      </c>
    </row>
    <row r="1608" ht="16.5" spans="1:5">
      <c r="A1608" s="151">
        <v>1607</v>
      </c>
      <c r="B1608" s="152" t="s">
        <v>5435</v>
      </c>
      <c r="C1608" s="153" t="s">
        <v>16629</v>
      </c>
      <c r="D1608" s="154">
        <v>10</v>
      </c>
      <c r="E1608" s="155">
        <f>+D1608*100</f>
        <v>1000</v>
      </c>
    </row>
    <row r="1609" ht="16.5" spans="1:5">
      <c r="A1609" s="151">
        <v>1608</v>
      </c>
      <c r="B1609" s="152" t="s">
        <v>5439</v>
      </c>
      <c r="C1609" s="153" t="s">
        <v>16629</v>
      </c>
      <c r="D1609" s="154">
        <v>10</v>
      </c>
      <c r="E1609" s="155">
        <f>+D1609*100</f>
        <v>1000</v>
      </c>
    </row>
    <row r="1610" ht="16.5" spans="1:5">
      <c r="A1610" s="151">
        <v>1609</v>
      </c>
      <c r="B1610" s="152" t="s">
        <v>5443</v>
      </c>
      <c r="C1610" s="153" t="s">
        <v>16629</v>
      </c>
      <c r="D1610" s="154">
        <v>10</v>
      </c>
      <c r="E1610" s="155">
        <f>+D1610*100</f>
        <v>1000</v>
      </c>
    </row>
    <row r="1611" ht="16.5" spans="1:5">
      <c r="A1611" s="151">
        <v>1610</v>
      </c>
      <c r="B1611" s="152" t="s">
        <v>5447</v>
      </c>
      <c r="C1611" s="153" t="s">
        <v>16629</v>
      </c>
      <c r="D1611" s="154">
        <v>10</v>
      </c>
      <c r="E1611" s="155">
        <f>+D1611*100</f>
        <v>1000</v>
      </c>
    </row>
    <row r="1612" ht="16.5" spans="1:5">
      <c r="A1612" s="151">
        <v>1611</v>
      </c>
      <c r="B1612" s="152" t="s">
        <v>5450</v>
      </c>
      <c r="C1612" s="153" t="s">
        <v>16629</v>
      </c>
      <c r="D1612" s="154">
        <v>10</v>
      </c>
      <c r="E1612" s="155">
        <f>+D1612*100</f>
        <v>1000</v>
      </c>
    </row>
    <row r="1613" ht="16.5" spans="1:5">
      <c r="A1613" s="151">
        <v>1612</v>
      </c>
      <c r="B1613" s="152" t="s">
        <v>5453</v>
      </c>
      <c r="C1613" s="160" t="s">
        <v>16630</v>
      </c>
      <c r="D1613" s="41">
        <v>300</v>
      </c>
      <c r="E1613" s="161">
        <f>SUM(D1613*100)</f>
        <v>30000</v>
      </c>
    </row>
    <row r="1614" ht="16.5" spans="1:5">
      <c r="A1614" s="151">
        <v>1613</v>
      </c>
      <c r="B1614" s="152" t="s">
        <v>5456</v>
      </c>
      <c r="C1614" s="160" t="s">
        <v>16630</v>
      </c>
      <c r="D1614" s="160">
        <v>20</v>
      </c>
      <c r="E1614" s="161">
        <f>SUM(D1614*100)</f>
        <v>2000</v>
      </c>
    </row>
    <row r="1615" ht="16.5" spans="1:5">
      <c r="A1615" s="151">
        <v>1614</v>
      </c>
      <c r="B1615" s="152" t="s">
        <v>5460</v>
      </c>
      <c r="C1615" s="160" t="s">
        <v>16630</v>
      </c>
      <c r="D1615" s="160">
        <v>60</v>
      </c>
      <c r="E1615" s="161">
        <f>SUM(D1615*100)</f>
        <v>6000</v>
      </c>
    </row>
    <row r="1616" ht="16.5" spans="1:5">
      <c r="A1616" s="151">
        <v>1615</v>
      </c>
      <c r="B1616" s="152" t="s">
        <v>5464</v>
      </c>
      <c r="C1616" s="162" t="s">
        <v>16631</v>
      </c>
      <c r="D1616" s="163">
        <v>2000</v>
      </c>
      <c r="E1616" s="163">
        <f>D1616*100</f>
        <v>200000</v>
      </c>
    </row>
    <row r="1617" ht="16.5" spans="1:5">
      <c r="A1617" s="151">
        <v>1616</v>
      </c>
      <c r="B1617" s="152" t="s">
        <v>5469</v>
      </c>
      <c r="C1617" s="160" t="s">
        <v>16630</v>
      </c>
      <c r="D1617" s="160">
        <v>100</v>
      </c>
      <c r="E1617" s="161">
        <f>SUM(D1617*100)</f>
        <v>10000</v>
      </c>
    </row>
    <row r="1618" ht="16.5" spans="1:5">
      <c r="A1618" s="151">
        <v>1617</v>
      </c>
      <c r="B1618" s="152" t="s">
        <v>5474</v>
      </c>
      <c r="C1618" s="156" t="s">
        <v>16629</v>
      </c>
      <c r="D1618" s="159">
        <v>10</v>
      </c>
      <c r="E1618" s="155">
        <f>+D1618*100</f>
        <v>1000</v>
      </c>
    </row>
    <row r="1619" ht="16.5" spans="1:5">
      <c r="A1619" s="151">
        <v>1618</v>
      </c>
      <c r="B1619" s="152" t="s">
        <v>5478</v>
      </c>
      <c r="C1619" s="156" t="s">
        <v>16629</v>
      </c>
      <c r="D1619" s="159">
        <v>10</v>
      </c>
      <c r="E1619" s="155">
        <f>+D1619*100</f>
        <v>1000</v>
      </c>
    </row>
    <row r="1620" ht="16.5" spans="1:5">
      <c r="A1620" s="151">
        <v>1619</v>
      </c>
      <c r="B1620" s="152" t="s">
        <v>5482</v>
      </c>
      <c r="C1620" s="156" t="s">
        <v>16629</v>
      </c>
      <c r="D1620" s="159">
        <v>10</v>
      </c>
      <c r="E1620" s="155">
        <f>+D1620*100</f>
        <v>1000</v>
      </c>
    </row>
    <row r="1621" ht="16.5" spans="1:5">
      <c r="A1621" s="151">
        <v>1620</v>
      </c>
      <c r="B1621" s="152" t="s">
        <v>5486</v>
      </c>
      <c r="C1621" s="156" t="s">
        <v>16629</v>
      </c>
      <c r="D1621" s="159">
        <v>10</v>
      </c>
      <c r="E1621" s="155">
        <f>+D1621*100</f>
        <v>1000</v>
      </c>
    </row>
    <row r="1622" ht="16.5" spans="1:5">
      <c r="A1622" s="151">
        <v>1621</v>
      </c>
      <c r="B1622" s="152" t="s">
        <v>5490</v>
      </c>
      <c r="C1622" s="156" t="s">
        <v>16629</v>
      </c>
      <c r="D1622" s="159">
        <v>10</v>
      </c>
      <c r="E1622" s="155">
        <f>+D1622*100</f>
        <v>1000</v>
      </c>
    </row>
    <row r="1623" ht="16.5" spans="1:5">
      <c r="A1623" s="151">
        <v>1622</v>
      </c>
      <c r="B1623" s="152" t="s">
        <v>5493</v>
      </c>
      <c r="C1623" s="160" t="s">
        <v>16630</v>
      </c>
      <c r="D1623" s="160">
        <v>200</v>
      </c>
      <c r="E1623" s="161">
        <f>SUM(D1623*100)</f>
        <v>20000</v>
      </c>
    </row>
    <row r="1624" ht="16.5" spans="1:5">
      <c r="A1624" s="151">
        <v>1623</v>
      </c>
      <c r="B1624" s="152" t="s">
        <v>5497</v>
      </c>
      <c r="C1624" s="156" t="s">
        <v>16629</v>
      </c>
      <c r="D1624" s="158">
        <v>10</v>
      </c>
      <c r="E1624" s="155">
        <f>+D1624*100</f>
        <v>1000</v>
      </c>
    </row>
    <row r="1625" ht="16.5" spans="1:5">
      <c r="A1625" s="151">
        <v>1624</v>
      </c>
      <c r="B1625" s="152" t="s">
        <v>5500</v>
      </c>
      <c r="C1625" s="166" t="s">
        <v>16632</v>
      </c>
      <c r="D1625" s="166">
        <f>IFERROR(__xludf.DUMMYFUNCTION("""COMPUTED_VALUE"""),10000)</f>
        <v>10000</v>
      </c>
      <c r="E1625" s="168">
        <f>IFERROR(__xludf.DUMMYFUNCTION("""COMPUTED_VALUE"""),1500000)</f>
        <v>1500000</v>
      </c>
    </row>
    <row r="1626" ht="16.5" spans="1:5">
      <c r="A1626" s="151">
        <v>1625</v>
      </c>
      <c r="B1626" s="152" t="s">
        <v>5501</v>
      </c>
      <c r="C1626" s="166" t="s">
        <v>16632</v>
      </c>
      <c r="D1626" s="166">
        <f>IFERROR(__xludf.DUMMYFUNCTION("""COMPUTED_VALUE"""),10000)</f>
        <v>10000</v>
      </c>
      <c r="E1626" s="168">
        <f>IFERROR(__xludf.DUMMYFUNCTION("""COMPUTED_VALUE"""),1500000)</f>
        <v>1500000</v>
      </c>
    </row>
    <row r="1627" ht="16.5" spans="1:5">
      <c r="A1627" s="151">
        <v>1626</v>
      </c>
      <c r="B1627" s="152" t="s">
        <v>5502</v>
      </c>
      <c r="C1627" s="156" t="s">
        <v>16629</v>
      </c>
      <c r="D1627" s="159">
        <v>10</v>
      </c>
      <c r="E1627" s="155">
        <f>+D1627*100</f>
        <v>1000</v>
      </c>
    </row>
    <row r="1628" ht="16.5" spans="1:5">
      <c r="A1628" s="151">
        <v>1627</v>
      </c>
      <c r="B1628" s="152" t="s">
        <v>5506</v>
      </c>
      <c r="C1628" s="153" t="s">
        <v>16629</v>
      </c>
      <c r="D1628" s="154">
        <v>10</v>
      </c>
      <c r="E1628" s="155">
        <f>+D1628*100</f>
        <v>1000</v>
      </c>
    </row>
    <row r="1629" ht="16.5" spans="1:5">
      <c r="A1629" s="151">
        <v>1628</v>
      </c>
      <c r="B1629" s="152" t="s">
        <v>5509</v>
      </c>
      <c r="C1629" s="153" t="s">
        <v>16629</v>
      </c>
      <c r="D1629" s="158">
        <v>10</v>
      </c>
      <c r="E1629" s="155">
        <f>+D1629*100</f>
        <v>1000</v>
      </c>
    </row>
    <row r="1630" ht="16.5" spans="1:5">
      <c r="A1630" s="151">
        <v>1629</v>
      </c>
      <c r="B1630" s="152" t="s">
        <v>5512</v>
      </c>
      <c r="C1630" s="160" t="s">
        <v>16630</v>
      </c>
      <c r="D1630" s="160">
        <v>200</v>
      </c>
      <c r="E1630" s="161">
        <f>SUM(D1630*100)</f>
        <v>20000</v>
      </c>
    </row>
    <row r="1631" ht="16.5" spans="1:5">
      <c r="A1631" s="151">
        <v>1630</v>
      </c>
      <c r="B1631" s="152" t="s">
        <v>5516</v>
      </c>
      <c r="C1631" s="153" t="s">
        <v>16629</v>
      </c>
      <c r="D1631" s="154">
        <v>10</v>
      </c>
      <c r="E1631" s="155">
        <f>+D1631*100</f>
        <v>1000</v>
      </c>
    </row>
    <row r="1632" ht="16.5" spans="1:5">
      <c r="A1632" s="151">
        <v>1631</v>
      </c>
      <c r="B1632" s="152" t="s">
        <v>5519</v>
      </c>
      <c r="C1632" s="153" t="s">
        <v>16629</v>
      </c>
      <c r="D1632" s="158">
        <v>10</v>
      </c>
      <c r="E1632" s="155">
        <f>+D1632*100</f>
        <v>1000</v>
      </c>
    </row>
    <row r="1633" ht="16.5" spans="1:5">
      <c r="A1633" s="151">
        <v>1632</v>
      </c>
      <c r="B1633" s="152" t="s">
        <v>5522</v>
      </c>
      <c r="C1633" s="153" t="s">
        <v>16629</v>
      </c>
      <c r="D1633" s="154">
        <v>10</v>
      </c>
      <c r="E1633" s="155">
        <f>+D1633*100</f>
        <v>1000</v>
      </c>
    </row>
    <row r="1634" ht="16.5" spans="1:5">
      <c r="A1634" s="151">
        <v>1633</v>
      </c>
      <c r="B1634" s="152" t="s">
        <v>5526</v>
      </c>
      <c r="C1634" s="156" t="s">
        <v>16629</v>
      </c>
      <c r="D1634" s="157">
        <v>10</v>
      </c>
      <c r="E1634" s="155">
        <f>+D1634*100</f>
        <v>1000</v>
      </c>
    </row>
    <row r="1635" ht="16.5" spans="1:5">
      <c r="A1635" s="151">
        <v>1634</v>
      </c>
      <c r="B1635" s="152" t="s">
        <v>5529</v>
      </c>
      <c r="C1635" s="160" t="s">
        <v>16630</v>
      </c>
      <c r="D1635" s="160">
        <v>10</v>
      </c>
      <c r="E1635" s="161">
        <f>SUM(D1635*100)</f>
        <v>1000</v>
      </c>
    </row>
    <row r="1636" ht="16.5" spans="1:5">
      <c r="A1636" s="151">
        <v>1635</v>
      </c>
      <c r="B1636" s="152" t="s">
        <v>5533</v>
      </c>
      <c r="C1636" s="160" t="s">
        <v>16630</v>
      </c>
      <c r="D1636" s="160">
        <v>1000</v>
      </c>
      <c r="E1636" s="161">
        <f>SUM(D1636*100)</f>
        <v>100000</v>
      </c>
    </row>
    <row r="1637" ht="16.5" spans="1:5">
      <c r="A1637" s="151">
        <v>1636</v>
      </c>
      <c r="B1637" s="152" t="s">
        <v>5537</v>
      </c>
      <c r="C1637" s="162" t="s">
        <v>16631</v>
      </c>
      <c r="D1637" s="163">
        <v>1000</v>
      </c>
      <c r="E1637" s="163">
        <f>D1637*100</f>
        <v>100000</v>
      </c>
    </row>
    <row r="1638" ht="16.5" spans="1:5">
      <c r="A1638" s="151">
        <v>1637</v>
      </c>
      <c r="B1638" s="152" t="s">
        <v>5542</v>
      </c>
      <c r="C1638" s="160" t="s">
        <v>16630</v>
      </c>
      <c r="D1638" s="165">
        <v>500</v>
      </c>
      <c r="E1638" s="161">
        <f>SUM(D1638*100)</f>
        <v>50000</v>
      </c>
    </row>
    <row r="1639" ht="16.5" spans="1:5">
      <c r="A1639" s="151">
        <v>1638</v>
      </c>
      <c r="B1639" s="152" t="s">
        <v>5545</v>
      </c>
      <c r="C1639" s="153" t="s">
        <v>16629</v>
      </c>
      <c r="D1639" s="154">
        <v>10</v>
      </c>
      <c r="E1639" s="155">
        <f>+D1639*100</f>
        <v>1000</v>
      </c>
    </row>
    <row r="1640" ht="16.5" spans="1:5">
      <c r="A1640" s="151">
        <v>1639</v>
      </c>
      <c r="B1640" s="152" t="s">
        <v>5548</v>
      </c>
      <c r="C1640" s="156" t="s">
        <v>16629</v>
      </c>
      <c r="D1640" s="157">
        <v>10</v>
      </c>
      <c r="E1640" s="155">
        <f>+D1640*100</f>
        <v>1000</v>
      </c>
    </row>
    <row r="1641" ht="16.5" spans="1:5">
      <c r="A1641" s="151">
        <v>1640</v>
      </c>
      <c r="B1641" s="152" t="s">
        <v>5551</v>
      </c>
      <c r="C1641" s="156" t="s">
        <v>16629</v>
      </c>
      <c r="D1641" s="157">
        <v>10</v>
      </c>
      <c r="E1641" s="155">
        <f>+D1641*100</f>
        <v>1000</v>
      </c>
    </row>
    <row r="1642" ht="16.5" spans="1:5">
      <c r="A1642" s="151">
        <v>1641</v>
      </c>
      <c r="B1642" s="152" t="s">
        <v>5554</v>
      </c>
      <c r="C1642" s="153" t="s">
        <v>16629</v>
      </c>
      <c r="D1642" s="154">
        <v>10</v>
      </c>
      <c r="E1642" s="155">
        <f>+D1642*100</f>
        <v>1000</v>
      </c>
    </row>
    <row r="1643" ht="16.5" spans="1:5">
      <c r="A1643" s="151">
        <v>1642</v>
      </c>
      <c r="B1643" s="152" t="s">
        <v>5558</v>
      </c>
      <c r="C1643" s="160" t="s">
        <v>16630</v>
      </c>
      <c r="D1643" s="160">
        <v>50</v>
      </c>
      <c r="E1643" s="161">
        <f>SUM(D1643*100)</f>
        <v>5000</v>
      </c>
    </row>
    <row r="1644" ht="16.5" spans="1:5">
      <c r="A1644" s="151">
        <v>1643</v>
      </c>
      <c r="B1644" s="152" t="s">
        <v>5561</v>
      </c>
      <c r="C1644" s="160" t="s">
        <v>16630</v>
      </c>
      <c r="D1644" s="41">
        <v>10</v>
      </c>
      <c r="E1644" s="161">
        <f>SUM(D1644*100)</f>
        <v>1000</v>
      </c>
    </row>
    <row r="1645" ht="16.5" spans="1:5">
      <c r="A1645" s="151">
        <v>1644</v>
      </c>
      <c r="B1645" s="152" t="s">
        <v>5564</v>
      </c>
      <c r="C1645" s="156" t="s">
        <v>16629</v>
      </c>
      <c r="D1645" s="157">
        <v>10</v>
      </c>
      <c r="E1645" s="155">
        <f>+D1645*100</f>
        <v>1000</v>
      </c>
    </row>
    <row r="1646" ht="16.5" spans="1:5">
      <c r="A1646" s="151">
        <v>1645</v>
      </c>
      <c r="B1646" s="152" t="s">
        <v>5567</v>
      </c>
      <c r="C1646" s="153" t="s">
        <v>16629</v>
      </c>
      <c r="D1646" s="158">
        <v>10</v>
      </c>
      <c r="E1646" s="155">
        <f>+D1646*100</f>
        <v>1000</v>
      </c>
    </row>
    <row r="1647" ht="16.5" spans="1:5">
      <c r="A1647" s="151">
        <v>1646</v>
      </c>
      <c r="B1647" s="152" t="s">
        <v>5570</v>
      </c>
      <c r="C1647" s="156" t="s">
        <v>16629</v>
      </c>
      <c r="D1647" s="159">
        <v>10</v>
      </c>
      <c r="E1647" s="155">
        <f>+D1647*100</f>
        <v>1000</v>
      </c>
    </row>
    <row r="1648" ht="16.5" spans="1:5">
      <c r="A1648" s="151">
        <v>1647</v>
      </c>
      <c r="B1648" s="152" t="s">
        <v>5573</v>
      </c>
      <c r="C1648" s="160" t="s">
        <v>16630</v>
      </c>
      <c r="D1648" s="160">
        <v>10</v>
      </c>
      <c r="E1648" s="161">
        <f>SUM(D1648*100)</f>
        <v>1000</v>
      </c>
    </row>
    <row r="1649" ht="16.5" spans="1:5">
      <c r="A1649" s="151">
        <v>1648</v>
      </c>
      <c r="B1649" s="152" t="s">
        <v>5576</v>
      </c>
      <c r="C1649" s="166" t="s">
        <v>16632</v>
      </c>
      <c r="D1649" s="166">
        <f>IFERROR(__xludf.DUMMYFUNCTION("""COMPUTED_VALUE"""),15000)</f>
        <v>15000</v>
      </c>
      <c r="E1649" s="168">
        <f>IFERROR(__xludf.DUMMYFUNCTION("""COMPUTED_VALUE"""),1500000)</f>
        <v>1500000</v>
      </c>
    </row>
    <row r="1650" ht="16.5" spans="1:5">
      <c r="A1650" s="151">
        <v>1649</v>
      </c>
      <c r="B1650" s="152" t="s">
        <v>5577</v>
      </c>
      <c r="C1650" s="160" t="s">
        <v>16630</v>
      </c>
      <c r="D1650" s="160">
        <v>10</v>
      </c>
      <c r="E1650" s="161">
        <f>SUM(D1650*100)</f>
        <v>1000</v>
      </c>
    </row>
    <row r="1651" ht="16.5" spans="1:5">
      <c r="A1651" s="151">
        <v>1650</v>
      </c>
      <c r="B1651" s="152" t="s">
        <v>5580</v>
      </c>
      <c r="C1651" s="160" t="s">
        <v>16630</v>
      </c>
      <c r="D1651" s="160">
        <v>10</v>
      </c>
      <c r="E1651" s="161">
        <f>SUM(D1651*100)</f>
        <v>1000</v>
      </c>
    </row>
    <row r="1652" ht="16.5" spans="1:5">
      <c r="A1652" s="151">
        <v>1651</v>
      </c>
      <c r="B1652" s="152" t="s">
        <v>5583</v>
      </c>
      <c r="C1652" s="160" t="s">
        <v>16630</v>
      </c>
      <c r="D1652" s="160">
        <v>10</v>
      </c>
      <c r="E1652" s="161">
        <f>SUM(D1652*100)</f>
        <v>1000</v>
      </c>
    </row>
    <row r="1653" ht="16.5" spans="1:5">
      <c r="A1653" s="151">
        <v>1652</v>
      </c>
      <c r="B1653" s="152" t="s">
        <v>5586</v>
      </c>
      <c r="C1653" s="160" t="s">
        <v>16630</v>
      </c>
      <c r="D1653" s="160">
        <v>260</v>
      </c>
      <c r="E1653" s="161">
        <f>SUM(D1653*100)</f>
        <v>26000</v>
      </c>
    </row>
    <row r="1654" ht="16.5" spans="1:5">
      <c r="A1654" s="151">
        <v>1653</v>
      </c>
      <c r="B1654" s="152" t="s">
        <v>5590</v>
      </c>
      <c r="C1654" s="156" t="s">
        <v>16629</v>
      </c>
      <c r="D1654" s="154">
        <v>10</v>
      </c>
      <c r="E1654" s="155">
        <f>+D1654*100</f>
        <v>1000</v>
      </c>
    </row>
    <row r="1655" ht="16.5" spans="1:5">
      <c r="A1655" s="151">
        <v>1654</v>
      </c>
      <c r="B1655" s="152" t="s">
        <v>5593</v>
      </c>
      <c r="C1655" s="153" t="s">
        <v>16629</v>
      </c>
      <c r="D1655" s="154">
        <v>10</v>
      </c>
      <c r="E1655" s="155">
        <f>+D1655*100</f>
        <v>1000</v>
      </c>
    </row>
    <row r="1656" ht="16.5" spans="1:5">
      <c r="A1656" s="151">
        <v>1655</v>
      </c>
      <c r="B1656" s="152" t="s">
        <v>5596</v>
      </c>
      <c r="C1656" s="160" t="s">
        <v>16630</v>
      </c>
      <c r="D1656" s="164">
        <v>100</v>
      </c>
      <c r="E1656" s="161">
        <f>SUM(D1656*100)</f>
        <v>10000</v>
      </c>
    </row>
    <row r="1657" ht="16.5" spans="1:5">
      <c r="A1657" s="151">
        <v>1656</v>
      </c>
      <c r="B1657" s="152" t="s">
        <v>5599</v>
      </c>
      <c r="C1657" s="156" t="s">
        <v>16629</v>
      </c>
      <c r="D1657" s="159">
        <v>10</v>
      </c>
      <c r="E1657" s="155">
        <f>+D1657*100</f>
        <v>1000</v>
      </c>
    </row>
    <row r="1658" ht="16.5" spans="1:5">
      <c r="A1658" s="151">
        <v>1657</v>
      </c>
      <c r="B1658" s="152" t="s">
        <v>5602</v>
      </c>
      <c r="C1658" s="156" t="s">
        <v>16629</v>
      </c>
      <c r="D1658" s="159">
        <v>10</v>
      </c>
      <c r="E1658" s="155">
        <f>+D1658*100</f>
        <v>1000</v>
      </c>
    </row>
    <row r="1659" ht="16.5" spans="1:5">
      <c r="A1659" s="151">
        <v>1658</v>
      </c>
      <c r="B1659" s="152" t="s">
        <v>5606</v>
      </c>
      <c r="C1659" s="162" t="s">
        <v>16633</v>
      </c>
      <c r="D1659" s="171">
        <f>G1659/100</f>
        <v>0</v>
      </c>
      <c r="E1659" s="171">
        <f>G1659</f>
        <v>0</v>
      </c>
    </row>
    <row r="1660" ht="16.5" spans="1:5">
      <c r="A1660" s="151">
        <v>1659</v>
      </c>
      <c r="B1660" s="152" t="s">
        <v>5610</v>
      </c>
      <c r="C1660" s="166" t="s">
        <v>16632</v>
      </c>
      <c r="D1660" s="166">
        <f>IFERROR(__xludf.DUMMYFUNCTION("""COMPUTED_VALUE"""),10000)</f>
        <v>10000</v>
      </c>
      <c r="E1660" s="168">
        <f>IFERROR(__xludf.DUMMYFUNCTION("""COMPUTED_VALUE"""),1500000)</f>
        <v>1500000</v>
      </c>
    </row>
    <row r="1661" ht="16.5" spans="1:5">
      <c r="A1661" s="151">
        <v>1660</v>
      </c>
      <c r="B1661" s="152" t="s">
        <v>5611</v>
      </c>
      <c r="C1661" s="156" t="s">
        <v>16629</v>
      </c>
      <c r="D1661" s="159">
        <v>10</v>
      </c>
      <c r="E1661" s="155">
        <f>+D1661*100</f>
        <v>1000</v>
      </c>
    </row>
    <row r="1662" ht="16.5" spans="1:5">
      <c r="A1662" s="151">
        <v>1661</v>
      </c>
      <c r="B1662" s="152" t="s">
        <v>5615</v>
      </c>
      <c r="C1662" s="160" t="s">
        <v>16630</v>
      </c>
      <c r="D1662" s="172">
        <v>200</v>
      </c>
      <c r="E1662" s="161">
        <f>SUM(D1662*100)</f>
        <v>20000</v>
      </c>
    </row>
    <row r="1663" ht="16.5" spans="1:5">
      <c r="A1663" s="151">
        <v>1662</v>
      </c>
      <c r="B1663" s="152" t="s">
        <v>5618</v>
      </c>
      <c r="C1663" s="162" t="s">
        <v>16631</v>
      </c>
      <c r="D1663" s="163">
        <v>1000</v>
      </c>
      <c r="E1663" s="163">
        <f>D1663*100</f>
        <v>100000</v>
      </c>
    </row>
    <row r="1664" ht="16.5" spans="1:5">
      <c r="A1664" s="151">
        <v>1663</v>
      </c>
      <c r="B1664" s="152" t="s">
        <v>5622</v>
      </c>
      <c r="C1664" s="160" t="s">
        <v>16630</v>
      </c>
      <c r="D1664" s="160">
        <v>500</v>
      </c>
      <c r="E1664" s="161">
        <f>SUM(D1664*100)</f>
        <v>50000</v>
      </c>
    </row>
    <row r="1665" ht="16.5" spans="1:5">
      <c r="A1665" s="151">
        <v>1664</v>
      </c>
      <c r="B1665" s="152" t="s">
        <v>5625</v>
      </c>
      <c r="C1665" s="160" t="s">
        <v>16630</v>
      </c>
      <c r="D1665" s="160">
        <v>200</v>
      </c>
      <c r="E1665" s="161">
        <f>SUM(D1665*100)</f>
        <v>20000</v>
      </c>
    </row>
    <row r="1666" ht="16.5" spans="1:5">
      <c r="A1666" s="151">
        <v>1665</v>
      </c>
      <c r="B1666" s="152" t="s">
        <v>5628</v>
      </c>
      <c r="C1666" s="162" t="s">
        <v>16631</v>
      </c>
      <c r="D1666" s="163">
        <v>1000</v>
      </c>
      <c r="E1666" s="163">
        <f>D1666*100</f>
        <v>100000</v>
      </c>
    </row>
    <row r="1667" ht="16.5" spans="1:5">
      <c r="A1667" s="151">
        <v>1666</v>
      </c>
      <c r="B1667" s="152" t="s">
        <v>5633</v>
      </c>
      <c r="C1667" s="160" t="s">
        <v>16630</v>
      </c>
      <c r="D1667" s="160">
        <v>1000</v>
      </c>
      <c r="E1667" s="161">
        <f>SUM(D1667*100)</f>
        <v>100000</v>
      </c>
    </row>
    <row r="1668" ht="16.5" spans="1:5">
      <c r="A1668" s="151">
        <v>1667</v>
      </c>
      <c r="B1668" s="152" t="s">
        <v>5633</v>
      </c>
      <c r="C1668" s="162" t="s">
        <v>16631</v>
      </c>
      <c r="D1668" s="163">
        <v>1000</v>
      </c>
      <c r="E1668" s="163">
        <f>D1668*100</f>
        <v>100000</v>
      </c>
    </row>
    <row r="1669" ht="16.5" spans="1:5">
      <c r="A1669" s="151">
        <v>1668</v>
      </c>
      <c r="B1669" s="152" t="s">
        <v>5637</v>
      </c>
      <c r="C1669" s="156" t="s">
        <v>16629</v>
      </c>
      <c r="D1669" s="157">
        <v>10</v>
      </c>
      <c r="E1669" s="155">
        <f>+D1669*100</f>
        <v>1000</v>
      </c>
    </row>
    <row r="1670" ht="16.5" spans="1:5">
      <c r="A1670" s="151">
        <v>1669</v>
      </c>
      <c r="B1670" s="152" t="s">
        <v>5640</v>
      </c>
      <c r="C1670" s="153" t="s">
        <v>16629</v>
      </c>
      <c r="D1670" s="158">
        <v>10</v>
      </c>
      <c r="E1670" s="155">
        <f>+D1670*100</f>
        <v>1000</v>
      </c>
    </row>
    <row r="1671" ht="16.5" spans="1:5">
      <c r="A1671" s="151">
        <v>1670</v>
      </c>
      <c r="B1671" s="152" t="s">
        <v>5643</v>
      </c>
      <c r="C1671" s="153" t="s">
        <v>16629</v>
      </c>
      <c r="D1671" s="154">
        <v>10</v>
      </c>
      <c r="E1671" s="155">
        <f>+D1671*100</f>
        <v>1000</v>
      </c>
    </row>
    <row r="1672" ht="16.5" spans="1:5">
      <c r="A1672" s="151">
        <v>1671</v>
      </c>
      <c r="B1672" s="152" t="s">
        <v>5646</v>
      </c>
      <c r="C1672" s="153" t="s">
        <v>16629</v>
      </c>
      <c r="D1672" s="154">
        <v>10</v>
      </c>
      <c r="E1672" s="155">
        <f>+D1672*100</f>
        <v>1000</v>
      </c>
    </row>
    <row r="1673" ht="16.5" spans="1:5">
      <c r="A1673" s="151">
        <v>1672</v>
      </c>
      <c r="B1673" s="152" t="s">
        <v>5649</v>
      </c>
      <c r="C1673" s="156" t="s">
        <v>16629</v>
      </c>
      <c r="D1673" s="157">
        <v>10</v>
      </c>
      <c r="E1673" s="155">
        <f>+D1673*100</f>
        <v>1000</v>
      </c>
    </row>
    <row r="1674" ht="16.5" spans="1:5">
      <c r="A1674" s="151">
        <v>1673</v>
      </c>
      <c r="B1674" s="152" t="s">
        <v>5652</v>
      </c>
      <c r="C1674" s="160" t="s">
        <v>16630</v>
      </c>
      <c r="D1674" s="160">
        <v>100</v>
      </c>
      <c r="E1674" s="161">
        <f>SUM(D1674*100)</f>
        <v>10000</v>
      </c>
    </row>
    <row r="1675" ht="16.5" spans="1:5">
      <c r="A1675" s="151">
        <v>1674</v>
      </c>
      <c r="B1675" s="152" t="s">
        <v>5656</v>
      </c>
      <c r="C1675" s="156" t="s">
        <v>16629</v>
      </c>
      <c r="D1675" s="159">
        <v>10</v>
      </c>
      <c r="E1675" s="155">
        <f t="shared" ref="E1675:E1687" si="56">+D1675*100</f>
        <v>1000</v>
      </c>
    </row>
    <row r="1676" ht="16.5" spans="1:5">
      <c r="A1676" s="151">
        <v>1675</v>
      </c>
      <c r="B1676" s="152" t="s">
        <v>5659</v>
      </c>
      <c r="C1676" s="160" t="s">
        <v>16630</v>
      </c>
      <c r="D1676" s="172">
        <v>5000</v>
      </c>
      <c r="E1676" s="161">
        <f t="shared" si="56"/>
        <v>500000</v>
      </c>
    </row>
    <row r="1677" ht="16.5" spans="1:5">
      <c r="A1677" s="151">
        <v>1676</v>
      </c>
      <c r="B1677" s="152" t="s">
        <v>5662</v>
      </c>
      <c r="C1677" s="153" t="s">
        <v>16629</v>
      </c>
      <c r="D1677" s="154">
        <v>10</v>
      </c>
      <c r="E1677" s="155">
        <f t="shared" si="56"/>
        <v>1000</v>
      </c>
    </row>
    <row r="1678" ht="16.5" spans="1:5">
      <c r="A1678" s="151">
        <v>1677</v>
      </c>
      <c r="B1678" s="152" t="s">
        <v>5666</v>
      </c>
      <c r="C1678" s="153" t="s">
        <v>16629</v>
      </c>
      <c r="D1678" s="158">
        <v>10</v>
      </c>
      <c r="E1678" s="155">
        <f t="shared" si="56"/>
        <v>1000</v>
      </c>
    </row>
    <row r="1679" ht="16.5" spans="1:5">
      <c r="A1679" s="151">
        <v>1678</v>
      </c>
      <c r="B1679" s="152" t="s">
        <v>5670</v>
      </c>
      <c r="C1679" s="156" t="s">
        <v>16629</v>
      </c>
      <c r="D1679" s="157">
        <v>10</v>
      </c>
      <c r="E1679" s="155">
        <f t="shared" si="56"/>
        <v>1000</v>
      </c>
    </row>
    <row r="1680" ht="16.5" spans="1:5">
      <c r="A1680" s="151">
        <v>1679</v>
      </c>
      <c r="B1680" s="152" t="s">
        <v>5673</v>
      </c>
      <c r="C1680" s="156" t="s">
        <v>16629</v>
      </c>
      <c r="D1680" s="159">
        <v>10</v>
      </c>
      <c r="E1680" s="155">
        <f t="shared" si="56"/>
        <v>1000</v>
      </c>
    </row>
    <row r="1681" ht="16.5" spans="1:5">
      <c r="A1681" s="151">
        <v>1680</v>
      </c>
      <c r="B1681" s="152" t="s">
        <v>5677</v>
      </c>
      <c r="C1681" s="156" t="s">
        <v>16629</v>
      </c>
      <c r="D1681" s="159">
        <v>10</v>
      </c>
      <c r="E1681" s="155">
        <f t="shared" si="56"/>
        <v>1000</v>
      </c>
    </row>
    <row r="1682" ht="16.5" spans="1:5">
      <c r="A1682" s="151">
        <v>1681</v>
      </c>
      <c r="B1682" s="152" t="s">
        <v>5680</v>
      </c>
      <c r="C1682" s="156" t="s">
        <v>16629</v>
      </c>
      <c r="D1682" s="159">
        <v>10</v>
      </c>
      <c r="E1682" s="155">
        <f t="shared" si="56"/>
        <v>1000</v>
      </c>
    </row>
    <row r="1683" ht="16.5" spans="1:5">
      <c r="A1683" s="151">
        <v>1682</v>
      </c>
      <c r="B1683" s="152" t="s">
        <v>5684</v>
      </c>
      <c r="C1683" s="153" t="s">
        <v>16629</v>
      </c>
      <c r="D1683" s="158">
        <v>10</v>
      </c>
      <c r="E1683" s="155">
        <f t="shared" si="56"/>
        <v>1000</v>
      </c>
    </row>
    <row r="1684" ht="16.5" spans="1:5">
      <c r="A1684" s="151">
        <v>1683</v>
      </c>
      <c r="B1684" s="152" t="s">
        <v>5688</v>
      </c>
      <c r="C1684" s="153" t="s">
        <v>16629</v>
      </c>
      <c r="D1684" s="158">
        <v>10</v>
      </c>
      <c r="E1684" s="155">
        <f t="shared" si="56"/>
        <v>1000</v>
      </c>
    </row>
    <row r="1685" ht="16.5" spans="1:5">
      <c r="A1685" s="151">
        <v>1684</v>
      </c>
      <c r="B1685" s="152" t="s">
        <v>5691</v>
      </c>
      <c r="C1685" s="153" t="s">
        <v>16629</v>
      </c>
      <c r="D1685" s="158">
        <v>10</v>
      </c>
      <c r="E1685" s="155">
        <f t="shared" si="56"/>
        <v>1000</v>
      </c>
    </row>
    <row r="1686" ht="16.5" spans="1:5">
      <c r="A1686" s="151">
        <v>1685</v>
      </c>
      <c r="B1686" s="152" t="s">
        <v>5695</v>
      </c>
      <c r="C1686" s="156" t="s">
        <v>16629</v>
      </c>
      <c r="D1686" s="157">
        <v>10</v>
      </c>
      <c r="E1686" s="155">
        <f t="shared" si="56"/>
        <v>1000</v>
      </c>
    </row>
    <row r="1687" ht="16.5" spans="1:5">
      <c r="A1687" s="151">
        <v>1686</v>
      </c>
      <c r="B1687" s="152" t="s">
        <v>5698</v>
      </c>
      <c r="C1687" s="153" t="s">
        <v>16629</v>
      </c>
      <c r="D1687" s="154">
        <v>10</v>
      </c>
      <c r="E1687" s="155">
        <f t="shared" si="56"/>
        <v>1000</v>
      </c>
    </row>
    <row r="1688" ht="16.5" spans="1:5">
      <c r="A1688" s="151">
        <v>1687</v>
      </c>
      <c r="B1688" s="152" t="s">
        <v>5702</v>
      </c>
      <c r="C1688" s="160" t="s">
        <v>16630</v>
      </c>
      <c r="D1688" s="160">
        <v>30</v>
      </c>
      <c r="E1688" s="161">
        <f>SUM(D1688*100)</f>
        <v>3000</v>
      </c>
    </row>
    <row r="1689" ht="16.5" spans="1:5">
      <c r="A1689" s="151">
        <v>1688</v>
      </c>
      <c r="B1689" s="152" t="s">
        <v>5706</v>
      </c>
      <c r="C1689" s="160" t="s">
        <v>16630</v>
      </c>
      <c r="D1689" s="164">
        <v>50</v>
      </c>
      <c r="E1689" s="161">
        <f>SUM(D1689*100)</f>
        <v>5000</v>
      </c>
    </row>
    <row r="1690" ht="16.5" spans="1:5">
      <c r="A1690" s="151">
        <v>1689</v>
      </c>
      <c r="B1690" s="152" t="s">
        <v>5709</v>
      </c>
      <c r="C1690" s="153" t="s">
        <v>16629</v>
      </c>
      <c r="D1690" s="154">
        <v>100</v>
      </c>
      <c r="E1690" s="155">
        <f>+D1690*100</f>
        <v>10000</v>
      </c>
    </row>
    <row r="1691" ht="16.5" spans="1:5">
      <c r="A1691" s="151">
        <v>1690</v>
      </c>
      <c r="B1691" s="152" t="s">
        <v>5712</v>
      </c>
      <c r="C1691" s="162" t="s">
        <v>16631</v>
      </c>
      <c r="D1691" s="163">
        <v>1000</v>
      </c>
      <c r="E1691" s="163">
        <f>D1691*100</f>
        <v>100000</v>
      </c>
    </row>
    <row r="1692" ht="16.5" spans="1:5">
      <c r="A1692" s="151">
        <v>1691</v>
      </c>
      <c r="B1692" s="152" t="s">
        <v>5717</v>
      </c>
      <c r="C1692" s="160" t="s">
        <v>16630</v>
      </c>
      <c r="D1692" s="160">
        <v>10</v>
      </c>
      <c r="E1692" s="161">
        <f>SUM(D1692*100)</f>
        <v>1000</v>
      </c>
    </row>
    <row r="1693" ht="16.5" spans="1:5">
      <c r="A1693" s="151">
        <v>1692</v>
      </c>
      <c r="B1693" s="152" t="s">
        <v>5722</v>
      </c>
      <c r="C1693" s="160" t="s">
        <v>16630</v>
      </c>
      <c r="D1693" s="160">
        <v>500</v>
      </c>
      <c r="E1693" s="161">
        <f>SUM(D1693*100)</f>
        <v>50000</v>
      </c>
    </row>
    <row r="1694" ht="16.5" spans="1:5">
      <c r="A1694" s="151">
        <v>1693</v>
      </c>
      <c r="B1694" s="152" t="s">
        <v>5726</v>
      </c>
      <c r="C1694" s="156" t="s">
        <v>16629</v>
      </c>
      <c r="D1694" s="157">
        <v>10</v>
      </c>
      <c r="E1694" s="155">
        <f>+D1694*100</f>
        <v>1000</v>
      </c>
    </row>
    <row r="1695" ht="16.5" spans="1:5">
      <c r="A1695" s="151">
        <v>1694</v>
      </c>
      <c r="B1695" s="152" t="s">
        <v>5729</v>
      </c>
      <c r="C1695" s="160" t="s">
        <v>16630</v>
      </c>
      <c r="D1695" s="160">
        <v>30</v>
      </c>
      <c r="E1695" s="161">
        <f>SUM(D1695*100)</f>
        <v>3000</v>
      </c>
    </row>
    <row r="1696" ht="16.5" spans="1:5">
      <c r="A1696" s="151">
        <v>1695</v>
      </c>
      <c r="B1696" s="152" t="s">
        <v>5733</v>
      </c>
      <c r="C1696" s="166" t="s">
        <v>16632</v>
      </c>
      <c r="D1696" s="166">
        <f>IFERROR(__xludf.DUMMYFUNCTION("""COMPUTED_VALUE"""),15000)</f>
        <v>15000</v>
      </c>
      <c r="E1696" s="168">
        <f>IFERROR(__xludf.DUMMYFUNCTION("""COMPUTED_VALUE"""),1500000)</f>
        <v>1500000</v>
      </c>
    </row>
    <row r="1697" ht="16.5" spans="1:5">
      <c r="A1697" s="151">
        <v>1696</v>
      </c>
      <c r="B1697" s="152" t="s">
        <v>5733</v>
      </c>
      <c r="C1697" s="166" t="s">
        <v>16632</v>
      </c>
      <c r="D1697" s="166">
        <f>IFERROR(__xludf.DUMMYFUNCTION("""COMPUTED_VALUE"""),10000)</f>
        <v>10000</v>
      </c>
      <c r="E1697" s="168">
        <f>IFERROR(__xludf.DUMMYFUNCTION("""COMPUTED_VALUE"""),1500000)</f>
        <v>1500000</v>
      </c>
    </row>
    <row r="1698" ht="16.5" spans="1:5">
      <c r="A1698" s="151">
        <v>1697</v>
      </c>
      <c r="B1698" s="152" t="s">
        <v>5734</v>
      </c>
      <c r="C1698" s="160" t="s">
        <v>16630</v>
      </c>
      <c r="D1698" s="41">
        <v>50</v>
      </c>
      <c r="E1698" s="161">
        <f>SUM(D1698*100)</f>
        <v>5000</v>
      </c>
    </row>
    <row r="1699" ht="16.5" spans="1:5">
      <c r="A1699" s="151">
        <v>1698</v>
      </c>
      <c r="B1699" s="152" t="s">
        <v>5737</v>
      </c>
      <c r="C1699" s="156" t="s">
        <v>16629</v>
      </c>
      <c r="D1699" s="159">
        <v>10</v>
      </c>
      <c r="E1699" s="155">
        <f>+D1699*100</f>
        <v>1000</v>
      </c>
    </row>
    <row r="1700" ht="16.5" spans="1:5">
      <c r="A1700" s="151">
        <v>1699</v>
      </c>
      <c r="B1700" s="152" t="s">
        <v>5741</v>
      </c>
      <c r="C1700" s="156" t="s">
        <v>16629</v>
      </c>
      <c r="D1700" s="159">
        <v>10</v>
      </c>
      <c r="E1700" s="155">
        <f>+D1700*100</f>
        <v>1000</v>
      </c>
    </row>
    <row r="1701" ht="16.5" spans="1:5">
      <c r="A1701" s="151">
        <v>1700</v>
      </c>
      <c r="B1701" s="152" t="s">
        <v>5744</v>
      </c>
      <c r="C1701" s="153" t="s">
        <v>16629</v>
      </c>
      <c r="D1701" s="154">
        <v>10</v>
      </c>
      <c r="E1701" s="155">
        <f>+D1701*100</f>
        <v>1000</v>
      </c>
    </row>
    <row r="1702" ht="16.5" spans="1:5">
      <c r="A1702" s="151">
        <v>1701</v>
      </c>
      <c r="B1702" s="152" t="s">
        <v>5747</v>
      </c>
      <c r="C1702" s="160" t="s">
        <v>16630</v>
      </c>
      <c r="D1702" s="160">
        <v>10</v>
      </c>
      <c r="E1702" s="161">
        <f>SUM(D1702*100)</f>
        <v>1000</v>
      </c>
    </row>
    <row r="1703" ht="16.5" spans="1:5">
      <c r="A1703" s="151">
        <v>1702</v>
      </c>
      <c r="B1703" s="152" t="s">
        <v>5751</v>
      </c>
      <c r="C1703" s="153" t="s">
        <v>16629</v>
      </c>
      <c r="D1703" s="154">
        <v>20</v>
      </c>
      <c r="E1703" s="155">
        <f>+D1703*100</f>
        <v>2000</v>
      </c>
    </row>
    <row r="1704" ht="16.5" spans="1:5">
      <c r="A1704" s="151">
        <v>1703</v>
      </c>
      <c r="B1704" s="152" t="s">
        <v>5754</v>
      </c>
      <c r="C1704" s="153" t="s">
        <v>16629</v>
      </c>
      <c r="D1704" s="154">
        <v>10</v>
      </c>
      <c r="E1704" s="155">
        <f>+D1704*100</f>
        <v>1000</v>
      </c>
    </row>
    <row r="1705" ht="16.5" spans="1:5">
      <c r="A1705" s="151">
        <v>1704</v>
      </c>
      <c r="B1705" s="152" t="s">
        <v>5757</v>
      </c>
      <c r="C1705" s="156" t="s">
        <v>16629</v>
      </c>
      <c r="D1705" s="159">
        <v>20</v>
      </c>
      <c r="E1705" s="155">
        <f>+D1705*100</f>
        <v>2000</v>
      </c>
    </row>
    <row r="1706" ht="16.5" spans="1:5">
      <c r="A1706" s="151">
        <v>1705</v>
      </c>
      <c r="B1706" s="152" t="s">
        <v>5761</v>
      </c>
      <c r="C1706" s="156" t="s">
        <v>16629</v>
      </c>
      <c r="D1706" s="159">
        <v>10</v>
      </c>
      <c r="E1706" s="155">
        <f>+D1706*100</f>
        <v>1000</v>
      </c>
    </row>
    <row r="1707" ht="16.5" spans="1:5">
      <c r="A1707" s="151">
        <v>1706</v>
      </c>
      <c r="B1707" s="152" t="s">
        <v>5765</v>
      </c>
      <c r="C1707" s="153" t="s">
        <v>16629</v>
      </c>
      <c r="D1707" s="154">
        <v>10</v>
      </c>
      <c r="E1707" s="155">
        <f>+D1707*100</f>
        <v>1000</v>
      </c>
    </row>
    <row r="1708" ht="16.5" spans="1:5">
      <c r="A1708" s="151">
        <v>1707</v>
      </c>
      <c r="B1708" s="152" t="s">
        <v>5769</v>
      </c>
      <c r="C1708" s="160" t="s">
        <v>16630</v>
      </c>
      <c r="D1708" s="160">
        <v>10</v>
      </c>
      <c r="E1708" s="161">
        <f>SUM(D1708*100)</f>
        <v>1000</v>
      </c>
    </row>
    <row r="1709" ht="16.5" spans="1:5">
      <c r="A1709" s="151">
        <v>1708</v>
      </c>
      <c r="B1709" s="152" t="s">
        <v>5772</v>
      </c>
      <c r="C1709" s="156" t="s">
        <v>16629</v>
      </c>
      <c r="D1709" s="157">
        <v>10</v>
      </c>
      <c r="E1709" s="155">
        <f t="shared" ref="E1709:E1720" si="57">+D1709*100</f>
        <v>1000</v>
      </c>
    </row>
    <row r="1710" ht="16.5" spans="1:5">
      <c r="A1710" s="151">
        <v>1709</v>
      </c>
      <c r="B1710" s="152" t="s">
        <v>5775</v>
      </c>
      <c r="C1710" s="153" t="s">
        <v>16629</v>
      </c>
      <c r="D1710" s="154">
        <v>10</v>
      </c>
      <c r="E1710" s="155">
        <f t="shared" si="57"/>
        <v>1000</v>
      </c>
    </row>
    <row r="1711" ht="16.5" spans="1:5">
      <c r="A1711" s="151">
        <v>1710</v>
      </c>
      <c r="B1711" s="152" t="s">
        <v>5778</v>
      </c>
      <c r="C1711" s="153" t="s">
        <v>16629</v>
      </c>
      <c r="D1711" s="158">
        <v>10</v>
      </c>
      <c r="E1711" s="155">
        <f t="shared" si="57"/>
        <v>1000</v>
      </c>
    </row>
    <row r="1712" ht="16.5" spans="1:5">
      <c r="A1712" s="151">
        <v>1711</v>
      </c>
      <c r="B1712" s="152" t="s">
        <v>5781</v>
      </c>
      <c r="C1712" s="156" t="s">
        <v>16629</v>
      </c>
      <c r="D1712" s="159">
        <v>10</v>
      </c>
      <c r="E1712" s="155">
        <f t="shared" si="57"/>
        <v>1000</v>
      </c>
    </row>
    <row r="1713" ht="16.5" spans="1:5">
      <c r="A1713" s="151">
        <v>1712</v>
      </c>
      <c r="B1713" s="152" t="s">
        <v>5784</v>
      </c>
      <c r="C1713" s="156" t="s">
        <v>16629</v>
      </c>
      <c r="D1713" s="157">
        <v>10</v>
      </c>
      <c r="E1713" s="155">
        <f t="shared" si="57"/>
        <v>1000</v>
      </c>
    </row>
    <row r="1714" ht="16.5" spans="1:5">
      <c r="A1714" s="151">
        <v>1713</v>
      </c>
      <c r="B1714" s="152" t="s">
        <v>5787</v>
      </c>
      <c r="C1714" s="156" t="s">
        <v>16629</v>
      </c>
      <c r="D1714" s="157">
        <v>10</v>
      </c>
      <c r="E1714" s="155">
        <f t="shared" si="57"/>
        <v>1000</v>
      </c>
    </row>
    <row r="1715" ht="16.5" spans="1:5">
      <c r="A1715" s="151">
        <v>1714</v>
      </c>
      <c r="B1715" s="152" t="s">
        <v>5790</v>
      </c>
      <c r="C1715" s="153" t="s">
        <v>16629</v>
      </c>
      <c r="D1715" s="154">
        <v>10</v>
      </c>
      <c r="E1715" s="155">
        <f t="shared" si="57"/>
        <v>1000</v>
      </c>
    </row>
    <row r="1716" ht="16.5" spans="1:5">
      <c r="A1716" s="151">
        <v>1715</v>
      </c>
      <c r="B1716" s="152" t="s">
        <v>5793</v>
      </c>
      <c r="C1716" s="153" t="s">
        <v>16629</v>
      </c>
      <c r="D1716" s="158">
        <v>10</v>
      </c>
      <c r="E1716" s="155">
        <f t="shared" si="57"/>
        <v>1000</v>
      </c>
    </row>
    <row r="1717" ht="16.5" spans="1:5">
      <c r="A1717" s="151">
        <v>1716</v>
      </c>
      <c r="B1717" s="152" t="s">
        <v>5796</v>
      </c>
      <c r="C1717" s="153" t="s">
        <v>16629</v>
      </c>
      <c r="D1717" s="154">
        <v>10</v>
      </c>
      <c r="E1717" s="155">
        <f t="shared" si="57"/>
        <v>1000</v>
      </c>
    </row>
    <row r="1718" ht="16.5" spans="1:5">
      <c r="A1718" s="151">
        <v>1717</v>
      </c>
      <c r="B1718" s="152" t="s">
        <v>5799</v>
      </c>
      <c r="C1718" s="153" t="s">
        <v>16629</v>
      </c>
      <c r="D1718" s="154">
        <v>10</v>
      </c>
      <c r="E1718" s="155">
        <f t="shared" si="57"/>
        <v>1000</v>
      </c>
    </row>
    <row r="1719" ht="16.5" spans="1:5">
      <c r="A1719" s="151">
        <v>1718</v>
      </c>
      <c r="B1719" s="152" t="s">
        <v>5802</v>
      </c>
      <c r="C1719" s="156" t="s">
        <v>16629</v>
      </c>
      <c r="D1719" s="159">
        <v>10</v>
      </c>
      <c r="E1719" s="155">
        <f t="shared" si="57"/>
        <v>1000</v>
      </c>
    </row>
    <row r="1720" ht="16.5" spans="1:5">
      <c r="A1720" s="151">
        <v>1719</v>
      </c>
      <c r="B1720" s="152" t="s">
        <v>5806</v>
      </c>
      <c r="C1720" s="153" t="s">
        <v>16629</v>
      </c>
      <c r="D1720" s="158">
        <v>10</v>
      </c>
      <c r="E1720" s="155">
        <f t="shared" si="57"/>
        <v>1000</v>
      </c>
    </row>
    <row r="1721" ht="16.5" spans="1:5">
      <c r="A1721" s="151">
        <v>1720</v>
      </c>
      <c r="B1721" s="152" t="s">
        <v>5809</v>
      </c>
      <c r="C1721" s="160" t="s">
        <v>16630</v>
      </c>
      <c r="D1721" s="160">
        <v>200</v>
      </c>
      <c r="E1721" s="161">
        <f>SUM(D1721*100)</f>
        <v>20000</v>
      </c>
    </row>
    <row r="1722" ht="16.5" spans="1:5">
      <c r="A1722" s="151">
        <v>1721</v>
      </c>
      <c r="B1722" s="152" t="s">
        <v>5813</v>
      </c>
      <c r="C1722" s="160" t="s">
        <v>16630</v>
      </c>
      <c r="D1722" s="160">
        <v>10</v>
      </c>
      <c r="E1722" s="161">
        <f>SUM(D1722*100)</f>
        <v>1000</v>
      </c>
    </row>
    <row r="1723" ht="16.5" spans="1:5">
      <c r="A1723" s="151">
        <v>1722</v>
      </c>
      <c r="B1723" s="152" t="s">
        <v>5817</v>
      </c>
      <c r="C1723" s="160" t="s">
        <v>16630</v>
      </c>
      <c r="D1723" s="160">
        <v>475</v>
      </c>
      <c r="E1723" s="161">
        <f>SUM(D1723*100)</f>
        <v>47500</v>
      </c>
    </row>
    <row r="1724" ht="16.5" spans="1:5">
      <c r="A1724" s="151">
        <v>1723</v>
      </c>
      <c r="B1724" s="152" t="s">
        <v>5820</v>
      </c>
      <c r="C1724" s="160" t="s">
        <v>16630</v>
      </c>
      <c r="D1724" s="160">
        <v>550</v>
      </c>
      <c r="E1724" s="161">
        <f>SUM(D1724*100)</f>
        <v>55000</v>
      </c>
    </row>
    <row r="1725" ht="16.5" spans="1:5">
      <c r="A1725" s="151">
        <v>1724</v>
      </c>
      <c r="B1725" s="152" t="s">
        <v>5825</v>
      </c>
      <c r="C1725" s="156" t="s">
        <v>16629</v>
      </c>
      <c r="D1725" s="180">
        <v>10</v>
      </c>
      <c r="E1725" s="155">
        <f>+D1725*100</f>
        <v>1000</v>
      </c>
    </row>
    <row r="1726" ht="16.5" spans="1:5">
      <c r="A1726" s="151">
        <v>1725</v>
      </c>
      <c r="B1726" s="152" t="s">
        <v>5828</v>
      </c>
      <c r="C1726" s="160" t="s">
        <v>16630</v>
      </c>
      <c r="D1726" s="41">
        <v>500</v>
      </c>
      <c r="E1726" s="161">
        <f>SUM(D1726*100)</f>
        <v>50000</v>
      </c>
    </row>
    <row r="1727" ht="16.5" spans="1:5">
      <c r="A1727" s="151">
        <v>1726</v>
      </c>
      <c r="B1727" s="152" t="s">
        <v>5831</v>
      </c>
      <c r="C1727" s="160" t="s">
        <v>16630</v>
      </c>
      <c r="D1727" s="160">
        <v>10</v>
      </c>
      <c r="E1727" s="161">
        <f>SUM(D1727*100)</f>
        <v>1000</v>
      </c>
    </row>
    <row r="1728" ht="16.5" spans="1:5">
      <c r="A1728" s="151">
        <v>1727</v>
      </c>
      <c r="B1728" s="152" t="s">
        <v>5834</v>
      </c>
      <c r="C1728" s="160" t="s">
        <v>16630</v>
      </c>
      <c r="D1728" s="160">
        <v>20</v>
      </c>
      <c r="E1728" s="161">
        <f>SUM(D1728*100)</f>
        <v>2000</v>
      </c>
    </row>
    <row r="1729" ht="16.5" spans="1:5">
      <c r="A1729" s="151">
        <v>1728</v>
      </c>
      <c r="B1729" s="152" t="s">
        <v>5838</v>
      </c>
      <c r="C1729" s="166" t="s">
        <v>16632</v>
      </c>
      <c r="D1729" s="166">
        <f>IFERROR(__xludf.DUMMYFUNCTION("""COMPUTED_VALUE"""),10000)</f>
        <v>10000</v>
      </c>
      <c r="E1729" s="168">
        <f>IFERROR(__xludf.DUMMYFUNCTION("""COMPUTED_VALUE"""),1500000)</f>
        <v>1500000</v>
      </c>
    </row>
    <row r="1730" ht="16.5" spans="1:5">
      <c r="A1730" s="151">
        <v>1729</v>
      </c>
      <c r="B1730" s="152" t="s">
        <v>5839</v>
      </c>
      <c r="C1730" s="160" t="s">
        <v>16630</v>
      </c>
      <c r="D1730" s="160">
        <v>10</v>
      </c>
      <c r="E1730" s="161">
        <f>SUM(D1730*100)</f>
        <v>1000</v>
      </c>
    </row>
    <row r="1731" ht="16.5" spans="1:5">
      <c r="A1731" s="151">
        <v>1730</v>
      </c>
      <c r="B1731" s="152" t="s">
        <v>5842</v>
      </c>
      <c r="C1731" s="160" t="s">
        <v>16630</v>
      </c>
      <c r="D1731" s="160">
        <v>25</v>
      </c>
      <c r="E1731" s="161">
        <f>SUM(D1731*100)</f>
        <v>2500</v>
      </c>
    </row>
    <row r="1732" ht="16.5" spans="1:5">
      <c r="A1732" s="151">
        <v>1731</v>
      </c>
      <c r="B1732" s="152" t="s">
        <v>5845</v>
      </c>
      <c r="C1732" s="160" t="s">
        <v>16630</v>
      </c>
      <c r="D1732" s="160">
        <v>200</v>
      </c>
      <c r="E1732" s="161">
        <f>SUM(D1732*100)</f>
        <v>20000</v>
      </c>
    </row>
    <row r="1733" ht="16.5" spans="1:5">
      <c r="A1733" s="151">
        <v>1732</v>
      </c>
      <c r="B1733" s="152" t="s">
        <v>5848</v>
      </c>
      <c r="C1733" s="160" t="s">
        <v>16630</v>
      </c>
      <c r="D1733" s="160">
        <v>500</v>
      </c>
      <c r="E1733" s="161">
        <f>SUM(D1733*100)</f>
        <v>50000</v>
      </c>
    </row>
    <row r="1734" ht="16.5" spans="1:5">
      <c r="A1734" s="151">
        <v>1733</v>
      </c>
      <c r="B1734" s="152" t="s">
        <v>5848</v>
      </c>
      <c r="C1734" s="162" t="s">
        <v>16631</v>
      </c>
      <c r="D1734" s="163">
        <v>1000</v>
      </c>
      <c r="E1734" s="163">
        <f>D1734*100</f>
        <v>100000</v>
      </c>
    </row>
    <row r="1735" ht="16.5" spans="1:5">
      <c r="A1735" s="151">
        <v>1734</v>
      </c>
      <c r="B1735" s="152" t="s">
        <v>5852</v>
      </c>
      <c r="C1735" s="160" t="s">
        <v>16630</v>
      </c>
      <c r="D1735" s="160">
        <v>300</v>
      </c>
      <c r="E1735" s="161">
        <f>SUM(D1735*100)</f>
        <v>30000</v>
      </c>
    </row>
    <row r="1736" ht="16.5" spans="1:5">
      <c r="A1736" s="151">
        <v>1735</v>
      </c>
      <c r="B1736" s="152" t="s">
        <v>5856</v>
      </c>
      <c r="C1736" s="162" t="s">
        <v>16631</v>
      </c>
      <c r="D1736" s="163">
        <v>1000</v>
      </c>
      <c r="E1736" s="163">
        <f>D1736*100</f>
        <v>100000</v>
      </c>
    </row>
    <row r="1737" ht="16.5" spans="1:5">
      <c r="A1737" s="151">
        <v>1736</v>
      </c>
      <c r="B1737" s="152" t="s">
        <v>5860</v>
      </c>
      <c r="C1737" s="162" t="s">
        <v>16633</v>
      </c>
      <c r="D1737" s="171">
        <f>G1737/100</f>
        <v>0</v>
      </c>
      <c r="E1737" s="171">
        <f>G1737</f>
        <v>0</v>
      </c>
    </row>
    <row r="1738" ht="16.5" spans="1:5">
      <c r="A1738" s="151">
        <v>1737</v>
      </c>
      <c r="B1738" s="152" t="s">
        <v>5865</v>
      </c>
      <c r="C1738" s="162" t="s">
        <v>16633</v>
      </c>
      <c r="D1738" s="171">
        <f>G1738/100</f>
        <v>0</v>
      </c>
      <c r="E1738" s="171">
        <f>G1738</f>
        <v>0</v>
      </c>
    </row>
    <row r="1739" ht="16.5" spans="1:5">
      <c r="A1739" s="151">
        <v>1738</v>
      </c>
      <c r="B1739" s="152" t="s">
        <v>5870</v>
      </c>
      <c r="C1739" s="162" t="s">
        <v>16633</v>
      </c>
      <c r="D1739" s="171">
        <f>G1739/100</f>
        <v>0</v>
      </c>
      <c r="E1739" s="171">
        <f>G1739</f>
        <v>0</v>
      </c>
    </row>
    <row r="1740" ht="16.5" spans="1:5">
      <c r="A1740" s="151">
        <v>1739</v>
      </c>
      <c r="B1740" s="152" t="s">
        <v>5875</v>
      </c>
      <c r="C1740" s="160" t="s">
        <v>16630</v>
      </c>
      <c r="D1740" s="160">
        <v>10</v>
      </c>
      <c r="E1740" s="161">
        <f>SUM(D1740*100)</f>
        <v>1000</v>
      </c>
    </row>
    <row r="1741" ht="16.5" spans="1:5">
      <c r="A1741" s="151">
        <v>1740</v>
      </c>
      <c r="B1741" s="152" t="s">
        <v>5878</v>
      </c>
      <c r="C1741" s="166" t="s">
        <v>16632</v>
      </c>
      <c r="D1741" s="166">
        <f>IFERROR(__xludf.DUMMYFUNCTION("""COMPUTED_VALUE"""),15000)</f>
        <v>15000</v>
      </c>
      <c r="E1741" s="168">
        <f>IFERROR(__xludf.DUMMYFUNCTION("""COMPUTED_VALUE"""),1500000)</f>
        <v>1500000</v>
      </c>
    </row>
    <row r="1742" ht="16.5" spans="1:5">
      <c r="A1742" s="151">
        <v>1741</v>
      </c>
      <c r="B1742" s="152" t="s">
        <v>5879</v>
      </c>
      <c r="C1742" s="153" t="s">
        <v>16629</v>
      </c>
      <c r="D1742" s="154">
        <v>10</v>
      </c>
      <c r="E1742" s="155">
        <f>+D1742*100</f>
        <v>1000</v>
      </c>
    </row>
    <row r="1743" ht="16.5" spans="1:5">
      <c r="A1743" s="151">
        <v>1742</v>
      </c>
      <c r="B1743" s="152" t="s">
        <v>5883</v>
      </c>
      <c r="C1743" s="162" t="s">
        <v>16631</v>
      </c>
      <c r="D1743" s="163">
        <v>1000</v>
      </c>
      <c r="E1743" s="163">
        <f>D1743*100</f>
        <v>100000</v>
      </c>
    </row>
    <row r="1744" ht="16.5" spans="1:5">
      <c r="A1744" s="151">
        <v>1743</v>
      </c>
      <c r="B1744" s="152" t="s">
        <v>5888</v>
      </c>
      <c r="C1744" s="166" t="s">
        <v>16632</v>
      </c>
      <c r="D1744" s="166">
        <f>IFERROR(__xludf.DUMMYFUNCTION("""COMPUTED_VALUE"""),10000)</f>
        <v>10000</v>
      </c>
      <c r="E1744" s="168">
        <f>IFERROR(__xludf.DUMMYFUNCTION("""COMPUTED_VALUE"""),1500000)</f>
        <v>1500000</v>
      </c>
    </row>
    <row r="1745" ht="16.5" spans="1:5">
      <c r="A1745" s="151">
        <v>1744</v>
      </c>
      <c r="B1745" s="152" t="s">
        <v>5889</v>
      </c>
      <c r="C1745" s="166" t="s">
        <v>16632</v>
      </c>
      <c r="D1745" s="166">
        <f>IFERROR(__xludf.DUMMYFUNCTION("""COMPUTED_VALUE"""),10000)</f>
        <v>10000</v>
      </c>
      <c r="E1745" s="168">
        <f>IFERROR(__xludf.DUMMYFUNCTION("""COMPUTED_VALUE"""),1500000)</f>
        <v>1500000</v>
      </c>
    </row>
    <row r="1746" ht="16.5" spans="1:5">
      <c r="A1746" s="151">
        <v>1745</v>
      </c>
      <c r="B1746" s="152" t="s">
        <v>5890</v>
      </c>
      <c r="C1746" s="162" t="s">
        <v>16631</v>
      </c>
      <c r="D1746" s="163">
        <v>1000</v>
      </c>
      <c r="E1746" s="163">
        <f>D1746*100</f>
        <v>100000</v>
      </c>
    </row>
    <row r="1747" ht="16.5" spans="1:5">
      <c r="A1747" s="151">
        <v>1746</v>
      </c>
      <c r="B1747" s="152" t="s">
        <v>5895</v>
      </c>
      <c r="C1747" s="153" t="s">
        <v>16629</v>
      </c>
      <c r="D1747" s="154">
        <v>10</v>
      </c>
      <c r="E1747" s="155">
        <f>+D1747*100</f>
        <v>1000</v>
      </c>
    </row>
    <row r="1748" ht="16.5" spans="1:5">
      <c r="A1748" s="151">
        <v>1747</v>
      </c>
      <c r="B1748" s="152" t="s">
        <v>5900</v>
      </c>
      <c r="C1748" s="156" t="s">
        <v>16629</v>
      </c>
      <c r="D1748" s="154">
        <v>10</v>
      </c>
      <c r="E1748" s="155">
        <f>+D1748*100</f>
        <v>1000</v>
      </c>
    </row>
    <row r="1749" ht="16.5" spans="1:5">
      <c r="A1749" s="151">
        <v>1748</v>
      </c>
      <c r="B1749" s="152" t="s">
        <v>5903</v>
      </c>
      <c r="C1749" s="160" t="s">
        <v>16630</v>
      </c>
      <c r="D1749" s="160">
        <v>10</v>
      </c>
      <c r="E1749" s="161">
        <f>SUM(D1749*100)</f>
        <v>1000</v>
      </c>
    </row>
    <row r="1750" ht="16.5" spans="1:5">
      <c r="A1750" s="151">
        <v>1749</v>
      </c>
      <c r="B1750" s="152" t="s">
        <v>5906</v>
      </c>
      <c r="C1750" s="160" t="s">
        <v>16630</v>
      </c>
      <c r="D1750" s="160">
        <v>200</v>
      </c>
      <c r="E1750" s="161">
        <f>SUM(D1750*100)</f>
        <v>20000</v>
      </c>
    </row>
    <row r="1751" ht="16.5" spans="1:5">
      <c r="A1751" s="151">
        <v>1750</v>
      </c>
      <c r="B1751" s="152" t="s">
        <v>5910</v>
      </c>
      <c r="C1751" s="160" t="s">
        <v>16630</v>
      </c>
      <c r="D1751" s="160">
        <v>20</v>
      </c>
      <c r="E1751" s="161">
        <f>SUM(D1751*100)</f>
        <v>2000</v>
      </c>
    </row>
    <row r="1752" ht="16.5" spans="1:5">
      <c r="A1752" s="151">
        <v>1751</v>
      </c>
      <c r="B1752" s="152" t="s">
        <v>5913</v>
      </c>
      <c r="C1752" s="156" t="s">
        <v>16629</v>
      </c>
      <c r="D1752" s="159">
        <v>50</v>
      </c>
      <c r="E1752" s="155">
        <f>+D1752*100</f>
        <v>5000</v>
      </c>
    </row>
    <row r="1753" ht="16.5" spans="1:5">
      <c r="A1753" s="151">
        <v>1752</v>
      </c>
      <c r="B1753" s="152" t="s">
        <v>5917</v>
      </c>
      <c r="C1753" s="162" t="s">
        <v>16631</v>
      </c>
      <c r="D1753" s="163">
        <v>1000</v>
      </c>
      <c r="E1753" s="163">
        <f>D1753*100</f>
        <v>100000</v>
      </c>
    </row>
    <row r="1754" ht="16.5" spans="1:5">
      <c r="A1754" s="151">
        <v>1753</v>
      </c>
      <c r="B1754" s="152" t="s">
        <v>5921</v>
      </c>
      <c r="C1754" s="162" t="s">
        <v>16631</v>
      </c>
      <c r="D1754" s="169">
        <v>1000</v>
      </c>
      <c r="E1754" s="170">
        <f>D1754*100</f>
        <v>100000</v>
      </c>
    </row>
    <row r="1755" ht="16.5" spans="1:5">
      <c r="A1755" s="151">
        <v>1754</v>
      </c>
      <c r="B1755" s="152" t="s">
        <v>5926</v>
      </c>
      <c r="C1755" s="160" t="s">
        <v>16630</v>
      </c>
      <c r="D1755" s="160">
        <v>50</v>
      </c>
      <c r="E1755" s="161">
        <f>SUM(D1755*100)</f>
        <v>5000</v>
      </c>
    </row>
    <row r="1756" ht="16.5" spans="1:5">
      <c r="A1756" s="151">
        <v>1755</v>
      </c>
      <c r="B1756" s="152" t="s">
        <v>5930</v>
      </c>
      <c r="C1756" s="160" t="s">
        <v>16630</v>
      </c>
      <c r="D1756" s="160">
        <v>100</v>
      </c>
      <c r="E1756" s="161">
        <f>SUM(D1756*100)</f>
        <v>10000</v>
      </c>
    </row>
    <row r="1757" ht="16.5" spans="1:5">
      <c r="A1757" s="151">
        <v>1756</v>
      </c>
      <c r="B1757" s="152" t="s">
        <v>5936</v>
      </c>
      <c r="C1757" s="166" t="s">
        <v>16632</v>
      </c>
      <c r="D1757" s="166">
        <f>IFERROR(__xludf.DUMMYFUNCTION("""COMPUTED_VALUE"""),10000)</f>
        <v>10000</v>
      </c>
      <c r="E1757" s="168">
        <f>IFERROR(__xludf.DUMMYFUNCTION("""COMPUTED_VALUE"""),1500000)</f>
        <v>1500000</v>
      </c>
    </row>
    <row r="1758" ht="16.5" spans="1:5">
      <c r="A1758" s="151">
        <v>1757</v>
      </c>
      <c r="B1758" s="152" t="s">
        <v>5939</v>
      </c>
      <c r="C1758" s="166" t="s">
        <v>16632</v>
      </c>
      <c r="D1758" s="166">
        <f>IFERROR(__xludf.DUMMYFUNCTION("""COMPUTED_VALUE"""),15000)</f>
        <v>15000</v>
      </c>
      <c r="E1758" s="168">
        <f>IFERROR(__xludf.DUMMYFUNCTION("""COMPUTED_VALUE"""),1500000)</f>
        <v>1500000</v>
      </c>
    </row>
    <row r="1759" ht="16.5" spans="1:5">
      <c r="A1759" s="151">
        <v>1758</v>
      </c>
      <c r="B1759" s="152" t="s">
        <v>5940</v>
      </c>
      <c r="C1759" s="160" t="s">
        <v>16630</v>
      </c>
      <c r="D1759" s="160">
        <v>10</v>
      </c>
      <c r="E1759" s="161">
        <f>SUM(D1759*100)</f>
        <v>1000</v>
      </c>
    </row>
    <row r="1760" ht="16.5" spans="1:5">
      <c r="A1760" s="151">
        <v>1759</v>
      </c>
      <c r="B1760" s="152" t="s">
        <v>5946</v>
      </c>
      <c r="C1760" s="160" t="s">
        <v>16630</v>
      </c>
      <c r="D1760" s="175">
        <v>1000</v>
      </c>
      <c r="E1760" s="161">
        <f>SUM(D1760*100)</f>
        <v>100000</v>
      </c>
    </row>
    <row r="1761" ht="16.5" spans="1:5">
      <c r="A1761" s="151">
        <v>1760</v>
      </c>
      <c r="B1761" s="152" t="s">
        <v>5949</v>
      </c>
      <c r="C1761" s="160" t="s">
        <v>16630</v>
      </c>
      <c r="D1761" s="160">
        <v>200</v>
      </c>
      <c r="E1761" s="161">
        <f>SUM(D1761*100)</f>
        <v>20000</v>
      </c>
    </row>
    <row r="1762" ht="16.5" spans="1:5">
      <c r="A1762" s="151">
        <v>1761</v>
      </c>
      <c r="B1762" s="152" t="s">
        <v>5953</v>
      </c>
      <c r="C1762" s="160" t="s">
        <v>16630</v>
      </c>
      <c r="D1762" s="160">
        <v>200</v>
      </c>
      <c r="E1762" s="161">
        <f>SUM(D1762*100)</f>
        <v>20000</v>
      </c>
    </row>
    <row r="1763" ht="16.5" spans="1:5">
      <c r="A1763" s="151">
        <v>1762</v>
      </c>
      <c r="B1763" s="152" t="s">
        <v>5957</v>
      </c>
      <c r="C1763" s="156" t="s">
        <v>16629</v>
      </c>
      <c r="D1763" s="157">
        <v>10</v>
      </c>
      <c r="E1763" s="155">
        <f t="shared" ref="E1763:E1773" si="58">+D1763*100</f>
        <v>1000</v>
      </c>
    </row>
    <row r="1764" ht="16.5" spans="1:5">
      <c r="A1764" s="151">
        <v>1763</v>
      </c>
      <c r="B1764" s="152" t="s">
        <v>5960</v>
      </c>
      <c r="C1764" s="156" t="s">
        <v>16629</v>
      </c>
      <c r="D1764" s="159">
        <v>10</v>
      </c>
      <c r="E1764" s="155">
        <f t="shared" si="58"/>
        <v>1000</v>
      </c>
    </row>
    <row r="1765" ht="16.5" spans="1:5">
      <c r="A1765" s="151">
        <v>1764</v>
      </c>
      <c r="B1765" s="152" t="s">
        <v>5963</v>
      </c>
      <c r="C1765" s="153" t="s">
        <v>16629</v>
      </c>
      <c r="D1765" s="158">
        <v>10</v>
      </c>
      <c r="E1765" s="155">
        <f t="shared" si="58"/>
        <v>1000</v>
      </c>
    </row>
    <row r="1766" ht="16.5" spans="1:5">
      <c r="A1766" s="151">
        <v>1765</v>
      </c>
      <c r="B1766" s="152" t="s">
        <v>5966</v>
      </c>
      <c r="C1766" s="156" t="s">
        <v>16629</v>
      </c>
      <c r="D1766" s="159">
        <v>10</v>
      </c>
      <c r="E1766" s="155">
        <f t="shared" si="58"/>
        <v>1000</v>
      </c>
    </row>
    <row r="1767" ht="16.5" spans="1:5">
      <c r="A1767" s="151">
        <v>1766</v>
      </c>
      <c r="B1767" s="152" t="s">
        <v>5970</v>
      </c>
      <c r="C1767" s="153" t="s">
        <v>16629</v>
      </c>
      <c r="D1767" s="154">
        <v>10</v>
      </c>
      <c r="E1767" s="155">
        <f t="shared" si="58"/>
        <v>1000</v>
      </c>
    </row>
    <row r="1768" ht="16.5" spans="1:5">
      <c r="A1768" s="151">
        <v>1767</v>
      </c>
      <c r="B1768" s="152" t="s">
        <v>5973</v>
      </c>
      <c r="C1768" s="153" t="s">
        <v>16629</v>
      </c>
      <c r="D1768" s="158">
        <v>10</v>
      </c>
      <c r="E1768" s="155">
        <f t="shared" si="58"/>
        <v>1000</v>
      </c>
    </row>
    <row r="1769" ht="16.5" spans="1:5">
      <c r="A1769" s="151">
        <v>1768</v>
      </c>
      <c r="B1769" s="152" t="s">
        <v>5976</v>
      </c>
      <c r="C1769" s="153" t="s">
        <v>16629</v>
      </c>
      <c r="D1769" s="158">
        <v>10</v>
      </c>
      <c r="E1769" s="155">
        <f t="shared" si="58"/>
        <v>1000</v>
      </c>
    </row>
    <row r="1770" ht="16.5" spans="1:5">
      <c r="A1770" s="151">
        <v>1769</v>
      </c>
      <c r="B1770" s="152" t="s">
        <v>5980</v>
      </c>
      <c r="C1770" s="156" t="s">
        <v>16629</v>
      </c>
      <c r="D1770" s="159">
        <v>10</v>
      </c>
      <c r="E1770" s="155">
        <f t="shared" si="58"/>
        <v>1000</v>
      </c>
    </row>
    <row r="1771" ht="16.5" spans="1:5">
      <c r="A1771" s="151">
        <v>1770</v>
      </c>
      <c r="B1771" s="152" t="s">
        <v>5984</v>
      </c>
      <c r="C1771" s="156" t="s">
        <v>16629</v>
      </c>
      <c r="D1771" s="159">
        <v>10</v>
      </c>
      <c r="E1771" s="155">
        <f t="shared" si="58"/>
        <v>1000</v>
      </c>
    </row>
    <row r="1772" ht="16.5" spans="1:5">
      <c r="A1772" s="151">
        <v>1771</v>
      </c>
      <c r="B1772" s="152" t="s">
        <v>5987</v>
      </c>
      <c r="C1772" s="153" t="s">
        <v>16629</v>
      </c>
      <c r="D1772" s="154">
        <v>10</v>
      </c>
      <c r="E1772" s="155">
        <f t="shared" si="58"/>
        <v>1000</v>
      </c>
    </row>
    <row r="1773" ht="16.5" spans="1:5">
      <c r="A1773" s="151">
        <v>1772</v>
      </c>
      <c r="B1773" s="152" t="s">
        <v>5990</v>
      </c>
      <c r="C1773" s="153" t="s">
        <v>16629</v>
      </c>
      <c r="D1773" s="158">
        <v>10</v>
      </c>
      <c r="E1773" s="155">
        <f t="shared" si="58"/>
        <v>1000</v>
      </c>
    </row>
    <row r="1774" ht="16.5" spans="1:5">
      <c r="A1774" s="151">
        <v>1773</v>
      </c>
      <c r="B1774" s="152" t="s">
        <v>5993</v>
      </c>
      <c r="C1774" s="160" t="s">
        <v>16630</v>
      </c>
      <c r="D1774" s="160">
        <v>200</v>
      </c>
      <c r="E1774" s="161">
        <f>SUM(D1774*100)</f>
        <v>20000</v>
      </c>
    </row>
    <row r="1775" ht="16.5" spans="1:5">
      <c r="A1775" s="151">
        <v>1774</v>
      </c>
      <c r="B1775" s="152" t="s">
        <v>5997</v>
      </c>
      <c r="C1775" s="160" t="s">
        <v>16630</v>
      </c>
      <c r="D1775" s="160">
        <v>100</v>
      </c>
      <c r="E1775" s="161">
        <f>SUM(D1775*100)</f>
        <v>10000</v>
      </c>
    </row>
    <row r="1776" ht="16.5" spans="1:5">
      <c r="A1776" s="151">
        <v>1775</v>
      </c>
      <c r="B1776" s="152" t="s">
        <v>6000</v>
      </c>
      <c r="C1776" s="156" t="s">
        <v>16629</v>
      </c>
      <c r="D1776" s="159">
        <v>10</v>
      </c>
      <c r="E1776" s="155">
        <f t="shared" ref="E1776:E1786" si="59">+D1776*100</f>
        <v>1000</v>
      </c>
    </row>
    <row r="1777" ht="16.5" spans="1:5">
      <c r="A1777" s="151">
        <v>1776</v>
      </c>
      <c r="B1777" s="152" t="s">
        <v>6003</v>
      </c>
      <c r="C1777" s="153" t="s">
        <v>16629</v>
      </c>
      <c r="D1777" s="154">
        <v>10</v>
      </c>
      <c r="E1777" s="155">
        <f t="shared" si="59"/>
        <v>1000</v>
      </c>
    </row>
    <row r="1778" ht="16.5" spans="1:5">
      <c r="A1778" s="151">
        <v>1777</v>
      </c>
      <c r="B1778" s="152" t="s">
        <v>6006</v>
      </c>
      <c r="C1778" s="156" t="s">
        <v>16629</v>
      </c>
      <c r="D1778" s="159">
        <v>10</v>
      </c>
      <c r="E1778" s="155">
        <f t="shared" si="59"/>
        <v>1000</v>
      </c>
    </row>
    <row r="1779" ht="16.5" spans="1:5">
      <c r="A1779" s="151">
        <v>1778</v>
      </c>
      <c r="B1779" s="152" t="s">
        <v>6009</v>
      </c>
      <c r="C1779" s="156" t="s">
        <v>16629</v>
      </c>
      <c r="D1779" s="157">
        <v>10</v>
      </c>
      <c r="E1779" s="155">
        <f t="shared" si="59"/>
        <v>1000</v>
      </c>
    </row>
    <row r="1780" ht="16.5" spans="1:5">
      <c r="A1780" s="151">
        <v>1779</v>
      </c>
      <c r="B1780" s="152" t="s">
        <v>6012</v>
      </c>
      <c r="C1780" s="153" t="s">
        <v>16629</v>
      </c>
      <c r="D1780" s="154">
        <v>10</v>
      </c>
      <c r="E1780" s="155">
        <f t="shared" si="59"/>
        <v>1000</v>
      </c>
    </row>
    <row r="1781" ht="16.5" spans="1:5">
      <c r="A1781" s="151">
        <v>1780</v>
      </c>
      <c r="B1781" s="152" t="s">
        <v>6015</v>
      </c>
      <c r="C1781" s="156" t="s">
        <v>16629</v>
      </c>
      <c r="D1781" s="154">
        <v>10</v>
      </c>
      <c r="E1781" s="155">
        <f t="shared" si="59"/>
        <v>1000</v>
      </c>
    </row>
    <row r="1782" ht="16.5" spans="1:5">
      <c r="A1782" s="151">
        <v>1781</v>
      </c>
      <c r="B1782" s="152" t="s">
        <v>6018</v>
      </c>
      <c r="C1782" s="153" t="s">
        <v>16629</v>
      </c>
      <c r="D1782" s="154">
        <v>10</v>
      </c>
      <c r="E1782" s="155">
        <f t="shared" si="59"/>
        <v>1000</v>
      </c>
    </row>
    <row r="1783" ht="16.5" spans="1:5">
      <c r="A1783" s="151">
        <v>1782</v>
      </c>
      <c r="B1783" s="152" t="s">
        <v>6021</v>
      </c>
      <c r="C1783" s="153" t="s">
        <v>16629</v>
      </c>
      <c r="D1783" s="154">
        <v>10</v>
      </c>
      <c r="E1783" s="155">
        <f t="shared" si="59"/>
        <v>1000</v>
      </c>
    </row>
    <row r="1784" ht="16.5" spans="1:5">
      <c r="A1784" s="151">
        <v>1783</v>
      </c>
      <c r="B1784" s="152" t="s">
        <v>6024</v>
      </c>
      <c r="C1784" s="156" t="s">
        <v>16629</v>
      </c>
      <c r="D1784" s="159">
        <v>10</v>
      </c>
      <c r="E1784" s="155">
        <f t="shared" si="59"/>
        <v>1000</v>
      </c>
    </row>
    <row r="1785" ht="16.5" spans="1:5">
      <c r="A1785" s="151">
        <v>1784</v>
      </c>
      <c r="B1785" s="152" t="s">
        <v>6028</v>
      </c>
      <c r="C1785" s="153" t="s">
        <v>16629</v>
      </c>
      <c r="D1785" s="154">
        <v>10</v>
      </c>
      <c r="E1785" s="155">
        <f t="shared" si="59"/>
        <v>1000</v>
      </c>
    </row>
    <row r="1786" ht="16.5" spans="1:5">
      <c r="A1786" s="151">
        <v>1785</v>
      </c>
      <c r="B1786" s="152" t="s">
        <v>6031</v>
      </c>
      <c r="C1786" s="153" t="s">
        <v>16629</v>
      </c>
      <c r="D1786" s="154">
        <v>10</v>
      </c>
      <c r="E1786" s="155">
        <f t="shared" si="59"/>
        <v>1000</v>
      </c>
    </row>
    <row r="1787" ht="16.5" spans="1:5">
      <c r="A1787" s="151">
        <v>1786</v>
      </c>
      <c r="B1787" s="152" t="s">
        <v>6034</v>
      </c>
      <c r="C1787" s="160" t="s">
        <v>16630</v>
      </c>
      <c r="D1787" s="160">
        <v>20</v>
      </c>
      <c r="E1787" s="161">
        <f>SUM(D1787*100)</f>
        <v>2000</v>
      </c>
    </row>
    <row r="1788" ht="16.5" spans="1:5">
      <c r="A1788" s="151">
        <v>1787</v>
      </c>
      <c r="B1788" s="152" t="s">
        <v>6037</v>
      </c>
      <c r="C1788" s="153" t="s">
        <v>16629</v>
      </c>
      <c r="D1788" s="154">
        <v>10</v>
      </c>
      <c r="E1788" s="155">
        <f>+D1788*100</f>
        <v>1000</v>
      </c>
    </row>
    <row r="1789" ht="16.5" spans="1:5">
      <c r="A1789" s="151">
        <v>1788</v>
      </c>
      <c r="B1789" s="152" t="s">
        <v>6040</v>
      </c>
      <c r="C1789" s="156" t="s">
        <v>16629</v>
      </c>
      <c r="D1789" s="159">
        <v>10</v>
      </c>
      <c r="E1789" s="155">
        <f>+D1789*100</f>
        <v>1000</v>
      </c>
    </row>
    <row r="1790" ht="16.5" spans="1:5">
      <c r="A1790" s="151">
        <v>1789</v>
      </c>
      <c r="B1790" s="152" t="s">
        <v>6043</v>
      </c>
      <c r="C1790" s="153" t="s">
        <v>16629</v>
      </c>
      <c r="D1790" s="154">
        <v>10</v>
      </c>
      <c r="E1790" s="155">
        <f>+D1790*100</f>
        <v>1000</v>
      </c>
    </row>
    <row r="1791" ht="16.5" spans="1:5">
      <c r="A1791" s="151">
        <v>1790</v>
      </c>
      <c r="B1791" s="152" t="s">
        <v>6046</v>
      </c>
      <c r="C1791" s="156" t="s">
        <v>16629</v>
      </c>
      <c r="D1791" s="157">
        <v>10</v>
      </c>
      <c r="E1791" s="155">
        <f>+D1791*100</f>
        <v>1000</v>
      </c>
    </row>
    <row r="1792" ht="16.5" spans="1:5">
      <c r="A1792" s="151">
        <v>1791</v>
      </c>
      <c r="B1792" s="152" t="s">
        <v>6049</v>
      </c>
      <c r="C1792" s="156" t="s">
        <v>16629</v>
      </c>
      <c r="D1792" s="154">
        <v>10</v>
      </c>
      <c r="E1792" s="155">
        <f>+D1792*100</f>
        <v>1000</v>
      </c>
    </row>
    <row r="1793" ht="16.5" spans="1:5">
      <c r="A1793" s="151">
        <v>1792</v>
      </c>
      <c r="B1793" s="152" t="s">
        <v>6052</v>
      </c>
      <c r="C1793" s="160" t="s">
        <v>16630</v>
      </c>
      <c r="D1793" s="160">
        <f>26000/100</f>
        <v>260</v>
      </c>
      <c r="E1793" s="161">
        <f>SUM(D1793*100)</f>
        <v>26000</v>
      </c>
    </row>
    <row r="1794" ht="16.5" spans="1:5">
      <c r="A1794" s="151">
        <v>1793</v>
      </c>
      <c r="B1794" s="152" t="s">
        <v>6056</v>
      </c>
      <c r="C1794" s="156" t="s">
        <v>16629</v>
      </c>
      <c r="D1794" s="159">
        <v>10</v>
      </c>
      <c r="E1794" s="155">
        <f>+D1794*100</f>
        <v>1000</v>
      </c>
    </row>
    <row r="1795" ht="16.5" spans="1:5">
      <c r="A1795" s="151">
        <v>1794</v>
      </c>
      <c r="B1795" s="152" t="s">
        <v>6059</v>
      </c>
      <c r="C1795" s="153" t="s">
        <v>16629</v>
      </c>
      <c r="D1795" s="154">
        <v>10</v>
      </c>
      <c r="E1795" s="155">
        <f>+D1795*100</f>
        <v>1000</v>
      </c>
    </row>
    <row r="1796" ht="16.5" spans="1:5">
      <c r="A1796" s="151">
        <v>1795</v>
      </c>
      <c r="B1796" s="152" t="s">
        <v>6062</v>
      </c>
      <c r="C1796" s="153" t="s">
        <v>16629</v>
      </c>
      <c r="D1796" s="158">
        <v>10</v>
      </c>
      <c r="E1796" s="155">
        <f>+D1796*100</f>
        <v>1000</v>
      </c>
    </row>
    <row r="1797" ht="16.5" spans="1:5">
      <c r="A1797" s="151">
        <v>1796</v>
      </c>
      <c r="B1797" s="152" t="s">
        <v>6066</v>
      </c>
      <c r="C1797" s="162" t="s">
        <v>16631</v>
      </c>
      <c r="D1797" s="163">
        <v>1000</v>
      </c>
      <c r="E1797" s="163">
        <f>D1797*100</f>
        <v>100000</v>
      </c>
    </row>
    <row r="1798" ht="16.5" spans="1:5">
      <c r="A1798" s="151">
        <v>1797</v>
      </c>
      <c r="B1798" s="152" t="s">
        <v>6071</v>
      </c>
      <c r="C1798" s="153" t="s">
        <v>16629</v>
      </c>
      <c r="D1798" s="154">
        <v>10</v>
      </c>
      <c r="E1798" s="155">
        <f t="shared" ref="E1798:E1808" si="60">+D1798*100</f>
        <v>1000</v>
      </c>
    </row>
    <row r="1799" ht="16.5" spans="1:5">
      <c r="A1799" s="151">
        <v>1798</v>
      </c>
      <c r="B1799" s="152" t="s">
        <v>6075</v>
      </c>
      <c r="C1799" s="153" t="s">
        <v>16629</v>
      </c>
      <c r="D1799" s="158">
        <v>10</v>
      </c>
      <c r="E1799" s="155">
        <f t="shared" si="60"/>
        <v>1000</v>
      </c>
    </row>
    <row r="1800" ht="16.5" spans="1:5">
      <c r="A1800" s="151">
        <v>1799</v>
      </c>
      <c r="B1800" s="152" t="s">
        <v>6079</v>
      </c>
      <c r="C1800" s="153" t="s">
        <v>16629</v>
      </c>
      <c r="D1800" s="158">
        <v>10</v>
      </c>
      <c r="E1800" s="155">
        <f t="shared" si="60"/>
        <v>1000</v>
      </c>
    </row>
    <row r="1801" ht="16.5" spans="1:5">
      <c r="A1801" s="151">
        <v>1800</v>
      </c>
      <c r="B1801" s="152" t="s">
        <v>6082</v>
      </c>
      <c r="C1801" s="156" t="s">
        <v>16629</v>
      </c>
      <c r="D1801" s="157">
        <v>10</v>
      </c>
      <c r="E1801" s="155">
        <f t="shared" si="60"/>
        <v>1000</v>
      </c>
    </row>
    <row r="1802" ht="16.5" spans="1:5">
      <c r="A1802" s="151">
        <v>1801</v>
      </c>
      <c r="B1802" s="152" t="s">
        <v>6085</v>
      </c>
      <c r="C1802" s="153" t="s">
        <v>16629</v>
      </c>
      <c r="D1802" s="158">
        <v>10</v>
      </c>
      <c r="E1802" s="155">
        <f t="shared" si="60"/>
        <v>1000</v>
      </c>
    </row>
    <row r="1803" ht="16.5" spans="1:5">
      <c r="A1803" s="151">
        <v>1802</v>
      </c>
      <c r="B1803" s="152" t="s">
        <v>6088</v>
      </c>
      <c r="C1803" s="156" t="s">
        <v>16629</v>
      </c>
      <c r="D1803" s="159">
        <v>10</v>
      </c>
      <c r="E1803" s="155">
        <f t="shared" si="60"/>
        <v>1000</v>
      </c>
    </row>
    <row r="1804" ht="16.5" spans="1:5">
      <c r="A1804" s="151">
        <v>1803</v>
      </c>
      <c r="B1804" s="152" t="s">
        <v>6091</v>
      </c>
      <c r="C1804" s="156" t="s">
        <v>16629</v>
      </c>
      <c r="D1804" s="159">
        <v>10</v>
      </c>
      <c r="E1804" s="155">
        <f t="shared" si="60"/>
        <v>1000</v>
      </c>
    </row>
    <row r="1805" ht="16.5" spans="1:5">
      <c r="A1805" s="151">
        <v>1804</v>
      </c>
      <c r="B1805" s="152" t="s">
        <v>6095</v>
      </c>
      <c r="C1805" s="153" t="s">
        <v>16629</v>
      </c>
      <c r="D1805" s="154">
        <v>10</v>
      </c>
      <c r="E1805" s="155">
        <f t="shared" si="60"/>
        <v>1000</v>
      </c>
    </row>
    <row r="1806" ht="16.5" spans="1:5">
      <c r="A1806" s="151">
        <v>1805</v>
      </c>
      <c r="B1806" s="152" t="s">
        <v>6098</v>
      </c>
      <c r="C1806" s="153" t="s">
        <v>16629</v>
      </c>
      <c r="D1806" s="154">
        <v>10</v>
      </c>
      <c r="E1806" s="155">
        <f t="shared" si="60"/>
        <v>1000</v>
      </c>
    </row>
    <row r="1807" ht="16.5" spans="1:5">
      <c r="A1807" s="151">
        <v>1806</v>
      </c>
      <c r="B1807" s="152" t="s">
        <v>6101</v>
      </c>
      <c r="C1807" s="156" t="s">
        <v>16629</v>
      </c>
      <c r="D1807" s="157">
        <v>10</v>
      </c>
      <c r="E1807" s="155">
        <f t="shared" si="60"/>
        <v>1000</v>
      </c>
    </row>
    <row r="1808" ht="16.5" spans="1:5">
      <c r="A1808" s="151">
        <v>1807</v>
      </c>
      <c r="B1808" s="152" t="s">
        <v>6104</v>
      </c>
      <c r="C1808" s="156" t="s">
        <v>16629</v>
      </c>
      <c r="D1808" s="154">
        <v>10</v>
      </c>
      <c r="E1808" s="155">
        <f t="shared" si="60"/>
        <v>1000</v>
      </c>
    </row>
    <row r="1809" ht="16.5" spans="1:5">
      <c r="A1809" s="151">
        <v>1808</v>
      </c>
      <c r="B1809" s="152" t="s">
        <v>6108</v>
      </c>
      <c r="C1809" s="160" t="s">
        <v>16630</v>
      </c>
      <c r="D1809" s="160">
        <v>200</v>
      </c>
      <c r="E1809" s="161">
        <f>SUM(D1809*100)</f>
        <v>20000</v>
      </c>
    </row>
    <row r="1810" ht="16.5" spans="1:5">
      <c r="A1810" s="151">
        <v>1809</v>
      </c>
      <c r="B1810" s="152" t="s">
        <v>6112</v>
      </c>
      <c r="C1810" s="156" t="s">
        <v>16629</v>
      </c>
      <c r="D1810" s="159">
        <v>10</v>
      </c>
      <c r="E1810" s="155">
        <f>+D1810*100</f>
        <v>1000</v>
      </c>
    </row>
    <row r="1811" ht="16.5" spans="1:5">
      <c r="A1811" s="151">
        <v>1810</v>
      </c>
      <c r="B1811" s="152" t="s">
        <v>6115</v>
      </c>
      <c r="C1811" s="153" t="s">
        <v>16629</v>
      </c>
      <c r="D1811" s="154">
        <v>10</v>
      </c>
      <c r="E1811" s="155">
        <f>+D1811*100</f>
        <v>1000</v>
      </c>
    </row>
    <row r="1812" ht="16.5" spans="1:5">
      <c r="A1812" s="151">
        <v>1811</v>
      </c>
      <c r="B1812" s="152" t="s">
        <v>6119</v>
      </c>
      <c r="C1812" s="156" t="s">
        <v>16629</v>
      </c>
      <c r="D1812" s="157">
        <v>10</v>
      </c>
      <c r="E1812" s="155">
        <f>+D1812*100</f>
        <v>1000</v>
      </c>
    </row>
    <row r="1813" ht="16.5" spans="1:5">
      <c r="A1813" s="151">
        <v>1812</v>
      </c>
      <c r="B1813" s="152" t="s">
        <v>6122</v>
      </c>
      <c r="C1813" s="153" t="s">
        <v>16629</v>
      </c>
      <c r="D1813" s="158">
        <v>10</v>
      </c>
      <c r="E1813" s="155">
        <f>+D1813*100</f>
        <v>1000</v>
      </c>
    </row>
    <row r="1814" ht="16.5" spans="1:5">
      <c r="A1814" s="151">
        <v>1813</v>
      </c>
      <c r="B1814" s="152" t="s">
        <v>6125</v>
      </c>
      <c r="C1814" s="160" t="s">
        <v>16630</v>
      </c>
      <c r="D1814" s="160">
        <v>750</v>
      </c>
      <c r="E1814" s="161">
        <f>SUM(D1814*100)</f>
        <v>75000</v>
      </c>
    </row>
    <row r="1815" ht="16.5" spans="1:5">
      <c r="A1815" s="151">
        <v>1814</v>
      </c>
      <c r="B1815" s="152" t="s">
        <v>6130</v>
      </c>
      <c r="C1815" s="166" t="s">
        <v>16632</v>
      </c>
      <c r="D1815" s="166">
        <f>IFERROR(__xludf.DUMMYFUNCTION("""COMPUTED_VALUE"""),15000)</f>
        <v>15000</v>
      </c>
      <c r="E1815" s="168">
        <f>IFERROR(__xludf.DUMMYFUNCTION("""COMPUTED_VALUE"""),1500000)</f>
        <v>1500000</v>
      </c>
    </row>
    <row r="1816" ht="16.5" spans="1:5">
      <c r="A1816" s="151">
        <v>1815</v>
      </c>
      <c r="B1816" s="152" t="s">
        <v>6130</v>
      </c>
      <c r="C1816" s="166" t="s">
        <v>16632</v>
      </c>
      <c r="D1816" s="166">
        <f>IFERROR(__xludf.DUMMYFUNCTION("""COMPUTED_VALUE"""),15000)</f>
        <v>15000</v>
      </c>
      <c r="E1816" s="168">
        <f>IFERROR(__xludf.DUMMYFUNCTION("""COMPUTED_VALUE"""),1500000)</f>
        <v>1500000</v>
      </c>
    </row>
    <row r="1817" ht="16.5" spans="1:5">
      <c r="A1817" s="151">
        <v>1816</v>
      </c>
      <c r="B1817" s="152" t="s">
        <v>6131</v>
      </c>
      <c r="C1817" s="160" t="s">
        <v>16630</v>
      </c>
      <c r="D1817" s="175">
        <v>10</v>
      </c>
      <c r="E1817" s="161">
        <f>SUM(D1817*100)</f>
        <v>1000</v>
      </c>
    </row>
    <row r="1818" ht="16.5" spans="1:5">
      <c r="A1818" s="151">
        <v>1817</v>
      </c>
      <c r="B1818" s="152" t="s">
        <v>6134</v>
      </c>
      <c r="C1818" s="160" t="s">
        <v>16630</v>
      </c>
      <c r="D1818" s="160">
        <v>10</v>
      </c>
      <c r="E1818" s="161">
        <f>SUM(D1818*100)</f>
        <v>1000</v>
      </c>
    </row>
    <row r="1819" ht="16.5" spans="1:5">
      <c r="A1819" s="151">
        <v>1818</v>
      </c>
      <c r="B1819" s="152" t="s">
        <v>6138</v>
      </c>
      <c r="C1819" s="160" t="s">
        <v>16630</v>
      </c>
      <c r="D1819" s="160">
        <v>10</v>
      </c>
      <c r="E1819" s="161">
        <f>SUM(D1819*100)</f>
        <v>1000</v>
      </c>
    </row>
    <row r="1820" ht="16.5" spans="1:5">
      <c r="A1820" s="151">
        <v>1819</v>
      </c>
      <c r="B1820" s="152" t="s">
        <v>6143</v>
      </c>
      <c r="C1820" s="156" t="s">
        <v>16629</v>
      </c>
      <c r="D1820" s="159">
        <v>10</v>
      </c>
      <c r="E1820" s="155">
        <f>+D1820*100</f>
        <v>1000</v>
      </c>
    </row>
    <row r="1821" ht="16.5" spans="1:5">
      <c r="A1821" s="151">
        <v>1820</v>
      </c>
      <c r="B1821" s="152" t="s">
        <v>6146</v>
      </c>
      <c r="C1821" s="156" t="s">
        <v>16629</v>
      </c>
      <c r="D1821" s="157">
        <v>10</v>
      </c>
      <c r="E1821" s="155">
        <f>+D1821*100</f>
        <v>1000</v>
      </c>
    </row>
    <row r="1822" ht="16.5" spans="1:5">
      <c r="A1822" s="151">
        <v>1821</v>
      </c>
      <c r="B1822" s="152" t="s">
        <v>6149</v>
      </c>
      <c r="C1822" s="160" t="s">
        <v>16630</v>
      </c>
      <c r="D1822" s="160">
        <v>10</v>
      </c>
      <c r="E1822" s="161">
        <f>SUM(D1822*100)</f>
        <v>1000</v>
      </c>
    </row>
    <row r="1823" ht="16.5" spans="1:5">
      <c r="A1823" s="151">
        <v>1822</v>
      </c>
      <c r="B1823" s="152" t="s">
        <v>6153</v>
      </c>
      <c r="C1823" s="156" t="s">
        <v>16629</v>
      </c>
      <c r="D1823" s="157">
        <v>30</v>
      </c>
      <c r="E1823" s="155">
        <f t="shared" ref="E1823:E1828" si="61">+D1823*100</f>
        <v>3000</v>
      </c>
    </row>
    <row r="1824" ht="16.5" spans="1:5">
      <c r="A1824" s="151">
        <v>1823</v>
      </c>
      <c r="B1824" s="152" t="s">
        <v>6156</v>
      </c>
      <c r="C1824" s="156" t="s">
        <v>16629</v>
      </c>
      <c r="D1824" s="159">
        <v>10</v>
      </c>
      <c r="E1824" s="155">
        <f t="shared" si="61"/>
        <v>1000</v>
      </c>
    </row>
    <row r="1825" ht="16.5" spans="1:5">
      <c r="A1825" s="151">
        <v>1824</v>
      </c>
      <c r="B1825" s="152" t="s">
        <v>6159</v>
      </c>
      <c r="C1825" s="153" t="s">
        <v>16629</v>
      </c>
      <c r="D1825" s="154">
        <v>10</v>
      </c>
      <c r="E1825" s="155">
        <f t="shared" si="61"/>
        <v>1000</v>
      </c>
    </row>
    <row r="1826" ht="16.5" spans="1:5">
      <c r="A1826" s="151">
        <v>1825</v>
      </c>
      <c r="B1826" s="152" t="s">
        <v>6163</v>
      </c>
      <c r="C1826" s="153" t="s">
        <v>16629</v>
      </c>
      <c r="D1826" s="154">
        <v>10</v>
      </c>
      <c r="E1826" s="155">
        <f t="shared" si="61"/>
        <v>1000</v>
      </c>
    </row>
    <row r="1827" ht="16.5" spans="1:5">
      <c r="A1827" s="151">
        <v>1826</v>
      </c>
      <c r="B1827" s="152" t="s">
        <v>6167</v>
      </c>
      <c r="C1827" s="153" t="s">
        <v>16629</v>
      </c>
      <c r="D1827" s="158">
        <v>10</v>
      </c>
      <c r="E1827" s="155">
        <f t="shared" si="61"/>
        <v>1000</v>
      </c>
    </row>
    <row r="1828" ht="16.5" spans="1:5">
      <c r="A1828" s="151">
        <v>1827</v>
      </c>
      <c r="B1828" s="152" t="s">
        <v>6170</v>
      </c>
      <c r="C1828" s="156" t="s">
        <v>16629</v>
      </c>
      <c r="D1828" s="157">
        <v>10</v>
      </c>
      <c r="E1828" s="155">
        <f t="shared" si="61"/>
        <v>1000</v>
      </c>
    </row>
    <row r="1829" ht="16.5" spans="1:5">
      <c r="A1829" s="151">
        <v>1828</v>
      </c>
      <c r="B1829" s="152" t="s">
        <v>6173</v>
      </c>
      <c r="C1829" s="160" t="s">
        <v>16630</v>
      </c>
      <c r="D1829" s="160">
        <v>300</v>
      </c>
      <c r="E1829" s="161">
        <f>SUM(D1829*100)</f>
        <v>30000</v>
      </c>
    </row>
    <row r="1830" ht="16.5" spans="1:5">
      <c r="A1830" s="151">
        <v>1829</v>
      </c>
      <c r="B1830" s="152" t="s">
        <v>6176</v>
      </c>
      <c r="C1830" s="153" t="s">
        <v>16629</v>
      </c>
      <c r="D1830" s="158">
        <v>10</v>
      </c>
      <c r="E1830" s="155">
        <f>+D1830*100</f>
        <v>1000</v>
      </c>
    </row>
    <row r="1831" ht="16.5" spans="1:5">
      <c r="A1831" s="151">
        <v>1830</v>
      </c>
      <c r="B1831" s="152" t="s">
        <v>6179</v>
      </c>
      <c r="C1831" s="156" t="s">
        <v>16629</v>
      </c>
      <c r="D1831" s="159">
        <v>10</v>
      </c>
      <c r="E1831" s="155">
        <f>+D1831*100</f>
        <v>1000</v>
      </c>
    </row>
    <row r="1832" ht="16.5" spans="1:5">
      <c r="A1832" s="151">
        <v>1831</v>
      </c>
      <c r="B1832" s="152" t="s">
        <v>6182</v>
      </c>
      <c r="C1832" s="156" t="s">
        <v>16629</v>
      </c>
      <c r="D1832" s="157">
        <v>10</v>
      </c>
      <c r="E1832" s="155">
        <f>+D1832*100</f>
        <v>1000</v>
      </c>
    </row>
    <row r="1833" ht="16.5" spans="1:5">
      <c r="A1833" s="151">
        <v>1832</v>
      </c>
      <c r="B1833" s="152" t="s">
        <v>6185</v>
      </c>
      <c r="C1833" s="153" t="s">
        <v>16629</v>
      </c>
      <c r="D1833" s="154">
        <v>10</v>
      </c>
      <c r="E1833" s="155">
        <f>+D1833*100</f>
        <v>1000</v>
      </c>
    </row>
    <row r="1834" ht="16.5" spans="1:5">
      <c r="A1834" s="151">
        <v>1833</v>
      </c>
      <c r="B1834" s="152" t="s">
        <v>6189</v>
      </c>
      <c r="C1834" s="153" t="s">
        <v>16629</v>
      </c>
      <c r="D1834" s="154">
        <v>10</v>
      </c>
      <c r="E1834" s="155">
        <f>+D1834*100</f>
        <v>1000</v>
      </c>
    </row>
    <row r="1835" ht="16.5" spans="1:5">
      <c r="A1835" s="151">
        <v>1834</v>
      </c>
      <c r="B1835" s="152" t="s">
        <v>6193</v>
      </c>
      <c r="C1835" s="160" t="s">
        <v>16630</v>
      </c>
      <c r="D1835" s="160">
        <v>300</v>
      </c>
      <c r="E1835" s="161">
        <f>SUM(D1835*100)</f>
        <v>30000</v>
      </c>
    </row>
    <row r="1836" ht="16.5" spans="1:5">
      <c r="A1836" s="151">
        <v>1835</v>
      </c>
      <c r="B1836" s="152" t="s">
        <v>6196</v>
      </c>
      <c r="C1836" s="160" t="s">
        <v>16630</v>
      </c>
      <c r="D1836" s="160">
        <v>500</v>
      </c>
      <c r="E1836" s="161">
        <f>SUM(D1836*100)</f>
        <v>50000</v>
      </c>
    </row>
    <row r="1837" ht="16.5" spans="1:5">
      <c r="A1837" s="151">
        <v>1836</v>
      </c>
      <c r="B1837" s="152" t="s">
        <v>6200</v>
      </c>
      <c r="C1837" s="160" t="s">
        <v>16630</v>
      </c>
      <c r="D1837" s="160">
        <v>10000</v>
      </c>
      <c r="E1837" s="161">
        <f>SUM(D1837*10)</f>
        <v>100000</v>
      </c>
    </row>
    <row r="1838" ht="16.5" spans="1:5">
      <c r="A1838" s="151">
        <v>1837</v>
      </c>
      <c r="B1838" s="152" t="s">
        <v>6205</v>
      </c>
      <c r="C1838" s="162" t="s">
        <v>16631</v>
      </c>
      <c r="D1838" s="163">
        <v>1000</v>
      </c>
      <c r="E1838" s="163">
        <f>D1838*100</f>
        <v>100000</v>
      </c>
    </row>
    <row r="1839" ht="16.5" spans="1:5">
      <c r="A1839" s="151">
        <v>1838</v>
      </c>
      <c r="B1839" s="152" t="s">
        <v>6205</v>
      </c>
      <c r="C1839" s="162" t="s">
        <v>16633</v>
      </c>
      <c r="D1839" s="171">
        <f>G1839/100</f>
        <v>0</v>
      </c>
      <c r="E1839" s="171">
        <f>G1839</f>
        <v>0</v>
      </c>
    </row>
    <row r="1840" ht="16.5" spans="1:5">
      <c r="A1840" s="151">
        <v>1839</v>
      </c>
      <c r="B1840" s="152" t="s">
        <v>6209</v>
      </c>
      <c r="C1840" s="160" t="s">
        <v>16630</v>
      </c>
      <c r="D1840" s="165">
        <v>200</v>
      </c>
      <c r="E1840" s="161">
        <f>SUM(D1840*100)</f>
        <v>20000</v>
      </c>
    </row>
    <row r="1841" ht="16.5" spans="1:5">
      <c r="A1841" s="151">
        <v>1840</v>
      </c>
      <c r="B1841" s="152" t="s">
        <v>6212</v>
      </c>
      <c r="C1841" s="160" t="s">
        <v>16630</v>
      </c>
      <c r="D1841" s="165">
        <v>10</v>
      </c>
      <c r="E1841" s="161">
        <f>SUM(D1841*100)</f>
        <v>1000</v>
      </c>
    </row>
    <row r="1842" ht="16.5" spans="1:5">
      <c r="A1842" s="151">
        <v>1841</v>
      </c>
      <c r="B1842" s="152" t="s">
        <v>6215</v>
      </c>
      <c r="C1842" s="160" t="s">
        <v>16630</v>
      </c>
      <c r="D1842" s="165">
        <v>100</v>
      </c>
      <c r="E1842" s="161">
        <f>SUM(D1842*100)</f>
        <v>10000</v>
      </c>
    </row>
    <row r="1843" ht="16.5" spans="1:5">
      <c r="A1843" s="151">
        <v>1842</v>
      </c>
      <c r="B1843" s="152" t="s">
        <v>6218</v>
      </c>
      <c r="C1843" s="162" t="s">
        <v>16631</v>
      </c>
      <c r="D1843" s="163">
        <v>1000</v>
      </c>
      <c r="E1843" s="163">
        <f>D1843*100</f>
        <v>100000</v>
      </c>
    </row>
    <row r="1844" ht="16.5" spans="1:5">
      <c r="A1844" s="151">
        <v>1843</v>
      </c>
      <c r="B1844" s="152" t="s">
        <v>6222</v>
      </c>
      <c r="C1844" s="156" t="s">
        <v>16629</v>
      </c>
      <c r="D1844" s="158">
        <v>10</v>
      </c>
      <c r="E1844" s="155">
        <f>+D1844*100</f>
        <v>1000</v>
      </c>
    </row>
    <row r="1845" ht="16.5" spans="1:5">
      <c r="A1845" s="151">
        <v>1844</v>
      </c>
      <c r="B1845" s="152" t="s">
        <v>6226</v>
      </c>
      <c r="C1845" s="156" t="s">
        <v>16629</v>
      </c>
      <c r="D1845" s="159">
        <v>10</v>
      </c>
      <c r="E1845" s="155">
        <f>+D1845*100</f>
        <v>1000</v>
      </c>
    </row>
    <row r="1846" ht="16.5" spans="1:5">
      <c r="A1846" s="151">
        <v>1845</v>
      </c>
      <c r="B1846" s="152" t="s">
        <v>6230</v>
      </c>
      <c r="C1846" s="160" t="s">
        <v>16630</v>
      </c>
      <c r="D1846" s="175">
        <v>100</v>
      </c>
      <c r="E1846" s="161">
        <f>SUM(D1846*100)</f>
        <v>10000</v>
      </c>
    </row>
    <row r="1847" ht="16.5" spans="1:5">
      <c r="A1847" s="151">
        <v>1846</v>
      </c>
      <c r="B1847" s="152" t="s">
        <v>6233</v>
      </c>
      <c r="C1847" s="153" t="s">
        <v>16629</v>
      </c>
      <c r="D1847" s="154">
        <v>10</v>
      </c>
      <c r="E1847" s="155">
        <f>+D1847*100</f>
        <v>1000</v>
      </c>
    </row>
    <row r="1848" ht="16.5" spans="1:5">
      <c r="A1848" s="151">
        <v>1847</v>
      </c>
      <c r="B1848" s="152" t="s">
        <v>6236</v>
      </c>
      <c r="C1848" s="160" t="s">
        <v>16630</v>
      </c>
      <c r="D1848" s="165">
        <v>100</v>
      </c>
      <c r="E1848" s="161">
        <f>SUM(D1848*100)</f>
        <v>10000</v>
      </c>
    </row>
    <row r="1849" ht="16.5" spans="1:5">
      <c r="A1849" s="151">
        <v>1848</v>
      </c>
      <c r="B1849" s="152" t="s">
        <v>6239</v>
      </c>
      <c r="C1849" s="153" t="s">
        <v>16629</v>
      </c>
      <c r="D1849" s="158">
        <v>10</v>
      </c>
      <c r="E1849" s="155">
        <f>+D1849*100</f>
        <v>1000</v>
      </c>
    </row>
    <row r="1850" ht="16.5" spans="1:5">
      <c r="A1850" s="151">
        <v>1849</v>
      </c>
      <c r="B1850" s="152" t="s">
        <v>6242</v>
      </c>
      <c r="C1850" s="160" t="s">
        <v>16630</v>
      </c>
      <c r="D1850" s="160">
        <v>100</v>
      </c>
      <c r="E1850" s="161">
        <f>SUM(D1850*100)</f>
        <v>10000</v>
      </c>
    </row>
    <row r="1851" ht="16.5" spans="1:5">
      <c r="A1851" s="151">
        <v>1850</v>
      </c>
      <c r="B1851" s="152" t="s">
        <v>6245</v>
      </c>
      <c r="C1851" s="166" t="s">
        <v>16632</v>
      </c>
      <c r="D1851" s="176">
        <v>2000</v>
      </c>
      <c r="E1851" s="45">
        <v>3500000</v>
      </c>
    </row>
    <row r="1852" ht="16.5" spans="1:5">
      <c r="A1852" s="151">
        <v>1851</v>
      </c>
      <c r="B1852" s="152" t="s">
        <v>6250</v>
      </c>
      <c r="C1852" s="162" t="s">
        <v>16631</v>
      </c>
      <c r="D1852" s="163">
        <v>1000</v>
      </c>
      <c r="E1852" s="163">
        <f>D1852*100</f>
        <v>100000</v>
      </c>
    </row>
    <row r="1853" ht="16.5" spans="1:5">
      <c r="A1853" s="151">
        <v>1852</v>
      </c>
      <c r="B1853" s="152" t="s">
        <v>6255</v>
      </c>
      <c r="C1853" s="160" t="s">
        <v>16630</v>
      </c>
      <c r="D1853" s="172">
        <v>1001</v>
      </c>
      <c r="E1853" s="161">
        <f>+D1853*100</f>
        <v>100100</v>
      </c>
    </row>
    <row r="1854" ht="16.5" spans="1:5">
      <c r="A1854" s="151">
        <v>1853</v>
      </c>
      <c r="B1854" s="152" t="s">
        <v>6258</v>
      </c>
      <c r="C1854" s="162" t="s">
        <v>16631</v>
      </c>
      <c r="D1854" s="169">
        <v>1000</v>
      </c>
      <c r="E1854" s="170">
        <f>D1854*100</f>
        <v>100000</v>
      </c>
    </row>
    <row r="1855" ht="16.5" spans="1:5">
      <c r="A1855" s="151">
        <v>1854</v>
      </c>
      <c r="B1855" s="152" t="s">
        <v>6263</v>
      </c>
      <c r="C1855" s="156" t="s">
        <v>16629</v>
      </c>
      <c r="D1855" s="159">
        <v>10</v>
      </c>
      <c r="E1855" s="155">
        <f t="shared" ref="E1855:E1860" si="62">+D1855*100</f>
        <v>1000</v>
      </c>
    </row>
    <row r="1856" ht="16.5" spans="1:5">
      <c r="A1856" s="151">
        <v>1855</v>
      </c>
      <c r="B1856" s="152" t="s">
        <v>6266</v>
      </c>
      <c r="C1856" s="156" t="s">
        <v>16629</v>
      </c>
      <c r="D1856" s="157">
        <v>10</v>
      </c>
      <c r="E1856" s="155">
        <f t="shared" si="62"/>
        <v>1000</v>
      </c>
    </row>
    <row r="1857" ht="16.5" spans="1:5">
      <c r="A1857" s="151">
        <v>1856</v>
      </c>
      <c r="B1857" s="152" t="s">
        <v>6269</v>
      </c>
      <c r="C1857" s="153" t="s">
        <v>16629</v>
      </c>
      <c r="D1857" s="158">
        <v>10</v>
      </c>
      <c r="E1857" s="155">
        <f t="shared" si="62"/>
        <v>1000</v>
      </c>
    </row>
    <row r="1858" ht="16.5" spans="1:5">
      <c r="A1858" s="151">
        <v>1857</v>
      </c>
      <c r="B1858" s="152" t="s">
        <v>6272</v>
      </c>
      <c r="C1858" s="153" t="s">
        <v>16629</v>
      </c>
      <c r="D1858" s="158">
        <v>10</v>
      </c>
      <c r="E1858" s="155">
        <f t="shared" si="62"/>
        <v>1000</v>
      </c>
    </row>
    <row r="1859" ht="16.5" spans="1:5">
      <c r="A1859" s="151">
        <v>1858</v>
      </c>
      <c r="B1859" s="152" t="s">
        <v>6275</v>
      </c>
      <c r="C1859" s="153" t="s">
        <v>16629</v>
      </c>
      <c r="D1859" s="154">
        <v>10</v>
      </c>
      <c r="E1859" s="155">
        <f t="shared" si="62"/>
        <v>1000</v>
      </c>
    </row>
    <row r="1860" ht="16.5" spans="1:5">
      <c r="A1860" s="151">
        <v>1859</v>
      </c>
      <c r="B1860" s="152" t="s">
        <v>6278</v>
      </c>
      <c r="C1860" s="153" t="s">
        <v>16629</v>
      </c>
      <c r="D1860" s="154">
        <v>10</v>
      </c>
      <c r="E1860" s="155">
        <f t="shared" si="62"/>
        <v>1000</v>
      </c>
    </row>
    <row r="1861" ht="16.5" spans="1:5">
      <c r="A1861" s="151">
        <v>1860</v>
      </c>
      <c r="B1861" s="152" t="s">
        <v>6281</v>
      </c>
      <c r="C1861" s="160" t="s">
        <v>16630</v>
      </c>
      <c r="D1861" s="175">
        <v>10</v>
      </c>
      <c r="E1861" s="161">
        <f>SUM(D1861*100)</f>
        <v>1000</v>
      </c>
    </row>
    <row r="1862" ht="16.5" spans="1:5">
      <c r="A1862" s="151">
        <v>1861</v>
      </c>
      <c r="B1862" s="152" t="s">
        <v>6284</v>
      </c>
      <c r="C1862" s="156" t="s">
        <v>16629</v>
      </c>
      <c r="D1862" s="159">
        <v>50</v>
      </c>
      <c r="E1862" s="155">
        <f t="shared" ref="E1862:E1867" si="63">+D1862*100</f>
        <v>5000</v>
      </c>
    </row>
    <row r="1863" ht="16.5" spans="1:5">
      <c r="A1863" s="151">
        <v>1862</v>
      </c>
      <c r="B1863" s="152" t="s">
        <v>6287</v>
      </c>
      <c r="C1863" s="156" t="s">
        <v>16629</v>
      </c>
      <c r="D1863" s="154">
        <v>10</v>
      </c>
      <c r="E1863" s="155">
        <f t="shared" si="63"/>
        <v>1000</v>
      </c>
    </row>
    <row r="1864" ht="16.5" spans="1:5">
      <c r="A1864" s="151">
        <v>1863</v>
      </c>
      <c r="B1864" s="152" t="s">
        <v>6290</v>
      </c>
      <c r="C1864" s="156" t="s">
        <v>16629</v>
      </c>
      <c r="D1864" s="159">
        <v>10</v>
      </c>
      <c r="E1864" s="155">
        <f t="shared" si="63"/>
        <v>1000</v>
      </c>
    </row>
    <row r="1865" ht="16.5" spans="1:5">
      <c r="A1865" s="151">
        <v>1864</v>
      </c>
      <c r="B1865" s="152" t="s">
        <v>6293</v>
      </c>
      <c r="C1865" s="153" t="s">
        <v>16629</v>
      </c>
      <c r="D1865" s="158">
        <v>10</v>
      </c>
      <c r="E1865" s="155">
        <f t="shared" si="63"/>
        <v>1000</v>
      </c>
    </row>
    <row r="1866" ht="16.5" spans="1:5">
      <c r="A1866" s="151">
        <v>1865</v>
      </c>
      <c r="B1866" s="152" t="s">
        <v>6296</v>
      </c>
      <c r="C1866" s="153" t="s">
        <v>16629</v>
      </c>
      <c r="D1866" s="154">
        <v>10</v>
      </c>
      <c r="E1866" s="155">
        <f t="shared" si="63"/>
        <v>1000</v>
      </c>
    </row>
    <row r="1867" ht="16.5" spans="1:5">
      <c r="A1867" s="151">
        <v>1866</v>
      </c>
      <c r="B1867" s="152" t="s">
        <v>6299</v>
      </c>
      <c r="C1867" s="153" t="s">
        <v>16629</v>
      </c>
      <c r="D1867" s="154">
        <v>10</v>
      </c>
      <c r="E1867" s="155">
        <f t="shared" si="63"/>
        <v>1000</v>
      </c>
    </row>
    <row r="1868" ht="16.5" spans="1:5">
      <c r="A1868" s="151">
        <v>1867</v>
      </c>
      <c r="B1868" s="152" t="s">
        <v>6302</v>
      </c>
      <c r="C1868" s="160" t="s">
        <v>16630</v>
      </c>
      <c r="D1868" s="41">
        <v>30</v>
      </c>
      <c r="E1868" s="161">
        <f>SUM(D1868*100)</f>
        <v>3000</v>
      </c>
    </row>
    <row r="1869" ht="16.5" spans="1:5">
      <c r="A1869" s="151">
        <v>1868</v>
      </c>
      <c r="B1869" s="152" t="s">
        <v>6305</v>
      </c>
      <c r="C1869" s="156" t="s">
        <v>16629</v>
      </c>
      <c r="D1869" s="157">
        <v>10</v>
      </c>
      <c r="E1869" s="155">
        <f>+D1869*100</f>
        <v>1000</v>
      </c>
    </row>
    <row r="1870" ht="16.5" spans="1:5">
      <c r="A1870" s="151">
        <v>1869</v>
      </c>
      <c r="B1870" s="152" t="s">
        <v>6308</v>
      </c>
      <c r="C1870" s="153" t="s">
        <v>16629</v>
      </c>
      <c r="D1870" s="154">
        <v>10</v>
      </c>
      <c r="E1870" s="155">
        <f>+D1870*100</f>
        <v>1000</v>
      </c>
    </row>
    <row r="1871" ht="16.5" spans="1:5">
      <c r="A1871" s="151">
        <v>1870</v>
      </c>
      <c r="B1871" s="152" t="s">
        <v>6311</v>
      </c>
      <c r="C1871" s="156" t="s">
        <v>16629</v>
      </c>
      <c r="D1871" s="157">
        <v>10</v>
      </c>
      <c r="E1871" s="155">
        <f>+D1871*100</f>
        <v>1000</v>
      </c>
    </row>
    <row r="1872" ht="16.5" spans="1:5">
      <c r="A1872" s="151">
        <v>1871</v>
      </c>
      <c r="B1872" s="152" t="s">
        <v>6315</v>
      </c>
      <c r="C1872" s="156" t="s">
        <v>16629</v>
      </c>
      <c r="D1872" s="159">
        <v>10</v>
      </c>
      <c r="E1872" s="155">
        <f>+D1872*100</f>
        <v>1000</v>
      </c>
    </row>
    <row r="1873" ht="16.5" spans="1:5">
      <c r="A1873" s="151">
        <v>1872</v>
      </c>
      <c r="B1873" s="152" t="s">
        <v>6318</v>
      </c>
      <c r="C1873" s="162" t="s">
        <v>16631</v>
      </c>
      <c r="D1873" s="163">
        <v>1000</v>
      </c>
      <c r="E1873" s="163">
        <f>D1873*100</f>
        <v>100000</v>
      </c>
    </row>
    <row r="1874" ht="16.5" spans="1:5">
      <c r="A1874" s="151">
        <v>1873</v>
      </c>
      <c r="B1874" s="152" t="s">
        <v>6322</v>
      </c>
      <c r="C1874" s="156" t="s">
        <v>16629</v>
      </c>
      <c r="D1874" s="157">
        <v>10</v>
      </c>
      <c r="E1874" s="155">
        <f>+D1874*100</f>
        <v>1000</v>
      </c>
    </row>
    <row r="1875" ht="16.5" spans="1:5">
      <c r="A1875" s="151">
        <v>1874</v>
      </c>
      <c r="B1875" s="152" t="s">
        <v>6325</v>
      </c>
      <c r="C1875" s="156" t="s">
        <v>16629</v>
      </c>
      <c r="D1875" s="159">
        <v>10</v>
      </c>
      <c r="E1875" s="155">
        <f>+D1875*100</f>
        <v>1000</v>
      </c>
    </row>
    <row r="1876" ht="16.5" spans="1:5">
      <c r="A1876" s="151">
        <v>1875</v>
      </c>
      <c r="B1876" s="152" t="s">
        <v>6328</v>
      </c>
      <c r="C1876" s="156" t="s">
        <v>16629</v>
      </c>
      <c r="D1876" s="159">
        <v>50</v>
      </c>
      <c r="E1876" s="179">
        <f>+D1876*100</f>
        <v>5000</v>
      </c>
    </row>
    <row r="1877" ht="16.5" spans="1:5">
      <c r="A1877" s="151">
        <v>1876</v>
      </c>
      <c r="B1877" s="152" t="s">
        <v>6331</v>
      </c>
      <c r="C1877" s="156" t="s">
        <v>16629</v>
      </c>
      <c r="D1877" s="154">
        <v>10</v>
      </c>
      <c r="E1877" s="155">
        <f>+D1877*100</f>
        <v>1000</v>
      </c>
    </row>
    <row r="1878" ht="16.5" spans="1:5">
      <c r="A1878" s="151">
        <v>1877</v>
      </c>
      <c r="B1878" s="152" t="s">
        <v>6334</v>
      </c>
      <c r="C1878" s="166" t="s">
        <v>16632</v>
      </c>
      <c r="D1878" s="166">
        <f>IFERROR(__xludf.DUMMYFUNCTION("""COMPUTED_VALUE"""),10000)</f>
        <v>10000</v>
      </c>
      <c r="E1878" s="168">
        <f>IFERROR(__xludf.DUMMYFUNCTION("""COMPUTED_VALUE"""),1500000)</f>
        <v>1500000</v>
      </c>
    </row>
    <row r="1879" ht="16.5" spans="1:5">
      <c r="A1879" s="151">
        <v>1878</v>
      </c>
      <c r="B1879" s="152" t="s">
        <v>6335</v>
      </c>
      <c r="C1879" s="160" t="s">
        <v>16630</v>
      </c>
      <c r="D1879" s="160">
        <v>10</v>
      </c>
      <c r="E1879" s="161">
        <f>SUM(D1879*100)</f>
        <v>1000</v>
      </c>
    </row>
    <row r="1880" ht="16.5" spans="1:5">
      <c r="A1880" s="151">
        <v>1879</v>
      </c>
      <c r="B1880" s="152" t="s">
        <v>6338</v>
      </c>
      <c r="C1880" s="153" t="s">
        <v>16629</v>
      </c>
      <c r="D1880" s="158">
        <v>10</v>
      </c>
      <c r="E1880" s="155">
        <f>+D1880*100</f>
        <v>1000</v>
      </c>
    </row>
    <row r="1881" ht="16.5" spans="1:5">
      <c r="A1881" s="151">
        <v>1880</v>
      </c>
      <c r="B1881" s="152" t="s">
        <v>6342</v>
      </c>
      <c r="C1881" s="166" t="s">
        <v>16632</v>
      </c>
      <c r="D1881" s="166">
        <f>IFERROR(__xludf.DUMMYFUNCTION("""COMPUTED_VALUE"""),10000)</f>
        <v>10000</v>
      </c>
      <c r="E1881" s="168">
        <f>IFERROR(__xludf.DUMMYFUNCTION("""COMPUTED_VALUE"""),1500000)</f>
        <v>1500000</v>
      </c>
    </row>
    <row r="1882" ht="16.5" spans="1:5">
      <c r="A1882" s="151">
        <v>1881</v>
      </c>
      <c r="B1882" s="152" t="s">
        <v>6343</v>
      </c>
      <c r="C1882" s="166" t="s">
        <v>16632</v>
      </c>
      <c r="D1882" s="166">
        <f>IFERROR(__xludf.DUMMYFUNCTION("""COMPUTED_VALUE"""),10000)</f>
        <v>10000</v>
      </c>
      <c r="E1882" s="168">
        <f>IFERROR(__xludf.DUMMYFUNCTION("""COMPUTED_VALUE"""),1500000)</f>
        <v>1500000</v>
      </c>
    </row>
    <row r="1883" ht="16.5" spans="1:5">
      <c r="A1883" s="151">
        <v>1882</v>
      </c>
      <c r="B1883" s="152" t="s">
        <v>6344</v>
      </c>
      <c r="C1883" s="160" t="s">
        <v>16630</v>
      </c>
      <c r="D1883" s="160">
        <v>400</v>
      </c>
      <c r="E1883" s="161">
        <f>SUM(D1883*100)</f>
        <v>40000</v>
      </c>
    </row>
    <row r="1884" ht="16.5" spans="1:5">
      <c r="A1884" s="151">
        <v>1883</v>
      </c>
      <c r="B1884" s="152" t="s">
        <v>6348</v>
      </c>
      <c r="C1884" s="160" t="s">
        <v>16630</v>
      </c>
      <c r="D1884" s="160">
        <v>100</v>
      </c>
      <c r="E1884" s="161">
        <f>SUM(D1884*100)</f>
        <v>10000</v>
      </c>
    </row>
    <row r="1885" ht="16.5" spans="1:5">
      <c r="A1885" s="151">
        <v>1884</v>
      </c>
      <c r="B1885" s="152" t="s">
        <v>6352</v>
      </c>
      <c r="C1885" s="160" t="s">
        <v>16630</v>
      </c>
      <c r="D1885" s="160">
        <v>10</v>
      </c>
      <c r="E1885" s="161">
        <f>SUM(D1885*100)</f>
        <v>1000</v>
      </c>
    </row>
    <row r="1886" ht="16.5" spans="1:5">
      <c r="A1886" s="151">
        <v>1885</v>
      </c>
      <c r="B1886" s="152" t="s">
        <v>6356</v>
      </c>
      <c r="C1886" s="160" t="s">
        <v>16630</v>
      </c>
      <c r="D1886" s="160">
        <v>100</v>
      </c>
      <c r="E1886" s="161">
        <f>SUM(D1886*100)</f>
        <v>10000</v>
      </c>
    </row>
    <row r="1887" ht="16.5" spans="1:5">
      <c r="A1887" s="151">
        <v>1886</v>
      </c>
      <c r="B1887" s="152" t="s">
        <v>6360</v>
      </c>
      <c r="C1887" s="153" t="s">
        <v>16629</v>
      </c>
      <c r="D1887" s="158">
        <v>10</v>
      </c>
      <c r="E1887" s="155">
        <f>+D1887*100</f>
        <v>1000</v>
      </c>
    </row>
    <row r="1888" ht="16.5" spans="1:5">
      <c r="A1888" s="151">
        <v>1887</v>
      </c>
      <c r="B1888" s="152" t="s">
        <v>6363</v>
      </c>
      <c r="C1888" s="153" t="s">
        <v>16629</v>
      </c>
      <c r="D1888" s="154">
        <v>20</v>
      </c>
      <c r="E1888" s="155">
        <f>+D1888*100</f>
        <v>2000</v>
      </c>
    </row>
    <row r="1889" ht="16.5" spans="1:5">
      <c r="A1889" s="151">
        <v>1888</v>
      </c>
      <c r="B1889" s="152" t="s">
        <v>6367</v>
      </c>
      <c r="C1889" s="156" t="s">
        <v>16629</v>
      </c>
      <c r="D1889" s="157">
        <v>10</v>
      </c>
      <c r="E1889" s="155">
        <f>+D1889*100</f>
        <v>1000</v>
      </c>
    </row>
    <row r="1890" ht="16.5" spans="1:5">
      <c r="A1890" s="151">
        <v>1889</v>
      </c>
      <c r="B1890" s="152" t="s">
        <v>6370</v>
      </c>
      <c r="C1890" s="162" t="s">
        <v>16631</v>
      </c>
      <c r="D1890" s="163">
        <v>1000</v>
      </c>
      <c r="E1890" s="163">
        <f>D1890*100</f>
        <v>100000</v>
      </c>
    </row>
    <row r="1891" ht="16.5" spans="1:5">
      <c r="A1891" s="151">
        <v>1890</v>
      </c>
      <c r="B1891" s="152" t="s">
        <v>6375</v>
      </c>
      <c r="C1891" s="153" t="s">
        <v>16629</v>
      </c>
      <c r="D1891" s="154">
        <v>10</v>
      </c>
      <c r="E1891" s="155">
        <f>+D1891*100</f>
        <v>1000</v>
      </c>
    </row>
    <row r="1892" ht="16.5" spans="1:5">
      <c r="A1892" s="151">
        <v>1891</v>
      </c>
      <c r="B1892" s="152" t="s">
        <v>6378</v>
      </c>
      <c r="C1892" s="160" t="s">
        <v>16630</v>
      </c>
      <c r="D1892" s="160">
        <v>200</v>
      </c>
      <c r="E1892" s="161">
        <f>SUM(D1892*100)</f>
        <v>20000</v>
      </c>
    </row>
    <row r="1893" ht="16.5" spans="1:5">
      <c r="A1893" s="151">
        <v>1892</v>
      </c>
      <c r="B1893" s="152" t="s">
        <v>6381</v>
      </c>
      <c r="C1893" s="166" t="s">
        <v>16632</v>
      </c>
      <c r="D1893" s="166">
        <f>IFERROR(__xludf.DUMMYFUNCTION("""COMPUTED_VALUE"""),10000)</f>
        <v>10000</v>
      </c>
      <c r="E1893" s="168">
        <f>IFERROR(__xludf.DUMMYFUNCTION("""COMPUTED_VALUE"""),1500000)</f>
        <v>1500000</v>
      </c>
    </row>
    <row r="1894" ht="16.5" spans="1:5">
      <c r="A1894" s="151">
        <v>1893</v>
      </c>
      <c r="B1894" s="152" t="s">
        <v>6382</v>
      </c>
      <c r="C1894" s="160" t="s">
        <v>16630</v>
      </c>
      <c r="D1894" s="164">
        <v>100</v>
      </c>
      <c r="E1894" s="161">
        <f>SUM(D1894*100)</f>
        <v>10000</v>
      </c>
    </row>
    <row r="1895" ht="16.5" spans="1:5">
      <c r="A1895" s="151">
        <v>1894</v>
      </c>
      <c r="B1895" s="152" t="s">
        <v>6385</v>
      </c>
      <c r="C1895" s="160" t="s">
        <v>16630</v>
      </c>
      <c r="D1895" s="165">
        <v>250</v>
      </c>
      <c r="E1895" s="161">
        <f>SUM(D1895*100)</f>
        <v>25000</v>
      </c>
    </row>
    <row r="1896" ht="16.5" spans="1:5">
      <c r="A1896" s="151">
        <v>1895</v>
      </c>
      <c r="B1896" s="152" t="s">
        <v>6388</v>
      </c>
      <c r="C1896" s="162" t="s">
        <v>16631</v>
      </c>
      <c r="D1896" s="163">
        <v>1000</v>
      </c>
      <c r="E1896" s="163">
        <f>D1896*100</f>
        <v>100000</v>
      </c>
    </row>
    <row r="1897" ht="16.5" spans="1:5">
      <c r="A1897" s="151">
        <v>1896</v>
      </c>
      <c r="B1897" s="152" t="s">
        <v>6393</v>
      </c>
      <c r="C1897" s="160" t="s">
        <v>16630</v>
      </c>
      <c r="D1897" s="160">
        <v>20</v>
      </c>
      <c r="E1897" s="161">
        <f>SUM(D1897*100)</f>
        <v>2000</v>
      </c>
    </row>
    <row r="1898" ht="16.5" spans="1:5">
      <c r="A1898" s="151">
        <v>1897</v>
      </c>
      <c r="B1898" s="152" t="s">
        <v>6396</v>
      </c>
      <c r="C1898" s="162" t="s">
        <v>16631</v>
      </c>
      <c r="D1898" s="163">
        <v>1000</v>
      </c>
      <c r="E1898" s="163">
        <f>D1898*100</f>
        <v>100000</v>
      </c>
    </row>
    <row r="1899" ht="16.5" spans="1:5">
      <c r="A1899" s="151">
        <v>1898</v>
      </c>
      <c r="B1899" s="152" t="s">
        <v>6401</v>
      </c>
      <c r="C1899" s="153" t="s">
        <v>16629</v>
      </c>
      <c r="D1899" s="154">
        <v>10</v>
      </c>
      <c r="E1899" s="155">
        <f>+D1899*100</f>
        <v>1000</v>
      </c>
    </row>
    <row r="1900" ht="16.5" spans="1:5">
      <c r="A1900" s="151">
        <v>1899</v>
      </c>
      <c r="B1900" s="152" t="s">
        <v>6404</v>
      </c>
      <c r="C1900" s="153" t="s">
        <v>16629</v>
      </c>
      <c r="D1900" s="154">
        <v>10</v>
      </c>
      <c r="E1900" s="155">
        <f>+D1900*100</f>
        <v>1000</v>
      </c>
    </row>
    <row r="1901" ht="16.5" spans="1:5">
      <c r="A1901" s="151">
        <v>1900</v>
      </c>
      <c r="B1901" s="152" t="s">
        <v>6407</v>
      </c>
      <c r="C1901" s="162" t="s">
        <v>16633</v>
      </c>
      <c r="D1901" s="171">
        <f>G1901/100</f>
        <v>0</v>
      </c>
      <c r="E1901" s="171">
        <f>G1901</f>
        <v>0</v>
      </c>
    </row>
    <row r="1902" ht="16.5" spans="1:5">
      <c r="A1902" s="151">
        <v>1901</v>
      </c>
      <c r="B1902" s="152" t="s">
        <v>6411</v>
      </c>
      <c r="C1902" s="160" t="s">
        <v>16630</v>
      </c>
      <c r="D1902" s="160">
        <v>1000</v>
      </c>
      <c r="E1902" s="161">
        <f>SUM(D1902*100)</f>
        <v>100000</v>
      </c>
    </row>
    <row r="1903" ht="16.5" spans="1:5">
      <c r="A1903" s="151">
        <v>1902</v>
      </c>
      <c r="B1903" s="152" t="s">
        <v>6416</v>
      </c>
      <c r="C1903" s="160" t="s">
        <v>16630</v>
      </c>
      <c r="D1903" s="160">
        <v>100</v>
      </c>
      <c r="E1903" s="161">
        <f>SUM(D1903*100)</f>
        <v>10000</v>
      </c>
    </row>
    <row r="1904" ht="16.5" spans="1:5">
      <c r="A1904" s="151">
        <v>1903</v>
      </c>
      <c r="B1904" s="152" t="s">
        <v>6419</v>
      </c>
      <c r="C1904" s="160" t="s">
        <v>16630</v>
      </c>
      <c r="D1904" s="160">
        <v>300</v>
      </c>
      <c r="E1904" s="161">
        <f>SUM(D1904*100)</f>
        <v>30000</v>
      </c>
    </row>
    <row r="1905" ht="16.5" spans="1:5">
      <c r="A1905" s="151">
        <v>1904</v>
      </c>
      <c r="B1905" s="152" t="s">
        <v>6423</v>
      </c>
      <c r="C1905" s="166" t="s">
        <v>16632</v>
      </c>
      <c r="D1905" s="166">
        <f>IFERROR(__xludf.DUMMYFUNCTION("""COMPUTED_VALUE"""),10000)</f>
        <v>10000</v>
      </c>
      <c r="E1905" s="168">
        <f>IFERROR(__xludf.DUMMYFUNCTION("""COMPUTED_VALUE"""),1500000)</f>
        <v>1500000</v>
      </c>
    </row>
    <row r="1906" ht="16.5" spans="1:5">
      <c r="A1906" s="151">
        <v>1905</v>
      </c>
      <c r="B1906" s="152" t="s">
        <v>6423</v>
      </c>
      <c r="C1906" s="162" t="s">
        <v>16633</v>
      </c>
      <c r="D1906" s="171">
        <f>G1906/100</f>
        <v>0</v>
      </c>
      <c r="E1906" s="171">
        <f>G1906</f>
        <v>0</v>
      </c>
    </row>
    <row r="1907" ht="16.5" spans="1:5">
      <c r="A1907" s="151">
        <v>1906</v>
      </c>
      <c r="B1907" s="152" t="s">
        <v>6424</v>
      </c>
      <c r="C1907" s="153" t="s">
        <v>16629</v>
      </c>
      <c r="D1907" s="154">
        <v>10</v>
      </c>
      <c r="E1907" s="155">
        <f>+D1907*100</f>
        <v>1000</v>
      </c>
    </row>
    <row r="1908" ht="16.5" spans="1:5">
      <c r="A1908" s="151">
        <v>1907</v>
      </c>
      <c r="B1908" s="152" t="s">
        <v>6428</v>
      </c>
      <c r="C1908" s="160" t="s">
        <v>16630</v>
      </c>
      <c r="D1908" s="160">
        <v>10</v>
      </c>
      <c r="E1908" s="161">
        <f>SUM(D1908*100)</f>
        <v>1000</v>
      </c>
    </row>
    <row r="1909" ht="16.5" spans="1:5">
      <c r="A1909" s="151">
        <v>1908</v>
      </c>
      <c r="B1909" s="152" t="s">
        <v>6432</v>
      </c>
      <c r="C1909" s="160" t="s">
        <v>16630</v>
      </c>
      <c r="D1909" s="160">
        <v>5000</v>
      </c>
      <c r="E1909" s="161">
        <f>SUM(D1909*10)</f>
        <v>50000</v>
      </c>
    </row>
    <row r="1910" ht="16.5" spans="1:5">
      <c r="A1910" s="151">
        <v>1909</v>
      </c>
      <c r="B1910" s="152" t="s">
        <v>6437</v>
      </c>
      <c r="C1910" s="160" t="s">
        <v>16630</v>
      </c>
      <c r="D1910" s="160">
        <v>90</v>
      </c>
      <c r="E1910" s="161">
        <f>SUM(D1910*100)</f>
        <v>9000</v>
      </c>
    </row>
    <row r="1911" ht="16.5" spans="1:5">
      <c r="A1911" s="151">
        <v>1910</v>
      </c>
      <c r="B1911" s="152" t="s">
        <v>6441</v>
      </c>
      <c r="C1911" s="160" t="s">
        <v>16630</v>
      </c>
      <c r="D1911" s="160">
        <v>800</v>
      </c>
      <c r="E1911" s="161">
        <f>SUM(D1911*100)</f>
        <v>80000</v>
      </c>
    </row>
    <row r="1912" ht="16.5" spans="1:5">
      <c r="A1912" s="151">
        <v>1911</v>
      </c>
      <c r="B1912" s="152" t="s">
        <v>6445</v>
      </c>
      <c r="C1912" s="160" t="s">
        <v>16630</v>
      </c>
      <c r="D1912" s="41">
        <v>10</v>
      </c>
      <c r="E1912" s="161">
        <f>SUM(D1912*100)</f>
        <v>1000</v>
      </c>
    </row>
    <row r="1913" ht="16.5" spans="1:5">
      <c r="A1913" s="151">
        <v>1912</v>
      </c>
      <c r="B1913" s="152" t="s">
        <v>6448</v>
      </c>
      <c r="C1913" s="162" t="s">
        <v>16631</v>
      </c>
      <c r="D1913" s="163">
        <v>1000</v>
      </c>
      <c r="E1913" s="163">
        <f>D1913*100</f>
        <v>100000</v>
      </c>
    </row>
    <row r="1914" ht="16.5" spans="1:5">
      <c r="A1914" s="151">
        <v>1913</v>
      </c>
      <c r="B1914" s="152" t="s">
        <v>6452</v>
      </c>
      <c r="C1914" s="153" t="s">
        <v>16629</v>
      </c>
      <c r="D1914" s="154">
        <v>10</v>
      </c>
      <c r="E1914" s="155">
        <f>+D1914*100</f>
        <v>1000</v>
      </c>
    </row>
    <row r="1915" ht="16.5" spans="1:5">
      <c r="A1915" s="151">
        <v>1914</v>
      </c>
      <c r="B1915" s="152" t="s">
        <v>6455</v>
      </c>
      <c r="C1915" s="160" t="s">
        <v>16630</v>
      </c>
      <c r="D1915" s="160">
        <v>10000</v>
      </c>
      <c r="E1915" s="161">
        <f>SUM(D1915*100)</f>
        <v>1000000</v>
      </c>
    </row>
    <row r="1916" ht="16.5" spans="1:5">
      <c r="A1916" s="151">
        <v>1915</v>
      </c>
      <c r="B1916" s="152" t="s">
        <v>6460</v>
      </c>
      <c r="C1916" s="153" t="s">
        <v>16629</v>
      </c>
      <c r="D1916" s="158">
        <v>10</v>
      </c>
      <c r="E1916" s="155">
        <f>+D1916*100</f>
        <v>1000</v>
      </c>
    </row>
    <row r="1917" ht="16.5" spans="1:5">
      <c r="A1917" s="151">
        <v>1916</v>
      </c>
      <c r="B1917" s="152" t="s">
        <v>6464</v>
      </c>
      <c r="C1917" s="166" t="s">
        <v>16632</v>
      </c>
      <c r="D1917" s="166">
        <f>IFERROR(__xludf.DUMMYFUNCTION("""COMPUTED_VALUE"""),10000)</f>
        <v>10000</v>
      </c>
      <c r="E1917" s="168">
        <f>IFERROR(__xludf.DUMMYFUNCTION("""COMPUTED_VALUE"""),1500000)</f>
        <v>1500000</v>
      </c>
    </row>
    <row r="1918" ht="16.5" spans="1:5">
      <c r="A1918" s="151">
        <v>1917</v>
      </c>
      <c r="B1918" s="152" t="s">
        <v>6465</v>
      </c>
      <c r="C1918" s="160" t="s">
        <v>16630</v>
      </c>
      <c r="D1918" s="160">
        <v>100</v>
      </c>
      <c r="E1918" s="161">
        <f>SUM(D1918*100)</f>
        <v>10000</v>
      </c>
    </row>
    <row r="1919" ht="16.5" spans="1:5">
      <c r="A1919" s="151">
        <v>1918</v>
      </c>
      <c r="B1919" s="152" t="s">
        <v>6469</v>
      </c>
      <c r="C1919" s="153" t="s">
        <v>16629</v>
      </c>
      <c r="D1919" s="154">
        <v>10</v>
      </c>
      <c r="E1919" s="155">
        <f>+D1919*100</f>
        <v>1000</v>
      </c>
    </row>
    <row r="1920" ht="16.5" spans="1:5">
      <c r="A1920" s="151">
        <v>1919</v>
      </c>
      <c r="B1920" s="152" t="s">
        <v>6473</v>
      </c>
      <c r="C1920" s="156" t="s">
        <v>16629</v>
      </c>
      <c r="D1920" s="159">
        <v>10</v>
      </c>
      <c r="E1920" s="155">
        <f>+D1920*100</f>
        <v>1000</v>
      </c>
    </row>
    <row r="1921" ht="16.5" spans="1:5">
      <c r="A1921" s="151">
        <v>1920</v>
      </c>
      <c r="B1921" s="152" t="s">
        <v>6477</v>
      </c>
      <c r="C1921" s="160" t="s">
        <v>16630</v>
      </c>
      <c r="D1921" s="165">
        <v>1000</v>
      </c>
      <c r="E1921" s="161">
        <f>SUM(D1921*100)</f>
        <v>100000</v>
      </c>
    </row>
    <row r="1922" ht="16.5" spans="1:5">
      <c r="A1922" s="151">
        <v>1921</v>
      </c>
      <c r="B1922" s="152" t="s">
        <v>6480</v>
      </c>
      <c r="C1922" s="162" t="s">
        <v>16633</v>
      </c>
      <c r="D1922" s="171">
        <f>G1922/100</f>
        <v>0</v>
      </c>
      <c r="E1922" s="171">
        <f>G1922</f>
        <v>0</v>
      </c>
    </row>
    <row r="1923" ht="16.5" spans="1:5">
      <c r="A1923" s="151">
        <v>1922</v>
      </c>
      <c r="B1923" s="152" t="s">
        <v>6482</v>
      </c>
      <c r="C1923" s="156" t="s">
        <v>16629</v>
      </c>
      <c r="D1923" s="159">
        <v>10</v>
      </c>
      <c r="E1923" s="155">
        <f t="shared" ref="E1923:E1934" si="64">+D1923*100</f>
        <v>1000</v>
      </c>
    </row>
    <row r="1924" ht="16.5" spans="1:5">
      <c r="A1924" s="151">
        <v>1923</v>
      </c>
      <c r="B1924" s="152" t="s">
        <v>6485</v>
      </c>
      <c r="C1924" s="156" t="s">
        <v>16629</v>
      </c>
      <c r="D1924" s="157">
        <v>10</v>
      </c>
      <c r="E1924" s="155">
        <f t="shared" si="64"/>
        <v>1000</v>
      </c>
    </row>
    <row r="1925" ht="16.5" spans="1:5">
      <c r="A1925" s="151">
        <v>1924</v>
      </c>
      <c r="B1925" s="152" t="s">
        <v>6489</v>
      </c>
      <c r="C1925" s="153" t="s">
        <v>16629</v>
      </c>
      <c r="D1925" s="154">
        <v>10</v>
      </c>
      <c r="E1925" s="155">
        <f t="shared" si="64"/>
        <v>1000</v>
      </c>
    </row>
    <row r="1926" ht="16.5" spans="1:5">
      <c r="A1926" s="151">
        <v>1925</v>
      </c>
      <c r="B1926" s="152" t="s">
        <v>6492</v>
      </c>
      <c r="C1926" s="156" t="s">
        <v>16629</v>
      </c>
      <c r="D1926" s="157">
        <v>10</v>
      </c>
      <c r="E1926" s="155">
        <f t="shared" si="64"/>
        <v>1000</v>
      </c>
    </row>
    <row r="1927" ht="16.5" spans="1:5">
      <c r="A1927" s="151">
        <v>1926</v>
      </c>
      <c r="B1927" s="152" t="s">
        <v>6495</v>
      </c>
      <c r="C1927" s="156" t="s">
        <v>16629</v>
      </c>
      <c r="D1927" s="159">
        <v>10</v>
      </c>
      <c r="E1927" s="155">
        <f t="shared" si="64"/>
        <v>1000</v>
      </c>
    </row>
    <row r="1928" ht="16.5" spans="1:5">
      <c r="A1928" s="151">
        <v>1927</v>
      </c>
      <c r="B1928" s="152" t="s">
        <v>6499</v>
      </c>
      <c r="C1928" s="153" t="s">
        <v>16629</v>
      </c>
      <c r="D1928" s="158">
        <v>10</v>
      </c>
      <c r="E1928" s="155">
        <f t="shared" si="64"/>
        <v>1000</v>
      </c>
    </row>
    <row r="1929" ht="16.5" spans="1:5">
      <c r="A1929" s="151">
        <v>1928</v>
      </c>
      <c r="B1929" s="152" t="s">
        <v>6501</v>
      </c>
      <c r="C1929" s="156" t="s">
        <v>16629</v>
      </c>
      <c r="D1929" s="159">
        <v>10</v>
      </c>
      <c r="E1929" s="155">
        <f t="shared" si="64"/>
        <v>1000</v>
      </c>
    </row>
    <row r="1930" ht="16.5" spans="1:5">
      <c r="A1930" s="151">
        <v>1929</v>
      </c>
      <c r="B1930" s="152" t="s">
        <v>6505</v>
      </c>
      <c r="C1930" s="153" t="s">
        <v>16629</v>
      </c>
      <c r="D1930" s="154">
        <v>10</v>
      </c>
      <c r="E1930" s="155">
        <f t="shared" si="64"/>
        <v>1000</v>
      </c>
    </row>
    <row r="1931" ht="16.5" spans="1:5">
      <c r="A1931" s="151">
        <v>1930</v>
      </c>
      <c r="B1931" s="152" t="s">
        <v>6509</v>
      </c>
      <c r="C1931" s="153" t="s">
        <v>16629</v>
      </c>
      <c r="D1931" s="154">
        <v>10</v>
      </c>
      <c r="E1931" s="155">
        <f t="shared" si="64"/>
        <v>1000</v>
      </c>
    </row>
    <row r="1932" ht="16.5" spans="1:5">
      <c r="A1932" s="151">
        <v>1931</v>
      </c>
      <c r="B1932" s="152" t="s">
        <v>6512</v>
      </c>
      <c r="C1932" s="156" t="s">
        <v>16629</v>
      </c>
      <c r="D1932" s="157">
        <v>10</v>
      </c>
      <c r="E1932" s="155">
        <f t="shared" si="64"/>
        <v>1000</v>
      </c>
    </row>
    <row r="1933" ht="16.5" spans="1:5">
      <c r="A1933" s="151">
        <v>1932</v>
      </c>
      <c r="B1933" s="152" t="s">
        <v>6516</v>
      </c>
      <c r="C1933" s="156" t="s">
        <v>16629</v>
      </c>
      <c r="D1933" s="159">
        <v>10</v>
      </c>
      <c r="E1933" s="155">
        <f t="shared" si="64"/>
        <v>1000</v>
      </c>
    </row>
    <row r="1934" ht="16.5" spans="1:5">
      <c r="A1934" s="151">
        <v>1933</v>
      </c>
      <c r="B1934" s="152" t="s">
        <v>6519</v>
      </c>
      <c r="C1934" s="153" t="s">
        <v>16629</v>
      </c>
      <c r="D1934" s="154">
        <v>10</v>
      </c>
      <c r="E1934" s="155">
        <f t="shared" si="64"/>
        <v>1000</v>
      </c>
    </row>
    <row r="1935" ht="16.5" spans="1:5">
      <c r="A1935" s="151">
        <v>1934</v>
      </c>
      <c r="B1935" s="152" t="s">
        <v>6522</v>
      </c>
      <c r="C1935" s="160" t="s">
        <v>16630</v>
      </c>
      <c r="D1935" s="41">
        <v>500</v>
      </c>
      <c r="E1935" s="161">
        <f>SUM(D1935*100)</f>
        <v>50000</v>
      </c>
    </row>
    <row r="1936" ht="16.5" spans="1:5">
      <c r="A1936" s="151">
        <v>1935</v>
      </c>
      <c r="B1936" s="152" t="s">
        <v>6525</v>
      </c>
      <c r="C1936" s="156" t="s">
        <v>16629</v>
      </c>
      <c r="D1936" s="159">
        <v>10</v>
      </c>
      <c r="E1936" s="155">
        <f t="shared" ref="E1936:E1941" si="65">+D1936*100</f>
        <v>1000</v>
      </c>
    </row>
    <row r="1937" ht="16.5" spans="1:5">
      <c r="A1937" s="151">
        <v>1936</v>
      </c>
      <c r="B1937" s="152" t="s">
        <v>6529</v>
      </c>
      <c r="C1937" s="156" t="s">
        <v>16629</v>
      </c>
      <c r="D1937" s="159">
        <v>10</v>
      </c>
      <c r="E1937" s="155">
        <f t="shared" si="65"/>
        <v>1000</v>
      </c>
    </row>
    <row r="1938" ht="16.5" spans="1:5">
      <c r="A1938" s="151">
        <v>1937</v>
      </c>
      <c r="B1938" s="152" t="s">
        <v>6533</v>
      </c>
      <c r="C1938" s="153" t="s">
        <v>16629</v>
      </c>
      <c r="D1938" s="154">
        <v>10</v>
      </c>
      <c r="E1938" s="155">
        <f t="shared" si="65"/>
        <v>1000</v>
      </c>
    </row>
    <row r="1939" ht="16.5" spans="1:5">
      <c r="A1939" s="151">
        <v>1938</v>
      </c>
      <c r="B1939" s="152" t="s">
        <v>6537</v>
      </c>
      <c r="C1939" s="156" t="s">
        <v>16629</v>
      </c>
      <c r="D1939" s="157">
        <v>10</v>
      </c>
      <c r="E1939" s="155">
        <f t="shared" si="65"/>
        <v>1000</v>
      </c>
    </row>
    <row r="1940" ht="16.5" spans="1:5">
      <c r="A1940" s="151">
        <v>1939</v>
      </c>
      <c r="B1940" s="152" t="s">
        <v>6540</v>
      </c>
      <c r="C1940" s="156" t="s">
        <v>16629</v>
      </c>
      <c r="D1940" s="159">
        <v>10</v>
      </c>
      <c r="E1940" s="155">
        <f t="shared" si="65"/>
        <v>1000</v>
      </c>
    </row>
    <row r="1941" ht="16.5" spans="1:5">
      <c r="A1941" s="151">
        <v>1940</v>
      </c>
      <c r="B1941" s="152" t="s">
        <v>6543</v>
      </c>
      <c r="C1941" s="153" t="s">
        <v>16629</v>
      </c>
      <c r="D1941" s="158">
        <v>10</v>
      </c>
      <c r="E1941" s="155">
        <f t="shared" si="65"/>
        <v>1000</v>
      </c>
    </row>
    <row r="1942" ht="16.5" spans="1:5">
      <c r="A1942" s="151">
        <v>1941</v>
      </c>
      <c r="B1942" s="152" t="s">
        <v>6547</v>
      </c>
      <c r="C1942" s="166" t="s">
        <v>16632</v>
      </c>
      <c r="D1942" s="166">
        <f>IFERROR(__xludf.DUMMYFUNCTION("""COMPUTED_VALUE"""),10000)</f>
        <v>10000</v>
      </c>
      <c r="E1942" s="168">
        <f>IFERROR(__xludf.DUMMYFUNCTION("""COMPUTED_VALUE"""),1500000)</f>
        <v>1500000</v>
      </c>
    </row>
    <row r="1943" ht="16.5" spans="1:5">
      <c r="A1943" s="151">
        <v>1942</v>
      </c>
      <c r="B1943" s="152" t="s">
        <v>6548</v>
      </c>
      <c r="C1943" s="156" t="s">
        <v>16629</v>
      </c>
      <c r="D1943" s="157">
        <v>10</v>
      </c>
      <c r="E1943" s="155">
        <f>+D1943*100</f>
        <v>1000</v>
      </c>
    </row>
    <row r="1944" ht="16.5" spans="1:5">
      <c r="A1944" s="151">
        <v>1943</v>
      </c>
      <c r="B1944" s="152" t="s">
        <v>6551</v>
      </c>
      <c r="C1944" s="153" t="s">
        <v>16629</v>
      </c>
      <c r="D1944" s="158">
        <v>10</v>
      </c>
      <c r="E1944" s="155">
        <f>+D1944*100</f>
        <v>1000</v>
      </c>
    </row>
    <row r="1945" ht="16.5" spans="1:5">
      <c r="A1945" s="151">
        <v>1944</v>
      </c>
      <c r="B1945" s="152" t="s">
        <v>6555</v>
      </c>
      <c r="C1945" s="156" t="s">
        <v>16629</v>
      </c>
      <c r="D1945" s="159">
        <v>10</v>
      </c>
      <c r="E1945" s="155">
        <f>+D1945*100</f>
        <v>1000</v>
      </c>
    </row>
    <row r="1946" ht="16.5" spans="1:5">
      <c r="A1946" s="151">
        <v>1945</v>
      </c>
      <c r="B1946" s="152" t="s">
        <v>6559</v>
      </c>
      <c r="C1946" s="156" t="s">
        <v>16629</v>
      </c>
      <c r="D1946" s="157">
        <v>10</v>
      </c>
      <c r="E1946" s="155">
        <f>+D1946*100</f>
        <v>1000</v>
      </c>
    </row>
    <row r="1947" ht="16.5" spans="1:5">
      <c r="A1947" s="151">
        <v>1946</v>
      </c>
      <c r="B1947" s="152" t="s">
        <v>6563</v>
      </c>
      <c r="C1947" s="160" t="s">
        <v>16630</v>
      </c>
      <c r="D1947" s="160">
        <v>60</v>
      </c>
      <c r="E1947" s="161">
        <f>SUM(D1947*100)</f>
        <v>6000</v>
      </c>
    </row>
    <row r="1948" ht="16.5" spans="1:5">
      <c r="A1948" s="151">
        <v>1947</v>
      </c>
      <c r="B1948" s="152" t="s">
        <v>6566</v>
      </c>
      <c r="C1948" s="160" t="s">
        <v>16630</v>
      </c>
      <c r="D1948" s="160">
        <v>10</v>
      </c>
      <c r="E1948" s="161">
        <f>SUM(D1948*100)</f>
        <v>1000</v>
      </c>
    </row>
    <row r="1949" ht="16.5" spans="1:5">
      <c r="A1949" s="151">
        <v>1948</v>
      </c>
      <c r="B1949" s="152" t="s">
        <v>6569</v>
      </c>
      <c r="C1949" s="156" t="s">
        <v>16629</v>
      </c>
      <c r="D1949" s="159">
        <v>10</v>
      </c>
      <c r="E1949" s="155">
        <f>+D1949*100</f>
        <v>1000</v>
      </c>
    </row>
    <row r="1950" ht="16.5" spans="1:5">
      <c r="A1950" s="151">
        <v>1949</v>
      </c>
      <c r="B1950" s="152" t="s">
        <v>6573</v>
      </c>
      <c r="C1950" s="153" t="s">
        <v>16629</v>
      </c>
      <c r="D1950" s="154">
        <v>10</v>
      </c>
      <c r="E1950" s="155">
        <f>+D1950*100</f>
        <v>1000</v>
      </c>
    </row>
    <row r="1951" ht="16.5" spans="1:5">
      <c r="A1951" s="151">
        <v>1950</v>
      </c>
      <c r="B1951" s="152" t="s">
        <v>6576</v>
      </c>
      <c r="C1951" s="160" t="s">
        <v>16630</v>
      </c>
      <c r="D1951" s="160">
        <v>10</v>
      </c>
      <c r="E1951" s="161">
        <f>SUM(D1951*100)</f>
        <v>1000</v>
      </c>
    </row>
    <row r="1952" ht="16.5" spans="1:5">
      <c r="A1952" s="151">
        <v>1951</v>
      </c>
      <c r="B1952" s="152" t="s">
        <v>6579</v>
      </c>
      <c r="C1952" s="160" t="s">
        <v>16630</v>
      </c>
      <c r="D1952" s="164">
        <v>100</v>
      </c>
      <c r="E1952" s="161">
        <f>SUM(D1952*100)</f>
        <v>10000</v>
      </c>
    </row>
    <row r="1953" ht="16.5" spans="1:5">
      <c r="A1953" s="151">
        <v>1952</v>
      </c>
      <c r="B1953" s="152" t="s">
        <v>6582</v>
      </c>
      <c r="C1953" s="153" t="s">
        <v>16629</v>
      </c>
      <c r="D1953" s="154">
        <v>10</v>
      </c>
      <c r="E1953" s="155">
        <f>+D1953*100</f>
        <v>1000</v>
      </c>
    </row>
    <row r="1954" ht="16.5" spans="1:5">
      <c r="A1954" s="151">
        <v>1953</v>
      </c>
      <c r="B1954" s="152" t="s">
        <v>6586</v>
      </c>
      <c r="C1954" s="153" t="s">
        <v>16629</v>
      </c>
      <c r="D1954" s="154">
        <v>10</v>
      </c>
      <c r="E1954" s="155">
        <f>+D1954*100</f>
        <v>1000</v>
      </c>
    </row>
    <row r="1955" ht="16.5" spans="1:5">
      <c r="A1955" s="151">
        <v>1954</v>
      </c>
      <c r="B1955" s="152" t="s">
        <v>6589</v>
      </c>
      <c r="C1955" s="160" t="s">
        <v>16630</v>
      </c>
      <c r="D1955" s="164">
        <v>10</v>
      </c>
      <c r="E1955" s="161">
        <f>SUM(D1955*100)</f>
        <v>1000</v>
      </c>
    </row>
    <row r="1956" ht="16.5" spans="1:5">
      <c r="A1956" s="151">
        <v>1955</v>
      </c>
      <c r="B1956" s="152" t="s">
        <v>6592</v>
      </c>
      <c r="C1956" s="153" t="s">
        <v>16629</v>
      </c>
      <c r="D1956" s="154">
        <v>10</v>
      </c>
      <c r="E1956" s="155">
        <f>+D1956*100</f>
        <v>1000</v>
      </c>
    </row>
    <row r="1957" ht="16.5" spans="1:5">
      <c r="A1957" s="151">
        <v>1956</v>
      </c>
      <c r="B1957" s="152" t="s">
        <v>6595</v>
      </c>
      <c r="C1957" s="160" t="s">
        <v>16630</v>
      </c>
      <c r="D1957" s="160">
        <v>250</v>
      </c>
      <c r="E1957" s="161">
        <f>SUM(D1957*100)</f>
        <v>25000</v>
      </c>
    </row>
    <row r="1958" ht="16.5" spans="1:5">
      <c r="A1958" s="151">
        <v>1957</v>
      </c>
      <c r="B1958" s="152" t="s">
        <v>6598</v>
      </c>
      <c r="C1958" s="156" t="s">
        <v>16629</v>
      </c>
      <c r="D1958" s="159">
        <v>10</v>
      </c>
      <c r="E1958" s="155">
        <f>+D1958*100</f>
        <v>1000</v>
      </c>
    </row>
    <row r="1959" ht="16.5" spans="1:5">
      <c r="A1959" s="151">
        <v>1958</v>
      </c>
      <c r="B1959" s="152" t="s">
        <v>6601</v>
      </c>
      <c r="C1959" s="156" t="s">
        <v>16629</v>
      </c>
      <c r="D1959" s="159">
        <v>10</v>
      </c>
      <c r="E1959" s="155">
        <f>+D1959*100</f>
        <v>1000</v>
      </c>
    </row>
    <row r="1960" ht="16.5" spans="1:5">
      <c r="A1960" s="151">
        <v>1959</v>
      </c>
      <c r="B1960" s="152" t="s">
        <v>6605</v>
      </c>
      <c r="C1960" s="156" t="s">
        <v>16629</v>
      </c>
      <c r="D1960" s="159">
        <v>20</v>
      </c>
      <c r="E1960" s="155">
        <f>+D1960*100</f>
        <v>2000</v>
      </c>
    </row>
    <row r="1961" ht="16.5" spans="1:5">
      <c r="A1961" s="151">
        <v>1960</v>
      </c>
      <c r="B1961" s="152" t="s">
        <v>6609</v>
      </c>
      <c r="C1961" s="153" t="s">
        <v>16629</v>
      </c>
      <c r="D1961" s="154">
        <v>100</v>
      </c>
      <c r="E1961" s="155">
        <f>+D1961*100</f>
        <v>10000</v>
      </c>
    </row>
    <row r="1962" ht="16.5" spans="1:5">
      <c r="A1962" s="151">
        <v>1961</v>
      </c>
      <c r="B1962" s="152" t="s">
        <v>6612</v>
      </c>
      <c r="C1962" s="160" t="s">
        <v>16630</v>
      </c>
      <c r="D1962" s="160">
        <v>100</v>
      </c>
      <c r="E1962" s="161">
        <f>SUM(D1962*100)</f>
        <v>10000</v>
      </c>
    </row>
    <row r="1963" ht="16.5" spans="1:5">
      <c r="A1963" s="151">
        <v>1962</v>
      </c>
      <c r="B1963" s="152" t="s">
        <v>6616</v>
      </c>
      <c r="C1963" s="153" t="s">
        <v>16629</v>
      </c>
      <c r="D1963" s="158">
        <v>10</v>
      </c>
      <c r="E1963" s="155">
        <f>+D1963*100</f>
        <v>1000</v>
      </c>
    </row>
    <row r="1964" ht="16.5" spans="1:5">
      <c r="A1964" s="151">
        <v>1963</v>
      </c>
      <c r="B1964" s="152" t="s">
        <v>6619</v>
      </c>
      <c r="C1964" s="156" t="s">
        <v>16629</v>
      </c>
      <c r="D1964" s="159">
        <v>10</v>
      </c>
      <c r="E1964" s="155">
        <f>+D1964*100</f>
        <v>1000</v>
      </c>
    </row>
    <row r="1965" ht="16.5" spans="1:5">
      <c r="A1965" s="151">
        <v>1964</v>
      </c>
      <c r="B1965" s="152" t="s">
        <v>6622</v>
      </c>
      <c r="C1965" s="156" t="s">
        <v>16629</v>
      </c>
      <c r="D1965" s="159">
        <v>10</v>
      </c>
      <c r="E1965" s="155">
        <f>+D1965*100</f>
        <v>1000</v>
      </c>
    </row>
    <row r="1966" ht="16.5" spans="1:5">
      <c r="A1966" s="151">
        <v>1965</v>
      </c>
      <c r="B1966" s="152" t="s">
        <v>6625</v>
      </c>
      <c r="C1966" s="160" t="s">
        <v>16630</v>
      </c>
      <c r="D1966" s="160">
        <v>90</v>
      </c>
      <c r="E1966" s="161">
        <f>SUM(D1966*100)</f>
        <v>9000</v>
      </c>
    </row>
    <row r="1967" ht="16.5" spans="1:5">
      <c r="A1967" s="151">
        <v>1966</v>
      </c>
      <c r="B1967" s="152" t="s">
        <v>6629</v>
      </c>
      <c r="C1967" s="160" t="s">
        <v>16630</v>
      </c>
      <c r="D1967" s="160">
        <v>10</v>
      </c>
      <c r="E1967" s="161">
        <f>SUM(D1967*100)</f>
        <v>1000</v>
      </c>
    </row>
    <row r="1968" ht="16.5" spans="1:5">
      <c r="A1968" s="151">
        <v>1967</v>
      </c>
      <c r="B1968" s="152" t="s">
        <v>6632</v>
      </c>
      <c r="C1968" s="156" t="s">
        <v>16629</v>
      </c>
      <c r="D1968" s="157">
        <v>10</v>
      </c>
      <c r="E1968" s="155">
        <f>+D1968*100</f>
        <v>1000</v>
      </c>
    </row>
    <row r="1969" ht="16.5" spans="1:5">
      <c r="A1969" s="151">
        <v>1968</v>
      </c>
      <c r="B1969" s="152" t="s">
        <v>6635</v>
      </c>
      <c r="C1969" s="156" t="s">
        <v>16629</v>
      </c>
      <c r="D1969" s="157">
        <v>10</v>
      </c>
      <c r="E1969" s="155">
        <f>+D1969*100</f>
        <v>1000</v>
      </c>
    </row>
    <row r="1970" ht="16.5" spans="1:5">
      <c r="A1970" s="151">
        <v>1969</v>
      </c>
      <c r="B1970" s="152" t="s">
        <v>6638</v>
      </c>
      <c r="C1970" s="160" t="s">
        <v>16630</v>
      </c>
      <c r="D1970" s="160">
        <v>10</v>
      </c>
      <c r="E1970" s="161">
        <f>SUM(D1970*100)</f>
        <v>1000</v>
      </c>
    </row>
    <row r="1971" ht="16.5" spans="1:5">
      <c r="A1971" s="151">
        <v>1970</v>
      </c>
      <c r="B1971" s="152" t="s">
        <v>6641</v>
      </c>
      <c r="C1971" s="160" t="s">
        <v>16630</v>
      </c>
      <c r="D1971" s="160">
        <v>200</v>
      </c>
      <c r="E1971" s="161">
        <f>SUM(D1971*100)</f>
        <v>20000</v>
      </c>
    </row>
    <row r="1972" ht="16.5" spans="1:5">
      <c r="A1972" s="151">
        <v>1971</v>
      </c>
      <c r="B1972" s="152" t="s">
        <v>6645</v>
      </c>
      <c r="C1972" s="153" t="s">
        <v>16629</v>
      </c>
      <c r="D1972" s="154">
        <v>10</v>
      </c>
      <c r="E1972" s="155">
        <f>+D1972*100</f>
        <v>1000</v>
      </c>
    </row>
    <row r="1973" ht="16.5" spans="1:5">
      <c r="A1973" s="151">
        <v>1972</v>
      </c>
      <c r="B1973" s="152" t="s">
        <v>6649</v>
      </c>
      <c r="C1973" s="162" t="s">
        <v>16631</v>
      </c>
      <c r="D1973" s="163">
        <v>1000</v>
      </c>
      <c r="E1973" s="163">
        <f>D1973*100</f>
        <v>100000</v>
      </c>
    </row>
    <row r="1974" ht="16.5" spans="1:5">
      <c r="A1974" s="151">
        <v>1973</v>
      </c>
      <c r="B1974" s="152" t="s">
        <v>6654</v>
      </c>
      <c r="C1974" s="166" t="s">
        <v>16632</v>
      </c>
      <c r="D1974" s="166">
        <f>IFERROR(__xludf.DUMMYFUNCTION("""COMPUTED_VALUE"""),10000)</f>
        <v>10000</v>
      </c>
      <c r="E1974" s="168">
        <f>IFERROR(__xludf.DUMMYFUNCTION("""COMPUTED_VALUE"""),1500000)</f>
        <v>1500000</v>
      </c>
    </row>
    <row r="1975" ht="16.5" spans="1:5">
      <c r="A1975" s="151">
        <v>1974</v>
      </c>
      <c r="B1975" s="152" t="s">
        <v>6655</v>
      </c>
      <c r="C1975" s="160" t="s">
        <v>16630</v>
      </c>
      <c r="D1975" s="160">
        <v>100</v>
      </c>
      <c r="E1975" s="161">
        <f>SUM(D1975*100)</f>
        <v>10000</v>
      </c>
    </row>
    <row r="1976" ht="16.5" spans="1:5">
      <c r="A1976" s="151">
        <v>1975</v>
      </c>
      <c r="B1976" s="152" t="s">
        <v>6659</v>
      </c>
      <c r="C1976" s="153" t="s">
        <v>16629</v>
      </c>
      <c r="D1976" s="158">
        <v>10</v>
      </c>
      <c r="E1976" s="155">
        <f>+D1976*100</f>
        <v>1000</v>
      </c>
    </row>
    <row r="1977" ht="16.5" spans="1:5">
      <c r="A1977" s="151">
        <v>1976</v>
      </c>
      <c r="B1977" s="152" t="s">
        <v>6662</v>
      </c>
      <c r="C1977" s="156" t="s">
        <v>16629</v>
      </c>
      <c r="D1977" s="157">
        <v>20</v>
      </c>
      <c r="E1977" s="155">
        <f>+D1977*100</f>
        <v>2000</v>
      </c>
    </row>
    <row r="1978" ht="16.5" spans="1:5">
      <c r="A1978" s="151">
        <v>1977</v>
      </c>
      <c r="B1978" s="152" t="s">
        <v>6666</v>
      </c>
      <c r="C1978" s="160" t="s">
        <v>16630</v>
      </c>
      <c r="D1978" s="160">
        <v>400</v>
      </c>
      <c r="E1978" s="161">
        <f t="shared" ref="E1978:E1983" si="66">SUM(D1978*100)</f>
        <v>40000</v>
      </c>
    </row>
    <row r="1979" ht="16.5" spans="1:5">
      <c r="A1979" s="151">
        <v>1978</v>
      </c>
      <c r="B1979" s="152" t="s">
        <v>6670</v>
      </c>
      <c r="C1979" s="160" t="s">
        <v>16630</v>
      </c>
      <c r="D1979" s="160">
        <v>10</v>
      </c>
      <c r="E1979" s="161">
        <f t="shared" si="66"/>
        <v>1000</v>
      </c>
    </row>
    <row r="1980" ht="16.5" spans="1:5">
      <c r="A1980" s="151">
        <v>1979</v>
      </c>
      <c r="B1980" s="152" t="s">
        <v>6673</v>
      </c>
      <c r="C1980" s="160" t="s">
        <v>16630</v>
      </c>
      <c r="D1980" s="165">
        <v>80</v>
      </c>
      <c r="E1980" s="161">
        <f t="shared" si="66"/>
        <v>8000</v>
      </c>
    </row>
    <row r="1981" ht="16.5" spans="1:5">
      <c r="A1981" s="151">
        <v>1980</v>
      </c>
      <c r="B1981" s="152" t="s">
        <v>6676</v>
      </c>
      <c r="C1981" s="160" t="s">
        <v>16630</v>
      </c>
      <c r="D1981" s="160">
        <v>100</v>
      </c>
      <c r="E1981" s="161">
        <f t="shared" si="66"/>
        <v>10000</v>
      </c>
    </row>
    <row r="1982" ht="16.5" spans="1:5">
      <c r="A1982" s="151">
        <v>1981</v>
      </c>
      <c r="B1982" s="152" t="s">
        <v>6680</v>
      </c>
      <c r="C1982" s="160" t="s">
        <v>16630</v>
      </c>
      <c r="D1982" s="160">
        <v>20</v>
      </c>
      <c r="E1982" s="161">
        <f t="shared" si="66"/>
        <v>2000</v>
      </c>
    </row>
    <row r="1983" ht="16.5" spans="1:5">
      <c r="A1983" s="151">
        <v>1982</v>
      </c>
      <c r="B1983" s="152" t="s">
        <v>6684</v>
      </c>
      <c r="C1983" s="160" t="s">
        <v>16630</v>
      </c>
      <c r="D1983" s="160">
        <v>2000</v>
      </c>
      <c r="E1983" s="161">
        <f t="shared" si="66"/>
        <v>200000</v>
      </c>
    </row>
    <row r="1984" ht="16.5" spans="1:5">
      <c r="A1984" s="151">
        <v>1983</v>
      </c>
      <c r="B1984" s="152" t="s">
        <v>6688</v>
      </c>
      <c r="C1984" s="162" t="s">
        <v>16631</v>
      </c>
      <c r="D1984" s="163">
        <v>2000</v>
      </c>
      <c r="E1984" s="163">
        <f>D1984*100</f>
        <v>200000</v>
      </c>
    </row>
    <row r="1985" ht="16.5" spans="1:5">
      <c r="A1985" s="151">
        <v>1984</v>
      </c>
      <c r="B1985" s="152" t="s">
        <v>6691</v>
      </c>
      <c r="C1985" s="160" t="s">
        <v>16630</v>
      </c>
      <c r="D1985" s="160">
        <v>10</v>
      </c>
      <c r="E1985" s="161">
        <f>SUM(D1985*100)</f>
        <v>1000</v>
      </c>
    </row>
    <row r="1986" ht="16.5" spans="1:5">
      <c r="A1986" s="151">
        <v>1985</v>
      </c>
      <c r="B1986" s="152" t="s">
        <v>6694</v>
      </c>
      <c r="C1986" s="156" t="s">
        <v>16629</v>
      </c>
      <c r="D1986" s="159">
        <v>10</v>
      </c>
      <c r="E1986" s="155">
        <f>+D1986*100</f>
        <v>1000</v>
      </c>
    </row>
    <row r="1987" ht="16.5" spans="1:5">
      <c r="A1987" s="151">
        <v>1986</v>
      </c>
      <c r="B1987" s="152" t="s">
        <v>6697</v>
      </c>
      <c r="C1987" s="160" t="s">
        <v>16630</v>
      </c>
      <c r="D1987" s="160">
        <v>100</v>
      </c>
      <c r="E1987" s="161">
        <f>SUM(D1987*100)</f>
        <v>10000</v>
      </c>
    </row>
    <row r="1988" ht="16.5" spans="1:5">
      <c r="A1988" s="151">
        <v>1987</v>
      </c>
      <c r="B1988" s="152" t="s">
        <v>6700</v>
      </c>
      <c r="C1988" s="166" t="s">
        <v>16632</v>
      </c>
      <c r="D1988" s="166">
        <f>IFERROR(__xludf.DUMMYFUNCTION("""COMPUTED_VALUE"""),10000)</f>
        <v>10000</v>
      </c>
      <c r="E1988" s="168">
        <f>IFERROR(__xludf.DUMMYFUNCTION("""COMPUTED_VALUE"""),1500000)</f>
        <v>1500000</v>
      </c>
    </row>
    <row r="1989" ht="16.5" spans="1:5">
      <c r="A1989" s="151">
        <v>1988</v>
      </c>
      <c r="B1989" s="152" t="s">
        <v>6701</v>
      </c>
      <c r="C1989" s="160" t="s">
        <v>16630</v>
      </c>
      <c r="D1989" s="160">
        <v>100</v>
      </c>
      <c r="E1989" s="161">
        <f>SUM(D1989*100)</f>
        <v>10000</v>
      </c>
    </row>
    <row r="1990" ht="16.5" spans="1:5">
      <c r="A1990" s="151">
        <v>1989</v>
      </c>
      <c r="B1990" s="152" t="s">
        <v>6704</v>
      </c>
      <c r="C1990" s="160" t="s">
        <v>16630</v>
      </c>
      <c r="D1990" s="160">
        <v>100</v>
      </c>
      <c r="E1990" s="161">
        <f>SUM(D1990*100)</f>
        <v>10000</v>
      </c>
    </row>
    <row r="1991" ht="16.5" spans="1:5">
      <c r="A1991" s="151">
        <v>1990</v>
      </c>
      <c r="B1991" s="152" t="s">
        <v>6708</v>
      </c>
      <c r="C1991" s="160" t="s">
        <v>16630</v>
      </c>
      <c r="D1991" s="160">
        <v>1000</v>
      </c>
      <c r="E1991" s="161">
        <f>SUM(D1991*100)</f>
        <v>100000</v>
      </c>
    </row>
    <row r="1992" ht="16.5" spans="1:5">
      <c r="A1992" s="151">
        <v>1991</v>
      </c>
      <c r="B1992" s="152" t="s">
        <v>6712</v>
      </c>
      <c r="C1992" s="153" t="s">
        <v>16629</v>
      </c>
      <c r="D1992" s="158">
        <v>10</v>
      </c>
      <c r="E1992" s="155">
        <f>+D1992*100</f>
        <v>1000</v>
      </c>
    </row>
    <row r="1993" ht="16.5" spans="1:5">
      <c r="A1993" s="151">
        <v>1992</v>
      </c>
      <c r="B1993" s="152" t="s">
        <v>6715</v>
      </c>
      <c r="C1993" s="160" t="s">
        <v>16630</v>
      </c>
      <c r="D1993" s="160">
        <v>100</v>
      </c>
      <c r="E1993" s="161">
        <f>SUM(D1993*100)</f>
        <v>10000</v>
      </c>
    </row>
    <row r="1994" ht="16.5" spans="1:5">
      <c r="A1994" s="151">
        <v>1993</v>
      </c>
      <c r="B1994" s="152" t="s">
        <v>6719</v>
      </c>
      <c r="C1994" s="160" t="s">
        <v>16630</v>
      </c>
      <c r="D1994" s="160">
        <v>90</v>
      </c>
      <c r="E1994" s="161">
        <f>SUM(D1994*100)</f>
        <v>9000</v>
      </c>
    </row>
    <row r="1995" ht="16.5" spans="1:5">
      <c r="A1995" s="151">
        <v>1994</v>
      </c>
      <c r="B1995" s="152" t="s">
        <v>6722</v>
      </c>
      <c r="C1995" s="160" t="s">
        <v>16630</v>
      </c>
      <c r="D1995" s="165">
        <v>10</v>
      </c>
      <c r="E1995" s="161">
        <f>SUM(D1995*100)</f>
        <v>1000</v>
      </c>
    </row>
    <row r="1996" ht="16.5" spans="1:5">
      <c r="A1996" s="151">
        <v>1995</v>
      </c>
      <c r="B1996" s="152" t="s">
        <v>6725</v>
      </c>
      <c r="C1996" s="166" t="s">
        <v>16632</v>
      </c>
      <c r="D1996" s="166">
        <f>IFERROR(__xludf.DUMMYFUNCTION("""COMPUTED_VALUE"""),10000)</f>
        <v>10000</v>
      </c>
      <c r="E1996" s="168">
        <f>IFERROR(__xludf.DUMMYFUNCTION("""COMPUTED_VALUE"""),1500000)</f>
        <v>1500000</v>
      </c>
    </row>
    <row r="1997" ht="16.5" spans="1:5">
      <c r="A1997" s="151">
        <v>1996</v>
      </c>
      <c r="B1997" s="152" t="s">
        <v>6726</v>
      </c>
      <c r="C1997" s="160" t="s">
        <v>16630</v>
      </c>
      <c r="D1997" s="160">
        <v>200</v>
      </c>
      <c r="E1997" s="161">
        <f>SUM(D1997*100)</f>
        <v>20000</v>
      </c>
    </row>
    <row r="1998" ht="16.5" spans="1:5">
      <c r="A1998" s="151">
        <v>1997</v>
      </c>
      <c r="B1998" s="152" t="s">
        <v>6730</v>
      </c>
      <c r="C1998" s="160" t="s">
        <v>16630</v>
      </c>
      <c r="D1998" s="160">
        <v>400</v>
      </c>
      <c r="E1998" s="161">
        <f>SUM(D1998*100)</f>
        <v>40000</v>
      </c>
    </row>
    <row r="1999" ht="16.5" spans="1:5">
      <c r="A1999" s="151">
        <v>1998</v>
      </c>
      <c r="B1999" s="152" t="s">
        <v>6733</v>
      </c>
      <c r="C1999" s="162" t="s">
        <v>16631</v>
      </c>
      <c r="D1999" s="163">
        <v>1000</v>
      </c>
      <c r="E1999" s="163">
        <f>D1999*100</f>
        <v>100000</v>
      </c>
    </row>
    <row r="2000" ht="16.5" spans="1:5">
      <c r="A2000" s="151">
        <v>1999</v>
      </c>
      <c r="B2000" s="152" t="s">
        <v>6736</v>
      </c>
      <c r="C2000" s="160" t="s">
        <v>16630</v>
      </c>
      <c r="D2000" s="160">
        <v>500</v>
      </c>
      <c r="E2000" s="161">
        <f>SUM(D2000*100)</f>
        <v>50000</v>
      </c>
    </row>
    <row r="2001" ht="16.5" spans="1:5">
      <c r="A2001" s="151">
        <v>2000</v>
      </c>
      <c r="B2001" s="152" t="s">
        <v>6740</v>
      </c>
      <c r="C2001" s="160" t="s">
        <v>16630</v>
      </c>
      <c r="D2001" s="160">
        <v>20</v>
      </c>
      <c r="E2001" s="161">
        <f>SUM(D2001*100)</f>
        <v>2000</v>
      </c>
    </row>
    <row r="2002" ht="16.5" spans="1:5">
      <c r="A2002" s="151">
        <v>2001</v>
      </c>
      <c r="B2002" s="152" t="s">
        <v>6744</v>
      </c>
      <c r="C2002" s="162" t="s">
        <v>16631</v>
      </c>
      <c r="D2002" s="169">
        <v>1000</v>
      </c>
      <c r="E2002" s="170">
        <f>D2002*100</f>
        <v>100000</v>
      </c>
    </row>
    <row r="2003" ht="16.5" spans="1:5">
      <c r="A2003" s="151">
        <v>2002</v>
      </c>
      <c r="B2003" s="152" t="s">
        <v>6747</v>
      </c>
      <c r="C2003" s="160" t="s">
        <v>16630</v>
      </c>
      <c r="D2003" s="160">
        <v>100</v>
      </c>
      <c r="E2003" s="161">
        <f>SUM(D2003*100)</f>
        <v>10000</v>
      </c>
    </row>
    <row r="2004" ht="16.5" spans="1:5">
      <c r="A2004" s="151">
        <v>2003</v>
      </c>
      <c r="B2004" s="152" t="s">
        <v>6751</v>
      </c>
      <c r="C2004" s="160" t="s">
        <v>16630</v>
      </c>
      <c r="D2004" s="175">
        <v>200</v>
      </c>
      <c r="E2004" s="161">
        <f>SUM(D2004*100)</f>
        <v>20000</v>
      </c>
    </row>
    <row r="2005" ht="16.5" spans="1:5">
      <c r="A2005" s="151">
        <v>2004</v>
      </c>
      <c r="B2005" s="152" t="s">
        <v>6754</v>
      </c>
      <c r="C2005" s="162" t="s">
        <v>16631</v>
      </c>
      <c r="D2005" s="169">
        <v>2000</v>
      </c>
      <c r="E2005" s="170">
        <f>D2005*100</f>
        <v>200000</v>
      </c>
    </row>
    <row r="2006" ht="16.5" spans="1:5">
      <c r="A2006" s="151">
        <v>2005</v>
      </c>
      <c r="B2006" s="152" t="s">
        <v>6759</v>
      </c>
      <c r="C2006" s="160" t="s">
        <v>16630</v>
      </c>
      <c r="D2006" s="160">
        <v>40</v>
      </c>
      <c r="E2006" s="161">
        <f>SUM(D2006*100)</f>
        <v>4000</v>
      </c>
    </row>
    <row r="2007" ht="16.5" spans="1:5">
      <c r="A2007" s="151">
        <v>2006</v>
      </c>
      <c r="B2007" s="152" t="s">
        <v>6762</v>
      </c>
      <c r="C2007" s="160" t="s">
        <v>16630</v>
      </c>
      <c r="D2007" s="175">
        <v>400</v>
      </c>
      <c r="E2007" s="161">
        <f>SUM(D2007*100)</f>
        <v>40000</v>
      </c>
    </row>
    <row r="2008" ht="16.5" spans="1:5">
      <c r="A2008" s="151">
        <v>2007</v>
      </c>
      <c r="B2008" s="152" t="s">
        <v>6765</v>
      </c>
      <c r="C2008" s="156" t="s">
        <v>16629</v>
      </c>
      <c r="D2008" s="159">
        <v>10</v>
      </c>
      <c r="E2008" s="155">
        <f>SUM(D2008*100)</f>
        <v>1000</v>
      </c>
    </row>
    <row r="2009" ht="16.5" spans="1:5">
      <c r="A2009" s="151">
        <v>2008</v>
      </c>
      <c r="B2009" s="152" t="s">
        <v>6769</v>
      </c>
      <c r="C2009" s="160" t="s">
        <v>16630</v>
      </c>
      <c r="D2009" s="164">
        <v>1000</v>
      </c>
      <c r="E2009" s="161">
        <f>SUM(D2009*100)</f>
        <v>100000</v>
      </c>
    </row>
    <row r="2010" ht="16.5" spans="1:5">
      <c r="A2010" s="151">
        <v>2009</v>
      </c>
      <c r="B2010" s="152" t="s">
        <v>6772</v>
      </c>
      <c r="C2010" s="160" t="s">
        <v>16630</v>
      </c>
      <c r="D2010" s="164">
        <v>1000</v>
      </c>
      <c r="E2010" s="161">
        <f>SUM(D2010*100)</f>
        <v>100000</v>
      </c>
    </row>
    <row r="2011" ht="16.5" spans="1:5">
      <c r="A2011" s="151">
        <v>2010</v>
      </c>
      <c r="B2011" s="152" t="s">
        <v>6775</v>
      </c>
      <c r="C2011" s="156" t="s">
        <v>16629</v>
      </c>
      <c r="D2011" s="159">
        <v>10</v>
      </c>
      <c r="E2011" s="155">
        <f>+D2011*100</f>
        <v>1000</v>
      </c>
    </row>
    <row r="2012" ht="16.5" spans="1:5">
      <c r="A2012" s="151">
        <v>2011</v>
      </c>
      <c r="B2012" s="152" t="s">
        <v>6779</v>
      </c>
      <c r="C2012" s="160" t="s">
        <v>16630</v>
      </c>
      <c r="D2012" s="160">
        <v>100</v>
      </c>
      <c r="E2012" s="161">
        <f>SUM(D2012*100)</f>
        <v>10000</v>
      </c>
    </row>
    <row r="2013" ht="16.5" spans="1:5">
      <c r="A2013" s="151">
        <v>2012</v>
      </c>
      <c r="B2013" s="152" t="s">
        <v>6779</v>
      </c>
      <c r="C2013" s="160" t="s">
        <v>16630</v>
      </c>
      <c r="D2013" s="41">
        <v>400</v>
      </c>
      <c r="E2013" s="161">
        <f>SUM(D2013*100)</f>
        <v>40000</v>
      </c>
    </row>
    <row r="2014" ht="16.5" spans="1:5">
      <c r="A2014" s="151">
        <v>2013</v>
      </c>
      <c r="B2014" s="152" t="s">
        <v>6784</v>
      </c>
      <c r="C2014" s="162" t="s">
        <v>16631</v>
      </c>
      <c r="D2014" s="163">
        <v>1000</v>
      </c>
      <c r="E2014" s="163">
        <f>D2014*100</f>
        <v>100000</v>
      </c>
    </row>
    <row r="2015" ht="16.5" spans="1:5">
      <c r="A2015" s="151">
        <v>2014</v>
      </c>
      <c r="B2015" s="152" t="s">
        <v>6784</v>
      </c>
      <c r="C2015" s="162" t="s">
        <v>16633</v>
      </c>
      <c r="D2015" s="171">
        <f>G2015/100</f>
        <v>0</v>
      </c>
      <c r="E2015" s="171">
        <f>G2015</f>
        <v>0</v>
      </c>
    </row>
    <row r="2016" ht="16.5" spans="1:5">
      <c r="A2016" s="151">
        <v>2015</v>
      </c>
      <c r="B2016" s="152" t="s">
        <v>6788</v>
      </c>
      <c r="C2016" s="160" t="s">
        <v>16630</v>
      </c>
      <c r="D2016" s="160">
        <v>100</v>
      </c>
      <c r="E2016" s="161">
        <f>SUM(D2016*100)</f>
        <v>10000</v>
      </c>
    </row>
    <row r="2017" ht="16.5" spans="1:5">
      <c r="A2017" s="151">
        <v>2016</v>
      </c>
      <c r="B2017" s="152" t="s">
        <v>6791</v>
      </c>
      <c r="C2017" s="160" t="s">
        <v>16630</v>
      </c>
      <c r="D2017" s="160">
        <v>100</v>
      </c>
      <c r="E2017" s="161">
        <f>SUM(D2017*100)</f>
        <v>10000</v>
      </c>
    </row>
    <row r="2018" ht="16.5" spans="1:5">
      <c r="A2018" s="151">
        <v>2017</v>
      </c>
      <c r="B2018" s="152" t="s">
        <v>6795</v>
      </c>
      <c r="C2018" s="160" t="s">
        <v>16630</v>
      </c>
      <c r="D2018" s="160">
        <v>500</v>
      </c>
      <c r="E2018" s="161">
        <f>SUM(D2018*100)</f>
        <v>50000</v>
      </c>
    </row>
    <row r="2019" ht="16.5" spans="1:5">
      <c r="A2019" s="151">
        <v>2018</v>
      </c>
      <c r="B2019" s="152" t="s">
        <v>6799</v>
      </c>
      <c r="C2019" s="166" t="s">
        <v>16632</v>
      </c>
      <c r="D2019" s="151">
        <f>IFERROR(__xludf.DUMMYFUNCTION("""COMPUTED_VALUE"""),10000)</f>
        <v>10000</v>
      </c>
      <c r="E2019" s="167">
        <f>IFERROR(__xludf.DUMMYFUNCTION("""COMPUTED_VALUE"""),1500000)</f>
        <v>1500000</v>
      </c>
    </row>
    <row r="2020" ht="16.5" spans="1:5">
      <c r="A2020" s="151">
        <v>2019</v>
      </c>
      <c r="B2020" s="152" t="s">
        <v>6800</v>
      </c>
      <c r="C2020" s="160" t="s">
        <v>16630</v>
      </c>
      <c r="D2020" s="160">
        <v>100</v>
      </c>
      <c r="E2020" s="161">
        <f>SUM(D2020*100)</f>
        <v>10000</v>
      </c>
    </row>
    <row r="2021" ht="16.5" spans="1:5">
      <c r="A2021" s="151">
        <v>2020</v>
      </c>
      <c r="B2021" s="152" t="s">
        <v>6804</v>
      </c>
      <c r="C2021" s="162" t="s">
        <v>16631</v>
      </c>
      <c r="D2021" s="169">
        <v>1000</v>
      </c>
      <c r="E2021" s="170">
        <f>D2021*100</f>
        <v>100000</v>
      </c>
    </row>
    <row r="2022" ht="16.5" spans="1:5">
      <c r="A2022" s="151">
        <v>2021</v>
      </c>
      <c r="B2022" s="152" t="s">
        <v>6808</v>
      </c>
      <c r="C2022" s="162" t="s">
        <v>16631</v>
      </c>
      <c r="D2022" s="163">
        <v>1000</v>
      </c>
      <c r="E2022" s="163">
        <f>D2022*100</f>
        <v>100000</v>
      </c>
    </row>
    <row r="2023" ht="16.5" spans="1:5">
      <c r="A2023" s="151">
        <v>2022</v>
      </c>
      <c r="B2023" s="152" t="s">
        <v>6813</v>
      </c>
      <c r="C2023" s="160" t="s">
        <v>16630</v>
      </c>
      <c r="D2023" s="160">
        <v>20</v>
      </c>
      <c r="E2023" s="161">
        <f>SUM(D2023*100)</f>
        <v>2000</v>
      </c>
    </row>
    <row r="2024" ht="16.5" spans="1:5">
      <c r="A2024" s="151">
        <v>2023</v>
      </c>
      <c r="B2024" s="152" t="s">
        <v>6816</v>
      </c>
      <c r="C2024" s="160" t="s">
        <v>16630</v>
      </c>
      <c r="D2024" s="41">
        <v>40</v>
      </c>
      <c r="E2024" s="161">
        <f>SUM(D2024*100)</f>
        <v>4000</v>
      </c>
    </row>
    <row r="2025" ht="16.5" spans="1:5">
      <c r="A2025" s="151">
        <v>2024</v>
      </c>
      <c r="B2025" s="152" t="s">
        <v>6819</v>
      </c>
      <c r="C2025" s="166" t="s">
        <v>16632</v>
      </c>
      <c r="D2025" s="166">
        <f>IFERROR(__xludf.DUMMYFUNCTION("""COMPUTED_VALUE"""),10000)</f>
        <v>10000</v>
      </c>
      <c r="E2025" s="168">
        <f>IFERROR(__xludf.DUMMYFUNCTION("""COMPUTED_VALUE"""),1500000)</f>
        <v>1500000</v>
      </c>
    </row>
    <row r="2026" ht="16.5" spans="1:5">
      <c r="A2026" s="151">
        <v>2025</v>
      </c>
      <c r="B2026" s="152" t="s">
        <v>6820</v>
      </c>
      <c r="C2026" s="160" t="s">
        <v>16630</v>
      </c>
      <c r="D2026" s="160">
        <v>10</v>
      </c>
      <c r="E2026" s="161">
        <f>SUM(D2026*100)</f>
        <v>1000</v>
      </c>
    </row>
    <row r="2027" ht="16.5" spans="1:5">
      <c r="A2027" s="151">
        <v>2026</v>
      </c>
      <c r="B2027" s="152" t="s">
        <v>6824</v>
      </c>
      <c r="C2027" s="153" t="s">
        <v>16629</v>
      </c>
      <c r="D2027" s="154">
        <v>10</v>
      </c>
      <c r="E2027" s="155">
        <f>+D2027*100</f>
        <v>1000</v>
      </c>
    </row>
    <row r="2028" ht="16.5" spans="1:5">
      <c r="A2028" s="151">
        <v>2027</v>
      </c>
      <c r="B2028" s="152" t="s">
        <v>6828</v>
      </c>
      <c r="C2028" s="156" t="s">
        <v>16629</v>
      </c>
      <c r="D2028" s="157">
        <v>10</v>
      </c>
      <c r="E2028" s="155">
        <f>+D2028*100</f>
        <v>1000</v>
      </c>
    </row>
    <row r="2029" ht="16.5" spans="1:5">
      <c r="A2029" s="151">
        <v>2028</v>
      </c>
      <c r="B2029" s="152" t="s">
        <v>6831</v>
      </c>
      <c r="C2029" s="153" t="s">
        <v>16629</v>
      </c>
      <c r="D2029" s="154">
        <v>10</v>
      </c>
      <c r="E2029" s="155">
        <f>+D2029*100</f>
        <v>1000</v>
      </c>
    </row>
    <row r="2030" ht="16.5" spans="1:5">
      <c r="A2030" s="151">
        <v>2029</v>
      </c>
      <c r="B2030" s="152" t="s">
        <v>6834</v>
      </c>
      <c r="C2030" s="160" t="s">
        <v>16630</v>
      </c>
      <c r="D2030" s="160">
        <v>100</v>
      </c>
      <c r="E2030" s="161">
        <f>SUM(D2030*100)</f>
        <v>10000</v>
      </c>
    </row>
    <row r="2031" ht="16.5" spans="1:5">
      <c r="A2031" s="151">
        <v>2030</v>
      </c>
      <c r="B2031" s="152" t="s">
        <v>6837</v>
      </c>
      <c r="C2031" s="156" t="s">
        <v>16629</v>
      </c>
      <c r="D2031" s="159">
        <v>10</v>
      </c>
      <c r="E2031" s="155">
        <f>+D2031*100</f>
        <v>1000</v>
      </c>
    </row>
    <row r="2032" ht="16.5" spans="1:5">
      <c r="A2032" s="151">
        <v>2031</v>
      </c>
      <c r="B2032" s="152" t="s">
        <v>6840</v>
      </c>
      <c r="C2032" s="156" t="s">
        <v>16629</v>
      </c>
      <c r="D2032" s="159">
        <v>10</v>
      </c>
      <c r="E2032" s="155">
        <f>+D2032*100</f>
        <v>1000</v>
      </c>
    </row>
    <row r="2033" ht="16.5" spans="1:5">
      <c r="A2033" s="151">
        <v>2032</v>
      </c>
      <c r="B2033" s="152" t="s">
        <v>6844</v>
      </c>
      <c r="C2033" s="153" t="s">
        <v>16629</v>
      </c>
      <c r="D2033" s="154">
        <v>10</v>
      </c>
      <c r="E2033" s="155">
        <f>+D2033*100</f>
        <v>1000</v>
      </c>
    </row>
    <row r="2034" ht="16.5" spans="1:5">
      <c r="A2034" s="151">
        <v>2033</v>
      </c>
      <c r="B2034" s="152" t="s">
        <v>6847</v>
      </c>
      <c r="C2034" s="160" t="s">
        <v>16630</v>
      </c>
      <c r="D2034" s="160">
        <v>100</v>
      </c>
      <c r="E2034" s="161">
        <f>SUM(D2034*100)</f>
        <v>10000</v>
      </c>
    </row>
    <row r="2035" ht="16.5" spans="1:5">
      <c r="A2035" s="151">
        <v>2034</v>
      </c>
      <c r="B2035" s="152" t="s">
        <v>6850</v>
      </c>
      <c r="C2035" s="156" t="s">
        <v>16629</v>
      </c>
      <c r="D2035" s="159">
        <v>10</v>
      </c>
      <c r="E2035" s="155">
        <f t="shared" ref="E2035:E2043" si="67">+D2035*100</f>
        <v>1000</v>
      </c>
    </row>
    <row r="2036" ht="16.5" spans="1:5">
      <c r="A2036" s="151">
        <v>2035</v>
      </c>
      <c r="B2036" s="152" t="s">
        <v>6853</v>
      </c>
      <c r="C2036" s="156" t="s">
        <v>16629</v>
      </c>
      <c r="D2036" s="159">
        <v>10</v>
      </c>
      <c r="E2036" s="155">
        <f t="shared" si="67"/>
        <v>1000</v>
      </c>
    </row>
    <row r="2037" ht="16.5" spans="1:5">
      <c r="A2037" s="151">
        <v>2036</v>
      </c>
      <c r="B2037" s="152" t="s">
        <v>6856</v>
      </c>
      <c r="C2037" s="153" t="s">
        <v>16629</v>
      </c>
      <c r="D2037" s="154">
        <v>10</v>
      </c>
      <c r="E2037" s="155">
        <f t="shared" si="67"/>
        <v>1000</v>
      </c>
    </row>
    <row r="2038" ht="16.5" spans="1:5">
      <c r="A2038" s="151">
        <v>2037</v>
      </c>
      <c r="B2038" s="152" t="s">
        <v>6860</v>
      </c>
      <c r="C2038" s="156" t="s">
        <v>16629</v>
      </c>
      <c r="D2038" s="159">
        <v>10</v>
      </c>
      <c r="E2038" s="155">
        <f t="shared" si="67"/>
        <v>1000</v>
      </c>
    </row>
    <row r="2039" ht="16.5" spans="1:5">
      <c r="A2039" s="151">
        <v>2038</v>
      </c>
      <c r="B2039" s="152" t="s">
        <v>6863</v>
      </c>
      <c r="C2039" s="153" t="s">
        <v>16629</v>
      </c>
      <c r="D2039" s="154">
        <v>10</v>
      </c>
      <c r="E2039" s="155">
        <f t="shared" si="67"/>
        <v>1000</v>
      </c>
    </row>
    <row r="2040" ht="16.5" spans="1:5">
      <c r="A2040" s="151">
        <v>2039</v>
      </c>
      <c r="B2040" s="152" t="s">
        <v>6866</v>
      </c>
      <c r="C2040" s="153" t="s">
        <v>16629</v>
      </c>
      <c r="D2040" s="158">
        <v>10</v>
      </c>
      <c r="E2040" s="155">
        <f t="shared" si="67"/>
        <v>1000</v>
      </c>
    </row>
    <row r="2041" ht="16.5" spans="1:5">
      <c r="A2041" s="151">
        <v>2040</v>
      </c>
      <c r="B2041" s="152" t="s">
        <v>6869</v>
      </c>
      <c r="C2041" s="156" t="s">
        <v>16629</v>
      </c>
      <c r="D2041" s="159">
        <v>10</v>
      </c>
      <c r="E2041" s="155">
        <f t="shared" si="67"/>
        <v>1000</v>
      </c>
    </row>
    <row r="2042" ht="16.5" spans="1:5">
      <c r="A2042" s="151">
        <v>2041</v>
      </c>
      <c r="B2042" s="152" t="s">
        <v>6872</v>
      </c>
      <c r="C2042" s="153" t="s">
        <v>16629</v>
      </c>
      <c r="D2042" s="154">
        <v>10</v>
      </c>
      <c r="E2042" s="155">
        <f t="shared" si="67"/>
        <v>1000</v>
      </c>
    </row>
    <row r="2043" ht="16.5" spans="1:5">
      <c r="A2043" s="151">
        <v>2042</v>
      </c>
      <c r="B2043" s="152" t="s">
        <v>6876</v>
      </c>
      <c r="C2043" s="156" t="s">
        <v>16629</v>
      </c>
      <c r="D2043" s="159">
        <v>10</v>
      </c>
      <c r="E2043" s="155">
        <f t="shared" si="67"/>
        <v>1000</v>
      </c>
    </row>
    <row r="2044" ht="16.5" spans="1:5">
      <c r="A2044" s="151">
        <v>2043</v>
      </c>
      <c r="B2044" s="152" t="s">
        <v>6880</v>
      </c>
      <c r="C2044" s="160" t="s">
        <v>16630</v>
      </c>
      <c r="D2044" s="160">
        <v>20</v>
      </c>
      <c r="E2044" s="161">
        <f>SUM(D2044*100)</f>
        <v>2000</v>
      </c>
    </row>
    <row r="2045" ht="16.5" spans="1:5">
      <c r="A2045" s="151">
        <v>2044</v>
      </c>
      <c r="B2045" s="152" t="s">
        <v>6883</v>
      </c>
      <c r="C2045" s="153" t="s">
        <v>16629</v>
      </c>
      <c r="D2045" s="154">
        <v>10</v>
      </c>
      <c r="E2045" s="155">
        <f>+D2045*100</f>
        <v>1000</v>
      </c>
    </row>
    <row r="2046" ht="16.5" spans="1:5">
      <c r="A2046" s="151">
        <v>2045</v>
      </c>
      <c r="B2046" s="152" t="s">
        <v>6886</v>
      </c>
      <c r="C2046" s="156" t="s">
        <v>16629</v>
      </c>
      <c r="D2046" s="159">
        <v>10</v>
      </c>
      <c r="E2046" s="155">
        <f>+D2046*100</f>
        <v>1000</v>
      </c>
    </row>
    <row r="2047" ht="16.5" spans="1:5">
      <c r="A2047" s="151">
        <v>2046</v>
      </c>
      <c r="B2047" s="152" t="s">
        <v>6890</v>
      </c>
      <c r="C2047" s="153" t="s">
        <v>16629</v>
      </c>
      <c r="D2047" s="158">
        <v>10</v>
      </c>
      <c r="E2047" s="155">
        <f>+D2047*100</f>
        <v>1000</v>
      </c>
    </row>
    <row r="2048" ht="16.5" spans="1:5">
      <c r="A2048" s="151">
        <v>2047</v>
      </c>
      <c r="B2048" s="152" t="s">
        <v>6893</v>
      </c>
      <c r="C2048" s="162" t="s">
        <v>16631</v>
      </c>
      <c r="D2048" s="163">
        <v>2000</v>
      </c>
      <c r="E2048" s="163">
        <f>D2048*100</f>
        <v>200000</v>
      </c>
    </row>
    <row r="2049" ht="16.5" spans="1:5">
      <c r="A2049" s="151">
        <v>2048</v>
      </c>
      <c r="B2049" s="152" t="s">
        <v>6898</v>
      </c>
      <c r="C2049" s="153" t="s">
        <v>16629</v>
      </c>
      <c r="D2049" s="154">
        <v>10</v>
      </c>
      <c r="E2049" s="155">
        <f t="shared" ref="E2049:E2054" si="68">+D2049*100</f>
        <v>1000</v>
      </c>
    </row>
    <row r="2050" ht="16.5" spans="1:5">
      <c r="A2050" s="151">
        <v>2049</v>
      </c>
      <c r="B2050" s="152" t="s">
        <v>6902</v>
      </c>
      <c r="C2050" s="156" t="s">
        <v>16629</v>
      </c>
      <c r="D2050" s="159">
        <v>10</v>
      </c>
      <c r="E2050" s="155">
        <f t="shared" si="68"/>
        <v>1000</v>
      </c>
    </row>
    <row r="2051" ht="16.5" spans="1:5">
      <c r="A2051" s="151">
        <v>2050</v>
      </c>
      <c r="B2051" s="152" t="s">
        <v>6905</v>
      </c>
      <c r="C2051" s="156" t="s">
        <v>16629</v>
      </c>
      <c r="D2051" s="157">
        <v>10</v>
      </c>
      <c r="E2051" s="155">
        <f t="shared" si="68"/>
        <v>1000</v>
      </c>
    </row>
    <row r="2052" ht="16.5" spans="1:5">
      <c r="A2052" s="151">
        <v>2051</v>
      </c>
      <c r="B2052" s="152" t="s">
        <v>6909</v>
      </c>
      <c r="C2052" s="153" t="s">
        <v>16629</v>
      </c>
      <c r="D2052" s="154">
        <v>10</v>
      </c>
      <c r="E2052" s="155">
        <f t="shared" si="68"/>
        <v>1000</v>
      </c>
    </row>
    <row r="2053" ht="16.5" spans="1:5">
      <c r="A2053" s="151">
        <v>2052</v>
      </c>
      <c r="B2053" s="152" t="s">
        <v>6912</v>
      </c>
      <c r="C2053" s="156" t="s">
        <v>16629</v>
      </c>
      <c r="D2053" s="159">
        <v>10</v>
      </c>
      <c r="E2053" s="155">
        <f t="shared" si="68"/>
        <v>1000</v>
      </c>
    </row>
    <row r="2054" ht="16.5" spans="1:5">
      <c r="A2054" s="151">
        <v>2053</v>
      </c>
      <c r="B2054" s="152" t="s">
        <v>6915</v>
      </c>
      <c r="C2054" s="153" t="s">
        <v>16629</v>
      </c>
      <c r="D2054" s="154">
        <v>10</v>
      </c>
      <c r="E2054" s="155">
        <f t="shared" si="68"/>
        <v>1000</v>
      </c>
    </row>
    <row r="2055" ht="16.5" spans="1:5">
      <c r="A2055" s="151">
        <v>2054</v>
      </c>
      <c r="B2055" s="152" t="s">
        <v>6918</v>
      </c>
      <c r="C2055" s="160" t="s">
        <v>16630</v>
      </c>
      <c r="D2055" s="160">
        <v>70</v>
      </c>
      <c r="E2055" s="161">
        <f>SUM(D2055*100)</f>
        <v>7000</v>
      </c>
    </row>
    <row r="2056" ht="16.5" spans="1:5">
      <c r="A2056" s="151">
        <v>2055</v>
      </c>
      <c r="B2056" s="152" t="s">
        <v>6922</v>
      </c>
      <c r="C2056" s="153" t="s">
        <v>16629</v>
      </c>
      <c r="D2056" s="158">
        <v>10</v>
      </c>
      <c r="E2056" s="155">
        <f t="shared" ref="E2056:E2062" si="69">+D2056*100</f>
        <v>1000</v>
      </c>
    </row>
    <row r="2057" ht="16.5" spans="1:5">
      <c r="A2057" s="151">
        <v>2056</v>
      </c>
      <c r="B2057" s="152" t="s">
        <v>6925</v>
      </c>
      <c r="C2057" s="153" t="s">
        <v>16629</v>
      </c>
      <c r="D2057" s="154">
        <v>10</v>
      </c>
      <c r="E2057" s="155">
        <f t="shared" si="69"/>
        <v>1000</v>
      </c>
    </row>
    <row r="2058" ht="16.5" spans="1:5">
      <c r="A2058" s="151">
        <v>2057</v>
      </c>
      <c r="B2058" s="152" t="s">
        <v>6928</v>
      </c>
      <c r="C2058" s="153" t="s">
        <v>16629</v>
      </c>
      <c r="D2058" s="154">
        <v>20</v>
      </c>
      <c r="E2058" s="155">
        <f t="shared" si="69"/>
        <v>2000</v>
      </c>
    </row>
    <row r="2059" ht="16.5" spans="1:5">
      <c r="A2059" s="151">
        <v>2058</v>
      </c>
      <c r="B2059" s="152" t="s">
        <v>6932</v>
      </c>
      <c r="C2059" s="156" t="s">
        <v>16629</v>
      </c>
      <c r="D2059" s="157">
        <v>10</v>
      </c>
      <c r="E2059" s="155">
        <f t="shared" si="69"/>
        <v>1000</v>
      </c>
    </row>
    <row r="2060" ht="16.5" spans="1:5">
      <c r="A2060" s="151">
        <v>2059</v>
      </c>
      <c r="B2060" s="152" t="s">
        <v>6936</v>
      </c>
      <c r="C2060" s="153" t="s">
        <v>16629</v>
      </c>
      <c r="D2060" s="158">
        <v>10</v>
      </c>
      <c r="E2060" s="155">
        <f t="shared" si="69"/>
        <v>1000</v>
      </c>
    </row>
    <row r="2061" ht="16.5" spans="1:5">
      <c r="A2061" s="151">
        <v>2060</v>
      </c>
      <c r="B2061" s="152" t="s">
        <v>6939</v>
      </c>
      <c r="C2061" s="156" t="s">
        <v>16629</v>
      </c>
      <c r="D2061" s="157">
        <v>10</v>
      </c>
      <c r="E2061" s="155">
        <f t="shared" si="69"/>
        <v>1000</v>
      </c>
    </row>
    <row r="2062" ht="16.5" spans="1:5">
      <c r="A2062" s="151">
        <v>2061</v>
      </c>
      <c r="B2062" s="152" t="s">
        <v>6942</v>
      </c>
      <c r="C2062" s="153" t="s">
        <v>16629</v>
      </c>
      <c r="D2062" s="154">
        <v>10</v>
      </c>
      <c r="E2062" s="155">
        <f t="shared" si="69"/>
        <v>1000</v>
      </c>
    </row>
    <row r="2063" ht="16.5" spans="1:5">
      <c r="A2063" s="151">
        <v>2062</v>
      </c>
      <c r="B2063" s="152" t="s">
        <v>6945</v>
      </c>
      <c r="C2063" s="162" t="s">
        <v>16631</v>
      </c>
      <c r="D2063" s="163">
        <v>1000</v>
      </c>
      <c r="E2063" s="163">
        <f>D2063*100</f>
        <v>100000</v>
      </c>
    </row>
    <row r="2064" ht="16.5" spans="1:5">
      <c r="A2064" s="151">
        <v>2063</v>
      </c>
      <c r="B2064" s="152" t="s">
        <v>6949</v>
      </c>
      <c r="C2064" s="160" t="s">
        <v>16630</v>
      </c>
      <c r="D2064" s="175">
        <v>10</v>
      </c>
      <c r="E2064" s="161">
        <f>SUM(D2064*100)</f>
        <v>1000</v>
      </c>
    </row>
    <row r="2065" ht="16.5" spans="1:5">
      <c r="A2065" s="151">
        <v>2064</v>
      </c>
      <c r="B2065" s="152" t="s">
        <v>6952</v>
      </c>
      <c r="C2065" s="156" t="s">
        <v>16629</v>
      </c>
      <c r="D2065" s="159">
        <v>10</v>
      </c>
      <c r="E2065" s="155">
        <f>+D2065*100</f>
        <v>1000</v>
      </c>
    </row>
    <row r="2066" ht="16.5" spans="1:5">
      <c r="A2066" s="151">
        <v>2065</v>
      </c>
      <c r="B2066" s="152" t="s">
        <v>6955</v>
      </c>
      <c r="C2066" s="160" t="s">
        <v>16630</v>
      </c>
      <c r="D2066" s="160">
        <v>500</v>
      </c>
      <c r="E2066" s="161">
        <f>SUM(D2066*100)</f>
        <v>50000</v>
      </c>
    </row>
    <row r="2067" ht="16.5" spans="1:5">
      <c r="A2067" s="151">
        <v>2066</v>
      </c>
      <c r="B2067" s="152" t="s">
        <v>6958</v>
      </c>
      <c r="C2067" s="153" t="s">
        <v>16629</v>
      </c>
      <c r="D2067" s="158">
        <v>10</v>
      </c>
      <c r="E2067" s="155">
        <f t="shared" ref="E2067:E2077" si="70">+D2067*100</f>
        <v>1000</v>
      </c>
    </row>
    <row r="2068" ht="16.5" spans="1:5">
      <c r="A2068" s="151">
        <v>2067</v>
      </c>
      <c r="B2068" s="152" t="s">
        <v>6961</v>
      </c>
      <c r="C2068" s="153" t="s">
        <v>16629</v>
      </c>
      <c r="D2068" s="158">
        <v>10</v>
      </c>
      <c r="E2068" s="155">
        <f t="shared" si="70"/>
        <v>1000</v>
      </c>
    </row>
    <row r="2069" ht="16.5" spans="1:5">
      <c r="A2069" s="151">
        <v>2068</v>
      </c>
      <c r="B2069" s="152" t="s">
        <v>6964</v>
      </c>
      <c r="C2069" s="156" t="s">
        <v>16629</v>
      </c>
      <c r="D2069" s="157">
        <v>10</v>
      </c>
      <c r="E2069" s="155">
        <f t="shared" si="70"/>
        <v>1000</v>
      </c>
    </row>
    <row r="2070" ht="16.5" spans="1:5">
      <c r="A2070" s="151">
        <v>2069</v>
      </c>
      <c r="B2070" s="152" t="s">
        <v>6967</v>
      </c>
      <c r="C2070" s="153" t="s">
        <v>16629</v>
      </c>
      <c r="D2070" s="158">
        <v>10</v>
      </c>
      <c r="E2070" s="155">
        <f t="shared" si="70"/>
        <v>1000</v>
      </c>
    </row>
    <row r="2071" ht="16.5" spans="1:5">
      <c r="A2071" s="151">
        <v>2070</v>
      </c>
      <c r="B2071" s="152" t="s">
        <v>6970</v>
      </c>
      <c r="C2071" s="153" t="s">
        <v>16629</v>
      </c>
      <c r="D2071" s="158">
        <v>10</v>
      </c>
      <c r="E2071" s="155">
        <f t="shared" si="70"/>
        <v>1000</v>
      </c>
    </row>
    <row r="2072" ht="16.5" spans="1:5">
      <c r="A2072" s="151">
        <v>2071</v>
      </c>
      <c r="B2072" s="152" t="s">
        <v>6973</v>
      </c>
      <c r="C2072" s="153" t="s">
        <v>16629</v>
      </c>
      <c r="D2072" s="154">
        <v>10</v>
      </c>
      <c r="E2072" s="155">
        <f t="shared" si="70"/>
        <v>1000</v>
      </c>
    </row>
    <row r="2073" ht="16.5" spans="1:5">
      <c r="A2073" s="151">
        <v>2072</v>
      </c>
      <c r="B2073" s="152" t="s">
        <v>6976</v>
      </c>
      <c r="C2073" s="153" t="s">
        <v>16629</v>
      </c>
      <c r="D2073" s="154">
        <v>10</v>
      </c>
      <c r="E2073" s="155">
        <f t="shared" si="70"/>
        <v>1000</v>
      </c>
    </row>
    <row r="2074" ht="16.5" spans="1:5">
      <c r="A2074" s="151">
        <v>2073</v>
      </c>
      <c r="B2074" s="152" t="s">
        <v>6979</v>
      </c>
      <c r="C2074" s="153" t="s">
        <v>16629</v>
      </c>
      <c r="D2074" s="154">
        <v>10</v>
      </c>
      <c r="E2074" s="155">
        <f t="shared" si="70"/>
        <v>1000</v>
      </c>
    </row>
    <row r="2075" ht="16.5" spans="1:5">
      <c r="A2075" s="151">
        <v>2074</v>
      </c>
      <c r="B2075" s="152" t="s">
        <v>6983</v>
      </c>
      <c r="C2075" s="153" t="s">
        <v>16629</v>
      </c>
      <c r="D2075" s="154">
        <v>10</v>
      </c>
      <c r="E2075" s="155">
        <f t="shared" si="70"/>
        <v>1000</v>
      </c>
    </row>
    <row r="2076" ht="16.5" spans="1:5">
      <c r="A2076" s="151">
        <v>2075</v>
      </c>
      <c r="B2076" s="152" t="s">
        <v>6986</v>
      </c>
      <c r="C2076" s="156" t="s">
        <v>16629</v>
      </c>
      <c r="D2076" s="157">
        <v>10</v>
      </c>
      <c r="E2076" s="155">
        <f t="shared" si="70"/>
        <v>1000</v>
      </c>
    </row>
    <row r="2077" ht="16.5" spans="1:5">
      <c r="A2077" s="151">
        <v>2076</v>
      </c>
      <c r="B2077" s="152" t="s">
        <v>6989</v>
      </c>
      <c r="C2077" s="156" t="s">
        <v>16629</v>
      </c>
      <c r="D2077" s="157">
        <v>10</v>
      </c>
      <c r="E2077" s="155">
        <f t="shared" si="70"/>
        <v>1000</v>
      </c>
    </row>
    <row r="2078" ht="16.5" spans="1:5">
      <c r="A2078" s="151">
        <v>2077</v>
      </c>
      <c r="B2078" s="152" t="s">
        <v>6992</v>
      </c>
      <c r="C2078" s="160" t="s">
        <v>16630</v>
      </c>
      <c r="D2078" s="41">
        <v>20</v>
      </c>
      <c r="E2078" s="161">
        <f>SUM(D2078*100)</f>
        <v>2000</v>
      </c>
    </row>
    <row r="2079" ht="16.5" spans="1:5">
      <c r="A2079" s="151">
        <v>2078</v>
      </c>
      <c r="B2079" s="152" t="s">
        <v>6995</v>
      </c>
      <c r="C2079" s="153" t="s">
        <v>16629</v>
      </c>
      <c r="D2079" s="154">
        <v>10</v>
      </c>
      <c r="E2079" s="155">
        <f>+D2079*100</f>
        <v>1000</v>
      </c>
    </row>
    <row r="2080" ht="16.5" spans="1:5">
      <c r="A2080" s="151">
        <v>2079</v>
      </c>
      <c r="B2080" s="152" t="s">
        <v>6999</v>
      </c>
      <c r="C2080" s="160" t="s">
        <v>16630</v>
      </c>
      <c r="D2080" s="160">
        <v>5000</v>
      </c>
      <c r="E2080" s="161">
        <f>SUM(D2080*10)</f>
        <v>50000</v>
      </c>
    </row>
    <row r="2081" ht="16.5" spans="1:5">
      <c r="A2081" s="151">
        <v>2080</v>
      </c>
      <c r="B2081" s="152" t="s">
        <v>7003</v>
      </c>
      <c r="C2081" s="153" t="s">
        <v>16629</v>
      </c>
      <c r="D2081" s="154">
        <v>10</v>
      </c>
      <c r="E2081" s="155">
        <f>+D2081*100</f>
        <v>1000</v>
      </c>
    </row>
    <row r="2082" ht="16.5" spans="1:5">
      <c r="A2082" s="151">
        <v>2081</v>
      </c>
      <c r="B2082" s="152" t="s">
        <v>7006</v>
      </c>
      <c r="C2082" s="156" t="s">
        <v>16629</v>
      </c>
      <c r="D2082" s="159">
        <v>10</v>
      </c>
      <c r="E2082" s="155">
        <f>+D2082*100</f>
        <v>1000</v>
      </c>
    </row>
    <row r="2083" ht="16.5" spans="1:5">
      <c r="A2083" s="151">
        <v>2082</v>
      </c>
      <c r="B2083" s="152" t="s">
        <v>7009</v>
      </c>
      <c r="C2083" s="162" t="s">
        <v>16633</v>
      </c>
      <c r="D2083" s="171">
        <f>G2083/100</f>
        <v>0</v>
      </c>
      <c r="E2083" s="171">
        <f>G2083</f>
        <v>0</v>
      </c>
    </row>
    <row r="2084" ht="16.5" spans="1:5">
      <c r="A2084" s="151">
        <v>2083</v>
      </c>
      <c r="B2084" s="152" t="s">
        <v>7013</v>
      </c>
      <c r="C2084" s="162" t="s">
        <v>16631</v>
      </c>
      <c r="D2084" s="163">
        <v>1000</v>
      </c>
      <c r="E2084" s="163">
        <f>D2084*100</f>
        <v>100000</v>
      </c>
    </row>
    <row r="2085" ht="16.5" spans="1:5">
      <c r="A2085" s="151">
        <v>2084</v>
      </c>
      <c r="B2085" s="152" t="s">
        <v>7016</v>
      </c>
      <c r="C2085" s="156" t="s">
        <v>16629</v>
      </c>
      <c r="D2085" s="157">
        <v>10</v>
      </c>
      <c r="E2085" s="155">
        <f t="shared" ref="E2085:E2092" si="71">+D2085*100</f>
        <v>1000</v>
      </c>
    </row>
    <row r="2086" ht="16.5" spans="1:5">
      <c r="A2086" s="151">
        <v>2085</v>
      </c>
      <c r="B2086" s="152" t="s">
        <v>7019</v>
      </c>
      <c r="C2086" s="156" t="s">
        <v>16629</v>
      </c>
      <c r="D2086" s="159">
        <v>10</v>
      </c>
      <c r="E2086" s="155">
        <f t="shared" si="71"/>
        <v>1000</v>
      </c>
    </row>
    <row r="2087" ht="16.5" spans="1:5">
      <c r="A2087" s="151">
        <v>2086</v>
      </c>
      <c r="B2087" s="152" t="s">
        <v>7022</v>
      </c>
      <c r="C2087" s="156" t="s">
        <v>16629</v>
      </c>
      <c r="D2087" s="159">
        <v>10</v>
      </c>
      <c r="E2087" s="155">
        <f t="shared" si="71"/>
        <v>1000</v>
      </c>
    </row>
    <row r="2088" ht="16.5" spans="1:5">
      <c r="A2088" s="151">
        <v>2087</v>
      </c>
      <c r="B2088" s="152" t="s">
        <v>7026</v>
      </c>
      <c r="C2088" s="153" t="s">
        <v>16629</v>
      </c>
      <c r="D2088" s="154">
        <v>10</v>
      </c>
      <c r="E2088" s="155">
        <f t="shared" si="71"/>
        <v>1000</v>
      </c>
    </row>
    <row r="2089" ht="16.5" spans="1:5">
      <c r="A2089" s="151">
        <v>2088</v>
      </c>
      <c r="B2089" s="152" t="s">
        <v>7029</v>
      </c>
      <c r="C2089" s="156" t="s">
        <v>16629</v>
      </c>
      <c r="D2089" s="159">
        <v>10</v>
      </c>
      <c r="E2089" s="155">
        <f t="shared" si="71"/>
        <v>1000</v>
      </c>
    </row>
    <row r="2090" ht="16.5" spans="1:5">
      <c r="A2090" s="151">
        <v>2089</v>
      </c>
      <c r="B2090" s="152" t="s">
        <v>7033</v>
      </c>
      <c r="C2090" s="153" t="s">
        <v>16629</v>
      </c>
      <c r="D2090" s="154">
        <v>10</v>
      </c>
      <c r="E2090" s="155">
        <f t="shared" si="71"/>
        <v>1000</v>
      </c>
    </row>
    <row r="2091" ht="16.5" spans="1:5">
      <c r="A2091" s="151">
        <v>2090</v>
      </c>
      <c r="B2091" s="152" t="s">
        <v>7036</v>
      </c>
      <c r="C2091" s="156" t="s">
        <v>16629</v>
      </c>
      <c r="D2091" s="159">
        <v>10</v>
      </c>
      <c r="E2091" s="155">
        <f t="shared" si="71"/>
        <v>1000</v>
      </c>
    </row>
    <row r="2092" ht="16.5" spans="1:5">
      <c r="A2092" s="151">
        <v>2091</v>
      </c>
      <c r="B2092" s="152" t="s">
        <v>7039</v>
      </c>
      <c r="C2092" s="156" t="s">
        <v>16629</v>
      </c>
      <c r="D2092" s="159">
        <v>10</v>
      </c>
      <c r="E2092" s="155">
        <f t="shared" si="71"/>
        <v>1000</v>
      </c>
    </row>
    <row r="2093" ht="16.5" spans="1:5">
      <c r="A2093" s="151">
        <v>2092</v>
      </c>
      <c r="B2093" s="152" t="s">
        <v>7042</v>
      </c>
      <c r="C2093" s="166" t="s">
        <v>16632</v>
      </c>
      <c r="D2093" s="151">
        <f>IFERROR(__xludf.DUMMYFUNCTION("""COMPUTED_VALUE"""),10000)</f>
        <v>10000</v>
      </c>
      <c r="E2093" s="167">
        <f>IFERROR(__xludf.DUMMYFUNCTION("""COMPUTED_VALUE"""),1500000)</f>
        <v>1500000</v>
      </c>
    </row>
    <row r="2094" ht="16.5" spans="1:5">
      <c r="A2094" s="151">
        <v>2093</v>
      </c>
      <c r="B2094" s="152" t="s">
        <v>7042</v>
      </c>
      <c r="C2094" s="166" t="s">
        <v>16632</v>
      </c>
      <c r="D2094" s="151">
        <f>IFERROR(__xludf.DUMMYFUNCTION("""COMPUTED_VALUE"""),10000)</f>
        <v>10000</v>
      </c>
      <c r="E2094" s="167">
        <f>IFERROR(__xludf.DUMMYFUNCTION("""COMPUTED_VALUE"""),1500000)</f>
        <v>1500000</v>
      </c>
    </row>
    <row r="2095" ht="16.5" spans="1:5">
      <c r="A2095" s="151">
        <v>2094</v>
      </c>
      <c r="B2095" s="152" t="s">
        <v>7042</v>
      </c>
      <c r="C2095" s="166" t="s">
        <v>16632</v>
      </c>
      <c r="D2095" s="181">
        <f>1014900/100</f>
        <v>10149</v>
      </c>
      <c r="E2095" s="45">
        <v>3500000</v>
      </c>
    </row>
    <row r="2096" ht="16.5" spans="1:5">
      <c r="A2096" s="151">
        <v>2095</v>
      </c>
      <c r="B2096" s="152" t="s">
        <v>7042</v>
      </c>
      <c r="C2096" s="166" t="s">
        <v>16632</v>
      </c>
      <c r="D2096" s="176">
        <v>10000</v>
      </c>
      <c r="E2096" s="45">
        <v>3500000</v>
      </c>
    </row>
    <row r="2097" ht="16.5" spans="1:5">
      <c r="A2097" s="151">
        <v>2096</v>
      </c>
      <c r="B2097" s="152" t="s">
        <v>7047</v>
      </c>
      <c r="C2097" s="160" t="s">
        <v>16630</v>
      </c>
      <c r="D2097" s="160">
        <v>500</v>
      </c>
      <c r="E2097" s="161">
        <f>SUM(D2097*100)</f>
        <v>50000</v>
      </c>
    </row>
    <row r="2098" ht="16.5" spans="1:5">
      <c r="A2098" s="151">
        <v>2097</v>
      </c>
      <c r="B2098" s="152" t="s">
        <v>7051</v>
      </c>
      <c r="C2098" s="153" t="s">
        <v>16629</v>
      </c>
      <c r="D2098" s="154">
        <v>10</v>
      </c>
      <c r="E2098" s="155">
        <f>SUM(D2098*100)</f>
        <v>1000</v>
      </c>
    </row>
    <row r="2099" ht="16.5" spans="1:5">
      <c r="A2099" s="151">
        <v>2098</v>
      </c>
      <c r="B2099" s="152" t="s">
        <v>7054</v>
      </c>
      <c r="C2099" s="153" t="s">
        <v>16629</v>
      </c>
      <c r="D2099" s="154">
        <v>10</v>
      </c>
      <c r="E2099" s="155">
        <f>+D2099*100</f>
        <v>1000</v>
      </c>
    </row>
    <row r="2100" ht="16.5" spans="1:5">
      <c r="A2100" s="151">
        <v>2099</v>
      </c>
      <c r="B2100" s="152" t="s">
        <v>7057</v>
      </c>
      <c r="C2100" s="153" t="s">
        <v>16629</v>
      </c>
      <c r="D2100" s="158">
        <v>10</v>
      </c>
      <c r="E2100" s="155">
        <f>+D2100*100</f>
        <v>1000</v>
      </c>
    </row>
    <row r="2101" ht="16.5" spans="1:5">
      <c r="A2101" s="151">
        <v>2100</v>
      </c>
      <c r="B2101" s="152" t="s">
        <v>7060</v>
      </c>
      <c r="C2101" s="153" t="s">
        <v>16629</v>
      </c>
      <c r="D2101" s="154">
        <v>10</v>
      </c>
      <c r="E2101" s="155">
        <f>+D2101*100</f>
        <v>1000</v>
      </c>
    </row>
    <row r="2102" ht="16.5" spans="1:5">
      <c r="A2102" s="151">
        <v>2101</v>
      </c>
      <c r="B2102" s="152" t="s">
        <v>7064</v>
      </c>
      <c r="C2102" s="153" t="s">
        <v>16629</v>
      </c>
      <c r="D2102" s="154">
        <v>10</v>
      </c>
      <c r="E2102" s="155">
        <f>+D2102*100</f>
        <v>1000</v>
      </c>
    </row>
    <row r="2103" ht="16.5" spans="1:5">
      <c r="A2103" s="151">
        <v>2102</v>
      </c>
      <c r="B2103" s="152" t="s">
        <v>7068</v>
      </c>
      <c r="C2103" s="160" t="s">
        <v>16630</v>
      </c>
      <c r="D2103" s="160">
        <v>50</v>
      </c>
      <c r="E2103" s="161">
        <f>SUM(D2103*100)</f>
        <v>5000</v>
      </c>
    </row>
    <row r="2104" ht="16.5" spans="1:5">
      <c r="A2104" s="151">
        <v>2103</v>
      </c>
      <c r="B2104" s="152" t="s">
        <v>7072</v>
      </c>
      <c r="C2104" s="156" t="s">
        <v>16629</v>
      </c>
      <c r="D2104" s="159">
        <v>10</v>
      </c>
      <c r="E2104" s="155">
        <f>+D2104*100</f>
        <v>1000</v>
      </c>
    </row>
    <row r="2105" ht="16.5" spans="1:5">
      <c r="A2105" s="151">
        <v>2104</v>
      </c>
      <c r="B2105" s="152" t="s">
        <v>7075</v>
      </c>
      <c r="C2105" s="160" t="s">
        <v>16630</v>
      </c>
      <c r="D2105" s="160">
        <v>100</v>
      </c>
      <c r="E2105" s="161">
        <f>SUM(D2105*100)</f>
        <v>10000</v>
      </c>
    </row>
    <row r="2106" ht="16.5" spans="1:5">
      <c r="A2106" s="151">
        <v>2105</v>
      </c>
      <c r="B2106" s="152" t="s">
        <v>7079</v>
      </c>
      <c r="C2106" s="156" t="s">
        <v>16629</v>
      </c>
      <c r="D2106" s="157">
        <v>10</v>
      </c>
      <c r="E2106" s="155">
        <f>+D2106*100</f>
        <v>1000</v>
      </c>
    </row>
    <row r="2107" ht="16.5" spans="1:5">
      <c r="A2107" s="151">
        <v>2106</v>
      </c>
      <c r="B2107" s="152" t="s">
        <v>7083</v>
      </c>
      <c r="C2107" s="160" t="s">
        <v>16630</v>
      </c>
      <c r="D2107" s="160">
        <v>200</v>
      </c>
      <c r="E2107" s="161">
        <f>SUM(D2107*100)</f>
        <v>20000</v>
      </c>
    </row>
    <row r="2108" ht="16.5" spans="1:5">
      <c r="A2108" s="151">
        <v>2107</v>
      </c>
      <c r="B2108" s="152" t="s">
        <v>7086</v>
      </c>
      <c r="C2108" s="160" t="s">
        <v>16630</v>
      </c>
      <c r="D2108" s="160">
        <v>100</v>
      </c>
      <c r="E2108" s="161">
        <f>SUM(D2108*100)</f>
        <v>10000</v>
      </c>
    </row>
    <row r="2109" ht="16.5" spans="1:5">
      <c r="A2109" s="151">
        <v>2108</v>
      </c>
      <c r="B2109" s="152" t="s">
        <v>7090</v>
      </c>
      <c r="C2109" s="160" t="s">
        <v>16630</v>
      </c>
      <c r="D2109" s="160">
        <v>100</v>
      </c>
      <c r="E2109" s="161">
        <f>SUM(D2109*100)</f>
        <v>10000</v>
      </c>
    </row>
    <row r="2110" ht="16.5" spans="1:5">
      <c r="A2110" s="151">
        <v>2109</v>
      </c>
      <c r="B2110" s="152" t="s">
        <v>7094</v>
      </c>
      <c r="C2110" s="153" t="s">
        <v>16629</v>
      </c>
      <c r="D2110" s="158">
        <v>10</v>
      </c>
      <c r="E2110" s="155">
        <f>+D2110*100</f>
        <v>1000</v>
      </c>
    </row>
    <row r="2111" ht="16.5" spans="1:5">
      <c r="A2111" s="151">
        <v>2110</v>
      </c>
      <c r="B2111" s="152" t="s">
        <v>7097</v>
      </c>
      <c r="C2111" s="160" t="s">
        <v>16630</v>
      </c>
      <c r="D2111" s="160">
        <v>100</v>
      </c>
      <c r="E2111" s="161">
        <f>SUM(D2111*100)</f>
        <v>10000</v>
      </c>
    </row>
    <row r="2112" ht="16.5" spans="1:5">
      <c r="A2112" s="151">
        <v>2111</v>
      </c>
      <c r="B2112" s="152" t="s">
        <v>7101</v>
      </c>
      <c r="C2112" s="160" t="s">
        <v>16630</v>
      </c>
      <c r="D2112" s="160">
        <v>6000</v>
      </c>
      <c r="E2112" s="161">
        <f>SUM(D2112*10)</f>
        <v>60000</v>
      </c>
    </row>
    <row r="2113" ht="16.5" spans="1:5">
      <c r="A2113" s="151">
        <v>2112</v>
      </c>
      <c r="B2113" s="152" t="s">
        <v>7106</v>
      </c>
      <c r="C2113" s="160" t="s">
        <v>16630</v>
      </c>
      <c r="D2113" s="160">
        <v>102</v>
      </c>
      <c r="E2113" s="161">
        <f>SUM(D2113*100)</f>
        <v>10200</v>
      </c>
    </row>
    <row r="2114" ht="16.5" spans="1:5">
      <c r="A2114" s="151">
        <v>2113</v>
      </c>
      <c r="B2114" s="152" t="s">
        <v>7109</v>
      </c>
      <c r="C2114" s="160" t="s">
        <v>16630</v>
      </c>
      <c r="D2114" s="160">
        <v>20</v>
      </c>
      <c r="E2114" s="161">
        <f>SUM(D2114*100)</f>
        <v>2000</v>
      </c>
    </row>
    <row r="2115" ht="16.5" spans="1:5">
      <c r="A2115" s="151">
        <v>2114</v>
      </c>
      <c r="B2115" s="152" t="s">
        <v>7112</v>
      </c>
      <c r="C2115" s="166" t="s">
        <v>16632</v>
      </c>
      <c r="D2115" s="166">
        <f>IFERROR(__xludf.DUMMYFUNCTION("""COMPUTED_VALUE"""),10000)</f>
        <v>10000</v>
      </c>
      <c r="E2115" s="168">
        <f>IFERROR(__xludf.DUMMYFUNCTION("""COMPUTED_VALUE"""),1500000)</f>
        <v>1500000</v>
      </c>
    </row>
    <row r="2116" ht="16.5" spans="1:5">
      <c r="A2116" s="151">
        <v>2115</v>
      </c>
      <c r="B2116" s="152" t="s">
        <v>7112</v>
      </c>
      <c r="C2116" s="166" t="s">
        <v>16632</v>
      </c>
      <c r="D2116" s="166">
        <f>IFERROR(__xludf.DUMMYFUNCTION("""COMPUTED_VALUE"""),10000)</f>
        <v>10000</v>
      </c>
      <c r="E2116" s="168">
        <f>IFERROR(__xludf.DUMMYFUNCTION("""COMPUTED_VALUE"""),1500000)</f>
        <v>1500000</v>
      </c>
    </row>
    <row r="2117" ht="16.5" spans="1:5">
      <c r="A2117" s="151">
        <v>2116</v>
      </c>
      <c r="B2117" s="152" t="s">
        <v>7113</v>
      </c>
      <c r="C2117" s="160" t="s">
        <v>16630</v>
      </c>
      <c r="D2117" s="160">
        <v>500</v>
      </c>
      <c r="E2117" s="161">
        <f>SUM(D2117*100)</f>
        <v>50000</v>
      </c>
    </row>
    <row r="2118" ht="16.5" spans="1:5">
      <c r="A2118" s="151">
        <v>2117</v>
      </c>
      <c r="B2118" s="152" t="s">
        <v>7117</v>
      </c>
      <c r="C2118" s="160" t="s">
        <v>16630</v>
      </c>
      <c r="D2118" s="160">
        <v>10</v>
      </c>
      <c r="E2118" s="161">
        <f>SUM(D2118*100)</f>
        <v>1000</v>
      </c>
    </row>
    <row r="2119" ht="16.5" spans="1:5">
      <c r="A2119" s="151">
        <v>2118</v>
      </c>
      <c r="B2119" s="152" t="s">
        <v>7121</v>
      </c>
      <c r="C2119" s="153" t="s">
        <v>16629</v>
      </c>
      <c r="D2119" s="158">
        <v>20</v>
      </c>
      <c r="E2119" s="155">
        <f>+D2119*100</f>
        <v>2000</v>
      </c>
    </row>
    <row r="2120" ht="16.5" spans="1:5">
      <c r="A2120" s="151">
        <v>2119</v>
      </c>
      <c r="B2120" s="152" t="s">
        <v>7124</v>
      </c>
      <c r="C2120" s="166" t="s">
        <v>16632</v>
      </c>
      <c r="D2120" s="151">
        <f>IFERROR(__xludf.DUMMYFUNCTION("""COMPUTED_VALUE"""),15000)</f>
        <v>15000</v>
      </c>
      <c r="E2120" s="167">
        <f>IFERROR(__xludf.DUMMYFUNCTION("""COMPUTED_VALUE"""),1500000)</f>
        <v>1500000</v>
      </c>
    </row>
    <row r="2121" ht="16.5" spans="1:5">
      <c r="A2121" s="151">
        <v>2120</v>
      </c>
      <c r="B2121" s="152" t="s">
        <v>7125</v>
      </c>
      <c r="C2121" s="160" t="s">
        <v>16630</v>
      </c>
      <c r="D2121" s="160">
        <v>100</v>
      </c>
      <c r="E2121" s="161">
        <f>SUM(D2121*100)</f>
        <v>10000</v>
      </c>
    </row>
    <row r="2122" ht="16.5" spans="1:5">
      <c r="A2122" s="151">
        <v>2121</v>
      </c>
      <c r="B2122" s="152" t="s">
        <v>7129</v>
      </c>
      <c r="C2122" s="162" t="s">
        <v>16631</v>
      </c>
      <c r="D2122" s="163">
        <v>1000</v>
      </c>
      <c r="E2122" s="163">
        <f>D2122*100</f>
        <v>100000</v>
      </c>
    </row>
    <row r="2123" ht="16.5" spans="1:5">
      <c r="A2123" s="151">
        <v>2122</v>
      </c>
      <c r="B2123" s="152" t="s">
        <v>7134</v>
      </c>
      <c r="C2123" s="162" t="s">
        <v>16631</v>
      </c>
      <c r="D2123" s="163">
        <v>1000</v>
      </c>
      <c r="E2123" s="163">
        <f>D2123*100</f>
        <v>100000</v>
      </c>
    </row>
    <row r="2124" ht="16.5" spans="1:5">
      <c r="A2124" s="151">
        <v>2123</v>
      </c>
      <c r="B2124" s="152" t="s">
        <v>7138</v>
      </c>
      <c r="C2124" s="160" t="s">
        <v>16630</v>
      </c>
      <c r="D2124" s="41">
        <v>500</v>
      </c>
      <c r="E2124" s="161">
        <f>SUM(D2124*100)</f>
        <v>50000</v>
      </c>
    </row>
    <row r="2125" ht="16.5" spans="1:5">
      <c r="A2125" s="151">
        <v>2124</v>
      </c>
      <c r="B2125" s="152" t="s">
        <v>7141</v>
      </c>
      <c r="C2125" s="162" t="s">
        <v>16631</v>
      </c>
      <c r="D2125" s="163">
        <v>1000</v>
      </c>
      <c r="E2125" s="163">
        <f>D2125*100</f>
        <v>100000</v>
      </c>
    </row>
    <row r="2126" ht="16.5" spans="1:5">
      <c r="A2126" s="151">
        <v>2125</v>
      </c>
      <c r="B2126" s="152" t="s">
        <v>7144</v>
      </c>
      <c r="C2126" s="162" t="s">
        <v>16631</v>
      </c>
      <c r="D2126" s="169">
        <v>10000</v>
      </c>
      <c r="E2126" s="170">
        <f>D2126*100</f>
        <v>1000000</v>
      </c>
    </row>
    <row r="2127" ht="16.5" spans="1:5">
      <c r="A2127" s="151">
        <v>2126</v>
      </c>
      <c r="B2127" s="152" t="s">
        <v>7149</v>
      </c>
      <c r="C2127" s="156" t="s">
        <v>16629</v>
      </c>
      <c r="D2127" s="157">
        <v>10</v>
      </c>
      <c r="E2127" s="155">
        <f>+D2127*100</f>
        <v>1000</v>
      </c>
    </row>
    <row r="2128" ht="16.5" spans="1:5">
      <c r="A2128" s="151">
        <v>2127</v>
      </c>
      <c r="B2128" s="152" t="s">
        <v>7154</v>
      </c>
      <c r="C2128" s="160" t="s">
        <v>16630</v>
      </c>
      <c r="D2128" s="160">
        <v>10</v>
      </c>
      <c r="E2128" s="161">
        <f>SUM(D2128*100)</f>
        <v>1000</v>
      </c>
    </row>
    <row r="2129" ht="16.5" spans="1:5">
      <c r="A2129" s="151">
        <v>2128</v>
      </c>
      <c r="B2129" s="152" t="s">
        <v>7157</v>
      </c>
      <c r="C2129" s="153" t="s">
        <v>16629</v>
      </c>
      <c r="D2129" s="158">
        <v>10</v>
      </c>
      <c r="E2129" s="155">
        <f>+D2129*100</f>
        <v>1000</v>
      </c>
    </row>
    <row r="2130" ht="16.5" spans="1:5">
      <c r="A2130" s="151">
        <v>2129</v>
      </c>
      <c r="B2130" s="152" t="s">
        <v>7160</v>
      </c>
      <c r="C2130" s="156" t="s">
        <v>16629</v>
      </c>
      <c r="D2130" s="159">
        <v>10</v>
      </c>
      <c r="E2130" s="155">
        <f>+D2130*100</f>
        <v>1000</v>
      </c>
    </row>
    <row r="2131" ht="16.5" spans="1:5">
      <c r="A2131" s="151">
        <v>2130</v>
      </c>
      <c r="B2131" s="152" t="s">
        <v>7163</v>
      </c>
      <c r="C2131" s="162" t="s">
        <v>16631</v>
      </c>
      <c r="D2131" s="163">
        <v>1000</v>
      </c>
      <c r="E2131" s="163">
        <f>D2131*100</f>
        <v>100000</v>
      </c>
    </row>
    <row r="2132" ht="16.5" spans="1:5">
      <c r="A2132" s="151">
        <v>2131</v>
      </c>
      <c r="B2132" s="152" t="s">
        <v>7167</v>
      </c>
      <c r="C2132" s="160" t="s">
        <v>16630</v>
      </c>
      <c r="D2132" s="164">
        <v>10</v>
      </c>
      <c r="E2132" s="161">
        <f>SUM(D2132*100)</f>
        <v>1000</v>
      </c>
    </row>
    <row r="2133" ht="16.5" spans="1:5">
      <c r="A2133" s="151">
        <v>2132</v>
      </c>
      <c r="B2133" s="152" t="s">
        <v>7170</v>
      </c>
      <c r="C2133" s="160" t="s">
        <v>16630</v>
      </c>
      <c r="D2133" s="165">
        <v>110</v>
      </c>
      <c r="E2133" s="161">
        <f>SUM(D2133*100)</f>
        <v>11000</v>
      </c>
    </row>
    <row r="2134" ht="16.5" spans="1:5">
      <c r="A2134" s="151">
        <v>2133</v>
      </c>
      <c r="B2134" s="152" t="s">
        <v>7173</v>
      </c>
      <c r="C2134" s="160" t="s">
        <v>16630</v>
      </c>
      <c r="D2134" s="164">
        <v>30</v>
      </c>
      <c r="E2134" s="161">
        <f>SUM(D2134*100)</f>
        <v>3000</v>
      </c>
    </row>
    <row r="2135" ht="16.5" spans="1:5">
      <c r="A2135" s="151">
        <v>2134</v>
      </c>
      <c r="B2135" s="152" t="s">
        <v>7176</v>
      </c>
      <c r="C2135" s="160" t="s">
        <v>16630</v>
      </c>
      <c r="D2135" s="160">
        <v>250</v>
      </c>
      <c r="E2135" s="161">
        <f>SUM(D2135*100)</f>
        <v>25000</v>
      </c>
    </row>
    <row r="2136" ht="16.5" spans="1:5">
      <c r="A2136" s="151">
        <v>2135</v>
      </c>
      <c r="B2136" s="152" t="s">
        <v>7181</v>
      </c>
      <c r="C2136" s="153" t="s">
        <v>16629</v>
      </c>
      <c r="D2136" s="154">
        <v>10</v>
      </c>
      <c r="E2136" s="155">
        <f>+D2136*100</f>
        <v>1000</v>
      </c>
    </row>
    <row r="2137" ht="16.5" spans="1:5">
      <c r="A2137" s="151">
        <v>2136</v>
      </c>
      <c r="B2137" s="152" t="s">
        <v>7184</v>
      </c>
      <c r="C2137" s="166" t="s">
        <v>16632</v>
      </c>
      <c r="D2137" s="166">
        <f>IFERROR(__xludf.DUMMYFUNCTION("""COMPUTED_VALUE"""),15000)</f>
        <v>15000</v>
      </c>
      <c r="E2137" s="168">
        <f>IFERROR(__xludf.DUMMYFUNCTION("""COMPUTED_VALUE"""),1500000)</f>
        <v>1500000</v>
      </c>
    </row>
    <row r="2138" ht="16.5" spans="1:5">
      <c r="A2138" s="151">
        <v>2137</v>
      </c>
      <c r="B2138" s="152" t="s">
        <v>7184</v>
      </c>
      <c r="C2138" s="166" t="s">
        <v>16632</v>
      </c>
      <c r="D2138" s="166">
        <f>IFERROR(__xludf.DUMMYFUNCTION("""COMPUTED_VALUE"""),15000)</f>
        <v>15000</v>
      </c>
      <c r="E2138" s="168">
        <f>IFERROR(__xludf.DUMMYFUNCTION("""COMPUTED_VALUE"""),1500000)</f>
        <v>1500000</v>
      </c>
    </row>
    <row r="2139" ht="16.5" spans="1:5">
      <c r="A2139" s="151">
        <v>2138</v>
      </c>
      <c r="B2139" s="152" t="s">
        <v>7185</v>
      </c>
      <c r="C2139" s="160" t="s">
        <v>16630</v>
      </c>
      <c r="D2139" s="160">
        <v>15</v>
      </c>
      <c r="E2139" s="161">
        <f>SUM(D2139*100)</f>
        <v>1500</v>
      </c>
    </row>
    <row r="2140" ht="16.5" spans="1:5">
      <c r="A2140" s="151">
        <v>2139</v>
      </c>
      <c r="B2140" s="152" t="s">
        <v>7190</v>
      </c>
      <c r="C2140" s="153" t="s">
        <v>16629</v>
      </c>
      <c r="D2140" s="158">
        <v>10</v>
      </c>
      <c r="E2140" s="155">
        <f>+D2140*100</f>
        <v>1000</v>
      </c>
    </row>
    <row r="2141" ht="16.5" spans="1:5">
      <c r="A2141" s="151">
        <v>2140</v>
      </c>
      <c r="B2141" s="152" t="s">
        <v>7193</v>
      </c>
      <c r="C2141" s="153" t="s">
        <v>16629</v>
      </c>
      <c r="D2141" s="154">
        <v>10</v>
      </c>
      <c r="E2141" s="155">
        <f>SUM(D2141*100)</f>
        <v>1000</v>
      </c>
    </row>
    <row r="2142" ht="16.5" spans="1:5">
      <c r="A2142" s="151">
        <v>2141</v>
      </c>
      <c r="B2142" s="152" t="s">
        <v>7197</v>
      </c>
      <c r="C2142" s="160" t="s">
        <v>16630</v>
      </c>
      <c r="D2142" s="41">
        <v>100</v>
      </c>
      <c r="E2142" s="161">
        <f>SUM(D2142*100)</f>
        <v>10000</v>
      </c>
    </row>
    <row r="2143" ht="16.5" spans="1:5">
      <c r="A2143" s="151">
        <v>2142</v>
      </c>
      <c r="B2143" s="152" t="s">
        <v>7200</v>
      </c>
      <c r="C2143" s="166" t="s">
        <v>16632</v>
      </c>
      <c r="D2143" s="166">
        <f>IFERROR(__xludf.DUMMYFUNCTION("""COMPUTED_VALUE"""),10000)</f>
        <v>10000</v>
      </c>
      <c r="E2143" s="168">
        <f>IFERROR(__xludf.DUMMYFUNCTION("""COMPUTED_VALUE"""),1500000)</f>
        <v>1500000</v>
      </c>
    </row>
    <row r="2144" ht="16.5" spans="1:5">
      <c r="A2144" s="151">
        <v>2143</v>
      </c>
      <c r="B2144" s="152" t="s">
        <v>7203</v>
      </c>
      <c r="C2144" s="166" t="s">
        <v>16632</v>
      </c>
      <c r="D2144" s="176">
        <v>2000</v>
      </c>
      <c r="E2144" s="45">
        <v>3500000</v>
      </c>
    </row>
    <row r="2145" ht="16.5" spans="1:5">
      <c r="A2145" s="151">
        <v>2144</v>
      </c>
      <c r="B2145" s="152" t="s">
        <v>7206</v>
      </c>
      <c r="C2145" s="160" t="s">
        <v>16630</v>
      </c>
      <c r="D2145" s="160">
        <v>1000</v>
      </c>
      <c r="E2145" s="161">
        <f>SUM(D2145*100)</f>
        <v>100000</v>
      </c>
    </row>
    <row r="2146" ht="16.5" spans="1:5">
      <c r="A2146" s="151">
        <v>2145</v>
      </c>
      <c r="B2146" s="152" t="s">
        <v>7209</v>
      </c>
      <c r="C2146" s="166" t="s">
        <v>16632</v>
      </c>
      <c r="D2146" s="166">
        <f>IFERROR(__xludf.DUMMYFUNCTION("""COMPUTED_VALUE"""),10000)</f>
        <v>10000</v>
      </c>
      <c r="E2146" s="168">
        <f>IFERROR(__xludf.DUMMYFUNCTION("""COMPUTED_VALUE"""),1500000)</f>
        <v>1500000</v>
      </c>
    </row>
    <row r="2147" ht="16.5" spans="1:5">
      <c r="A2147" s="151">
        <v>2146</v>
      </c>
      <c r="B2147" s="152" t="s">
        <v>7210</v>
      </c>
      <c r="C2147" s="156" t="s">
        <v>16629</v>
      </c>
      <c r="D2147" s="159">
        <v>10</v>
      </c>
      <c r="E2147" s="155">
        <f>+D2147*100</f>
        <v>1000</v>
      </c>
    </row>
    <row r="2148" ht="16.5" spans="1:5">
      <c r="A2148" s="151">
        <v>2147</v>
      </c>
      <c r="B2148" s="152" t="s">
        <v>7214</v>
      </c>
      <c r="C2148" s="160" t="s">
        <v>16630</v>
      </c>
      <c r="D2148" s="160">
        <v>10</v>
      </c>
      <c r="E2148" s="161">
        <f>SUM(D2148*100)</f>
        <v>1000</v>
      </c>
    </row>
    <row r="2149" ht="16.5" spans="1:5">
      <c r="A2149" s="151">
        <v>2148</v>
      </c>
      <c r="B2149" s="152" t="s">
        <v>7219</v>
      </c>
      <c r="C2149" s="166" t="s">
        <v>16632</v>
      </c>
      <c r="D2149" s="166">
        <f>IFERROR(__xludf.DUMMYFUNCTION("""COMPUTED_VALUE"""),10000)</f>
        <v>10000</v>
      </c>
      <c r="E2149" s="168">
        <f>IFERROR(__xludf.DUMMYFUNCTION("""COMPUTED_VALUE"""),1500000)</f>
        <v>1500000</v>
      </c>
    </row>
    <row r="2150" ht="16.5" spans="1:5">
      <c r="A2150" s="151">
        <v>2149</v>
      </c>
      <c r="B2150" s="152" t="s">
        <v>7220</v>
      </c>
      <c r="C2150" s="153" t="s">
        <v>16629</v>
      </c>
      <c r="D2150" s="158">
        <v>10</v>
      </c>
      <c r="E2150" s="155">
        <f>+D2150*100</f>
        <v>1000</v>
      </c>
    </row>
    <row r="2151" ht="16.5" spans="1:5">
      <c r="A2151" s="151">
        <v>2150</v>
      </c>
      <c r="B2151" s="152" t="s">
        <v>7223</v>
      </c>
      <c r="C2151" s="156" t="s">
        <v>16629</v>
      </c>
      <c r="D2151" s="159">
        <v>10</v>
      </c>
      <c r="E2151" s="155">
        <f>+D2151*100</f>
        <v>1000</v>
      </c>
    </row>
    <row r="2152" ht="16.5" spans="1:5">
      <c r="A2152" s="151">
        <v>2151</v>
      </c>
      <c r="B2152" s="152" t="s">
        <v>7227</v>
      </c>
      <c r="C2152" s="153" t="s">
        <v>16629</v>
      </c>
      <c r="D2152" s="154">
        <v>10</v>
      </c>
      <c r="E2152" s="155">
        <f>+D2152*100</f>
        <v>1000</v>
      </c>
    </row>
    <row r="2153" ht="16.5" spans="1:5">
      <c r="A2153" s="151">
        <v>2152</v>
      </c>
      <c r="B2153" s="152" t="s">
        <v>7230</v>
      </c>
      <c r="C2153" s="156" t="s">
        <v>16629</v>
      </c>
      <c r="D2153" s="159">
        <v>10</v>
      </c>
      <c r="E2153" s="155">
        <f>+D2153*100</f>
        <v>1000</v>
      </c>
    </row>
    <row r="2154" ht="16.5" spans="1:5">
      <c r="A2154" s="151">
        <v>2153</v>
      </c>
      <c r="B2154" s="152" t="s">
        <v>7233</v>
      </c>
      <c r="C2154" s="160" t="s">
        <v>16630</v>
      </c>
      <c r="D2154" s="160">
        <v>200</v>
      </c>
      <c r="E2154" s="161">
        <f>SUM(D2154*100)</f>
        <v>20000</v>
      </c>
    </row>
    <row r="2155" ht="16.5" spans="1:5">
      <c r="A2155" s="151">
        <v>2154</v>
      </c>
      <c r="B2155" s="152" t="s">
        <v>7237</v>
      </c>
      <c r="C2155" s="162" t="s">
        <v>16631</v>
      </c>
      <c r="D2155" s="163">
        <v>1000</v>
      </c>
      <c r="E2155" s="163">
        <f>D2155*100</f>
        <v>100000</v>
      </c>
    </row>
    <row r="2156" ht="16.5" spans="1:5">
      <c r="A2156" s="151">
        <v>2155</v>
      </c>
      <c r="B2156" s="152" t="s">
        <v>7242</v>
      </c>
      <c r="C2156" s="162" t="s">
        <v>16633</v>
      </c>
      <c r="D2156" s="171">
        <f>G2156/100</f>
        <v>0</v>
      </c>
      <c r="E2156" s="171">
        <f>G2156</f>
        <v>0</v>
      </c>
    </row>
    <row r="2157" ht="16.5" spans="1:5">
      <c r="A2157" s="151">
        <v>2156</v>
      </c>
      <c r="B2157" s="152" t="s">
        <v>7247</v>
      </c>
      <c r="C2157" s="156" t="s">
        <v>16629</v>
      </c>
      <c r="D2157" s="157">
        <v>10</v>
      </c>
      <c r="E2157" s="155">
        <f t="shared" ref="E2157:E2165" si="72">+D2157*100</f>
        <v>1000</v>
      </c>
    </row>
    <row r="2158" ht="16.5" spans="1:5">
      <c r="A2158" s="151">
        <v>2157</v>
      </c>
      <c r="B2158" s="152" t="s">
        <v>7250</v>
      </c>
      <c r="C2158" s="156" t="s">
        <v>16629</v>
      </c>
      <c r="D2158" s="159">
        <v>10</v>
      </c>
      <c r="E2158" s="155">
        <f t="shared" si="72"/>
        <v>1000</v>
      </c>
    </row>
    <row r="2159" ht="16.5" spans="1:5">
      <c r="A2159" s="151">
        <v>2158</v>
      </c>
      <c r="B2159" s="152" t="s">
        <v>7253</v>
      </c>
      <c r="C2159" s="156" t="s">
        <v>16629</v>
      </c>
      <c r="D2159" s="157">
        <v>10</v>
      </c>
      <c r="E2159" s="155">
        <f t="shared" si="72"/>
        <v>1000</v>
      </c>
    </row>
    <row r="2160" ht="16.5" spans="1:5">
      <c r="A2160" s="151">
        <v>2159</v>
      </c>
      <c r="B2160" s="152" t="s">
        <v>7256</v>
      </c>
      <c r="C2160" s="153" t="s">
        <v>16629</v>
      </c>
      <c r="D2160" s="158">
        <v>10</v>
      </c>
      <c r="E2160" s="155">
        <f t="shared" si="72"/>
        <v>1000</v>
      </c>
    </row>
    <row r="2161" ht="16.5" spans="1:5">
      <c r="A2161" s="151">
        <v>2160</v>
      </c>
      <c r="B2161" s="152" t="s">
        <v>7259</v>
      </c>
      <c r="C2161" s="156" t="s">
        <v>16629</v>
      </c>
      <c r="D2161" s="159">
        <v>10</v>
      </c>
      <c r="E2161" s="155">
        <f t="shared" si="72"/>
        <v>1000</v>
      </c>
    </row>
    <row r="2162" ht="16.5" spans="1:5">
      <c r="A2162" s="151">
        <v>2161</v>
      </c>
      <c r="B2162" s="152" t="s">
        <v>7262</v>
      </c>
      <c r="C2162" s="153" t="s">
        <v>16629</v>
      </c>
      <c r="D2162" s="158">
        <v>10</v>
      </c>
      <c r="E2162" s="155">
        <f t="shared" si="72"/>
        <v>1000</v>
      </c>
    </row>
    <row r="2163" ht="16.5" spans="1:5">
      <c r="A2163" s="151">
        <v>2162</v>
      </c>
      <c r="B2163" s="152" t="s">
        <v>7266</v>
      </c>
      <c r="C2163" s="156" t="s">
        <v>16629</v>
      </c>
      <c r="D2163" s="157">
        <v>10</v>
      </c>
      <c r="E2163" s="155">
        <f t="shared" si="72"/>
        <v>1000</v>
      </c>
    </row>
    <row r="2164" ht="16.5" spans="1:5">
      <c r="A2164" s="151">
        <v>2163</v>
      </c>
      <c r="B2164" s="152" t="s">
        <v>7270</v>
      </c>
      <c r="C2164" s="156" t="s">
        <v>16629</v>
      </c>
      <c r="D2164" s="159">
        <v>10</v>
      </c>
      <c r="E2164" s="155">
        <f t="shared" si="72"/>
        <v>1000</v>
      </c>
    </row>
    <row r="2165" ht="16.5" spans="1:5">
      <c r="A2165" s="151">
        <v>2164</v>
      </c>
      <c r="B2165" s="152" t="s">
        <v>7273</v>
      </c>
      <c r="C2165" s="153" t="s">
        <v>16629</v>
      </c>
      <c r="D2165" s="154">
        <v>10</v>
      </c>
      <c r="E2165" s="155">
        <f t="shared" si="72"/>
        <v>1000</v>
      </c>
    </row>
    <row r="2166" ht="16.5" spans="1:5">
      <c r="A2166" s="151">
        <v>2165</v>
      </c>
      <c r="B2166" s="152" t="s">
        <v>7276</v>
      </c>
      <c r="C2166" s="160" t="s">
        <v>16630</v>
      </c>
      <c r="D2166" s="160">
        <v>40</v>
      </c>
      <c r="E2166" s="161">
        <f>SUM(D2166*100)</f>
        <v>4000</v>
      </c>
    </row>
    <row r="2167" ht="16.5" spans="1:5">
      <c r="A2167" s="151">
        <v>2166</v>
      </c>
      <c r="B2167" s="152" t="s">
        <v>7279</v>
      </c>
      <c r="C2167" s="160" t="s">
        <v>16630</v>
      </c>
      <c r="D2167" s="164">
        <v>200</v>
      </c>
      <c r="E2167" s="161">
        <f>SUM(D2167*100)</f>
        <v>20000</v>
      </c>
    </row>
    <row r="2168" ht="16.5" spans="1:5">
      <c r="A2168" s="151">
        <v>2167</v>
      </c>
      <c r="B2168" s="152" t="s">
        <v>7282</v>
      </c>
      <c r="C2168" s="162" t="s">
        <v>16631</v>
      </c>
      <c r="D2168" s="163">
        <v>1000</v>
      </c>
      <c r="E2168" s="163">
        <f>D2168*100</f>
        <v>100000</v>
      </c>
    </row>
    <row r="2169" ht="16.5" spans="1:5">
      <c r="A2169" s="151">
        <v>2168</v>
      </c>
      <c r="B2169" s="152" t="s">
        <v>7286</v>
      </c>
      <c r="C2169" s="166" t="s">
        <v>16632</v>
      </c>
      <c r="D2169" s="166">
        <f>G2169/100</f>
        <v>0</v>
      </c>
      <c r="E2169" s="168">
        <v>1500000</v>
      </c>
    </row>
    <row r="2170" ht="16.5" spans="1:5">
      <c r="A2170" s="151">
        <v>2169</v>
      </c>
      <c r="B2170" s="152" t="s">
        <v>7289</v>
      </c>
      <c r="C2170" s="160" t="s">
        <v>16630</v>
      </c>
      <c r="D2170" s="160">
        <v>100</v>
      </c>
      <c r="E2170" s="161">
        <f>SUM(D2170*100)</f>
        <v>10000</v>
      </c>
    </row>
    <row r="2171" ht="16.5" spans="1:5">
      <c r="A2171" s="151">
        <v>2170</v>
      </c>
      <c r="B2171" s="152" t="s">
        <v>7294</v>
      </c>
      <c r="C2171" s="153" t="s">
        <v>16629</v>
      </c>
      <c r="D2171" s="158">
        <v>10</v>
      </c>
      <c r="E2171" s="155">
        <f>+D2171*100</f>
        <v>1000</v>
      </c>
    </row>
    <row r="2172" ht="16.5" spans="1:5">
      <c r="A2172" s="151">
        <v>2171</v>
      </c>
      <c r="B2172" s="152" t="s">
        <v>7297</v>
      </c>
      <c r="C2172" s="162" t="s">
        <v>16631</v>
      </c>
      <c r="D2172" s="163">
        <v>1000</v>
      </c>
      <c r="E2172" s="163">
        <f>D2172*100</f>
        <v>100000</v>
      </c>
    </row>
    <row r="2173" ht="16.5" spans="1:5">
      <c r="A2173" s="151">
        <v>2172</v>
      </c>
      <c r="B2173" s="152" t="s">
        <v>7301</v>
      </c>
      <c r="C2173" s="160" t="s">
        <v>16630</v>
      </c>
      <c r="D2173" s="165">
        <v>200</v>
      </c>
      <c r="E2173" s="161">
        <f>SUM(D2173*100)</f>
        <v>20000</v>
      </c>
    </row>
    <row r="2174" ht="16.5" spans="1:5">
      <c r="A2174" s="151">
        <v>2173</v>
      </c>
      <c r="B2174" s="152" t="s">
        <v>7304</v>
      </c>
      <c r="C2174" s="160" t="s">
        <v>16630</v>
      </c>
      <c r="D2174" s="160">
        <v>30</v>
      </c>
      <c r="E2174" s="161">
        <f>SUM(D2174*100)</f>
        <v>3000</v>
      </c>
    </row>
    <row r="2175" ht="16.5" spans="1:5">
      <c r="A2175" s="151">
        <v>2174</v>
      </c>
      <c r="B2175" s="152" t="s">
        <v>7307</v>
      </c>
      <c r="C2175" s="153" t="s">
        <v>16629</v>
      </c>
      <c r="D2175" s="158">
        <v>10</v>
      </c>
      <c r="E2175" s="155">
        <f t="shared" ref="E2175:E2180" si="73">+D2175*100</f>
        <v>1000</v>
      </c>
    </row>
    <row r="2176" ht="16.5" spans="1:5">
      <c r="A2176" s="151">
        <v>2175</v>
      </c>
      <c r="B2176" s="152" t="s">
        <v>7311</v>
      </c>
      <c r="C2176" s="156" t="s">
        <v>16629</v>
      </c>
      <c r="D2176" s="157">
        <v>10</v>
      </c>
      <c r="E2176" s="155">
        <f t="shared" si="73"/>
        <v>1000</v>
      </c>
    </row>
    <row r="2177" ht="16.5" spans="1:5">
      <c r="A2177" s="151">
        <v>2176</v>
      </c>
      <c r="B2177" s="152" t="s">
        <v>7314</v>
      </c>
      <c r="C2177" s="156" t="s">
        <v>16629</v>
      </c>
      <c r="D2177" s="159">
        <v>10</v>
      </c>
      <c r="E2177" s="155">
        <f t="shared" si="73"/>
        <v>1000</v>
      </c>
    </row>
    <row r="2178" ht="16.5" spans="1:5">
      <c r="A2178" s="151">
        <v>2177</v>
      </c>
      <c r="B2178" s="152" t="s">
        <v>7317</v>
      </c>
      <c r="C2178" s="153" t="s">
        <v>16629</v>
      </c>
      <c r="D2178" s="158">
        <v>10</v>
      </c>
      <c r="E2178" s="155">
        <f t="shared" si="73"/>
        <v>1000</v>
      </c>
    </row>
    <row r="2179" ht="16.5" spans="1:5">
      <c r="A2179" s="151">
        <v>2178</v>
      </c>
      <c r="B2179" s="152" t="s">
        <v>7320</v>
      </c>
      <c r="C2179" s="156" t="s">
        <v>16629</v>
      </c>
      <c r="D2179" s="157">
        <v>10</v>
      </c>
      <c r="E2179" s="155">
        <f t="shared" si="73"/>
        <v>1000</v>
      </c>
    </row>
    <row r="2180" ht="16.5" spans="1:5">
      <c r="A2180" s="151">
        <v>2179</v>
      </c>
      <c r="B2180" s="152" t="s">
        <v>7323</v>
      </c>
      <c r="C2180" s="156" t="s">
        <v>16629</v>
      </c>
      <c r="D2180" s="159">
        <v>10</v>
      </c>
      <c r="E2180" s="155">
        <f t="shared" si="73"/>
        <v>1000</v>
      </c>
    </row>
    <row r="2181" ht="16.5" spans="1:5">
      <c r="A2181" s="151">
        <v>2180</v>
      </c>
      <c r="B2181" s="152" t="s">
        <v>7326</v>
      </c>
      <c r="C2181" s="162" t="s">
        <v>16631</v>
      </c>
      <c r="D2181" s="163">
        <v>1000</v>
      </c>
      <c r="E2181" s="163">
        <f>D2181*100</f>
        <v>100000</v>
      </c>
    </row>
    <row r="2182" ht="16.5" spans="1:5">
      <c r="A2182" s="151">
        <v>2181</v>
      </c>
      <c r="B2182" s="152" t="s">
        <v>7331</v>
      </c>
      <c r="C2182" s="156" t="s">
        <v>16629</v>
      </c>
      <c r="D2182" s="159">
        <v>10</v>
      </c>
      <c r="E2182" s="155">
        <f>+D2182*100</f>
        <v>1000</v>
      </c>
    </row>
    <row r="2183" ht="16.5" spans="1:5">
      <c r="A2183" s="151">
        <v>2182</v>
      </c>
      <c r="B2183" s="152" t="s">
        <v>7334</v>
      </c>
      <c r="C2183" s="156" t="s">
        <v>16629</v>
      </c>
      <c r="D2183" s="157">
        <v>20</v>
      </c>
      <c r="E2183" s="155">
        <f>+D2183*100</f>
        <v>2000</v>
      </c>
    </row>
    <row r="2184" ht="16.5" spans="1:5">
      <c r="A2184" s="151">
        <v>2183</v>
      </c>
      <c r="B2184" s="152" t="s">
        <v>7337</v>
      </c>
      <c r="C2184" s="160" t="s">
        <v>16630</v>
      </c>
      <c r="D2184" s="160">
        <v>20</v>
      </c>
      <c r="E2184" s="161">
        <f>SUM(D2184*100)</f>
        <v>2000</v>
      </c>
    </row>
    <row r="2185" ht="16.5" spans="1:5">
      <c r="A2185" s="151">
        <v>2184</v>
      </c>
      <c r="B2185" s="152" t="s">
        <v>7340</v>
      </c>
      <c r="C2185" s="160" t="s">
        <v>16630</v>
      </c>
      <c r="D2185" s="160">
        <v>10</v>
      </c>
      <c r="E2185" s="161">
        <f>SUM(D2185*100)</f>
        <v>1000</v>
      </c>
    </row>
    <row r="2186" ht="16.5" spans="1:5">
      <c r="A2186" s="151">
        <v>2185</v>
      </c>
      <c r="B2186" s="152" t="s">
        <v>7343</v>
      </c>
      <c r="C2186" s="160" t="s">
        <v>16630</v>
      </c>
      <c r="D2186" s="160">
        <v>20</v>
      </c>
      <c r="E2186" s="161">
        <f>SUM(D2186*100)</f>
        <v>2000</v>
      </c>
    </row>
    <row r="2187" ht="16.5" spans="1:5">
      <c r="A2187" s="151">
        <v>2186</v>
      </c>
      <c r="B2187" s="152" t="s">
        <v>7347</v>
      </c>
      <c r="C2187" s="156" t="s">
        <v>16629</v>
      </c>
      <c r="D2187" s="157">
        <v>10</v>
      </c>
      <c r="E2187" s="155">
        <f t="shared" ref="E2187:E2194" si="74">+D2187*100</f>
        <v>1000</v>
      </c>
    </row>
    <row r="2188" ht="16.5" spans="1:5">
      <c r="A2188" s="151">
        <v>2187</v>
      </c>
      <c r="B2188" s="152" t="s">
        <v>7350</v>
      </c>
      <c r="C2188" s="153" t="s">
        <v>16629</v>
      </c>
      <c r="D2188" s="158">
        <v>10</v>
      </c>
      <c r="E2188" s="155">
        <f t="shared" si="74"/>
        <v>1000</v>
      </c>
    </row>
    <row r="2189" ht="16.5" spans="1:5">
      <c r="A2189" s="151">
        <v>2188</v>
      </c>
      <c r="B2189" s="152" t="s">
        <v>7354</v>
      </c>
      <c r="C2189" s="153" t="s">
        <v>16629</v>
      </c>
      <c r="D2189" s="154">
        <v>10</v>
      </c>
      <c r="E2189" s="155">
        <f t="shared" si="74"/>
        <v>1000</v>
      </c>
    </row>
    <row r="2190" ht="16.5" spans="1:5">
      <c r="A2190" s="151">
        <v>2189</v>
      </c>
      <c r="B2190" s="152" t="s">
        <v>7357</v>
      </c>
      <c r="C2190" s="156" t="s">
        <v>16629</v>
      </c>
      <c r="D2190" s="157">
        <v>10</v>
      </c>
      <c r="E2190" s="155">
        <f t="shared" si="74"/>
        <v>1000</v>
      </c>
    </row>
    <row r="2191" ht="16.5" spans="1:5">
      <c r="A2191" s="151">
        <v>2190</v>
      </c>
      <c r="B2191" s="152" t="s">
        <v>7360</v>
      </c>
      <c r="C2191" s="153" t="s">
        <v>16629</v>
      </c>
      <c r="D2191" s="154">
        <v>10</v>
      </c>
      <c r="E2191" s="155">
        <f t="shared" si="74"/>
        <v>1000</v>
      </c>
    </row>
    <row r="2192" ht="16.5" spans="1:5">
      <c r="A2192" s="151">
        <v>2191</v>
      </c>
      <c r="B2192" s="152" t="s">
        <v>7364</v>
      </c>
      <c r="C2192" s="153" t="s">
        <v>16629</v>
      </c>
      <c r="D2192" s="154">
        <v>10</v>
      </c>
      <c r="E2192" s="155">
        <f t="shared" si="74"/>
        <v>1000</v>
      </c>
    </row>
    <row r="2193" ht="16.5" spans="1:5">
      <c r="A2193" s="151">
        <v>2192</v>
      </c>
      <c r="B2193" s="152" t="s">
        <v>7368</v>
      </c>
      <c r="C2193" s="156" t="s">
        <v>16629</v>
      </c>
      <c r="D2193" s="159">
        <v>10</v>
      </c>
      <c r="E2193" s="155">
        <f t="shared" si="74"/>
        <v>1000</v>
      </c>
    </row>
    <row r="2194" ht="16.5" spans="1:5">
      <c r="A2194" s="151">
        <v>2193</v>
      </c>
      <c r="B2194" s="152" t="s">
        <v>7372</v>
      </c>
      <c r="C2194" s="153" t="s">
        <v>16629</v>
      </c>
      <c r="D2194" s="158">
        <v>10</v>
      </c>
      <c r="E2194" s="155">
        <f t="shared" si="74"/>
        <v>1000</v>
      </c>
    </row>
    <row r="2195" ht="16.5" spans="1:5">
      <c r="A2195" s="151">
        <v>2194</v>
      </c>
      <c r="B2195" s="152" t="s">
        <v>7375</v>
      </c>
      <c r="C2195" s="160" t="s">
        <v>16630</v>
      </c>
      <c r="D2195" s="164">
        <v>200</v>
      </c>
      <c r="E2195" s="161">
        <f>SUM(D2195*100)</f>
        <v>20000</v>
      </c>
    </row>
    <row r="2196" ht="16.5" spans="1:5">
      <c r="A2196" s="151">
        <v>2195</v>
      </c>
      <c r="B2196" s="152" t="s">
        <v>7378</v>
      </c>
      <c r="C2196" s="153" t="s">
        <v>16629</v>
      </c>
      <c r="D2196" s="154">
        <v>10</v>
      </c>
      <c r="E2196" s="155">
        <f>+D2196*100</f>
        <v>1000</v>
      </c>
    </row>
    <row r="2197" ht="16.5" spans="1:5">
      <c r="A2197" s="151">
        <v>2196</v>
      </c>
      <c r="B2197" s="152" t="s">
        <v>7381</v>
      </c>
      <c r="C2197" s="156" t="s">
        <v>16629</v>
      </c>
      <c r="D2197" s="159">
        <v>10</v>
      </c>
      <c r="E2197" s="155">
        <f>+D2197*100</f>
        <v>1000</v>
      </c>
    </row>
    <row r="2198" ht="16.5" spans="1:5">
      <c r="A2198" s="151">
        <v>2197</v>
      </c>
      <c r="B2198" s="152" t="s">
        <v>7384</v>
      </c>
      <c r="C2198" s="153" t="s">
        <v>16629</v>
      </c>
      <c r="D2198" s="154">
        <v>10</v>
      </c>
      <c r="E2198" s="155">
        <f>+D2198*100</f>
        <v>1000</v>
      </c>
    </row>
    <row r="2199" ht="16.5" spans="1:5">
      <c r="A2199" s="151">
        <v>2198</v>
      </c>
      <c r="B2199" s="152" t="s">
        <v>7387</v>
      </c>
      <c r="C2199" s="160" t="s">
        <v>16630</v>
      </c>
      <c r="D2199" s="165">
        <v>100</v>
      </c>
      <c r="E2199" s="161">
        <f>SUM(D2199*100)</f>
        <v>10000</v>
      </c>
    </row>
    <row r="2200" ht="16.5" spans="1:5">
      <c r="A2200" s="151">
        <v>2199</v>
      </c>
      <c r="B2200" s="152" t="s">
        <v>7390</v>
      </c>
      <c r="C2200" s="160" t="s">
        <v>16630</v>
      </c>
      <c r="D2200" s="160">
        <v>200</v>
      </c>
      <c r="E2200" s="161">
        <f>SUM(D2200*100)</f>
        <v>20000</v>
      </c>
    </row>
    <row r="2201" ht="16.5" spans="1:5">
      <c r="A2201" s="151">
        <v>2200</v>
      </c>
      <c r="B2201" s="152" t="s">
        <v>7394</v>
      </c>
      <c r="C2201" s="160" t="s">
        <v>16630</v>
      </c>
      <c r="D2201" s="160">
        <v>200</v>
      </c>
      <c r="E2201" s="161">
        <f>SUM(D2201*100)</f>
        <v>20000</v>
      </c>
    </row>
    <row r="2202" ht="16.5" spans="1:5">
      <c r="A2202" s="151">
        <v>2201</v>
      </c>
      <c r="B2202" s="152" t="s">
        <v>7397</v>
      </c>
      <c r="C2202" s="156" t="s">
        <v>16629</v>
      </c>
      <c r="D2202" s="159">
        <v>10</v>
      </c>
      <c r="E2202" s="155">
        <f>+D2202*100</f>
        <v>1000</v>
      </c>
    </row>
    <row r="2203" ht="16.5" spans="1:5">
      <c r="A2203" s="151">
        <v>2202</v>
      </c>
      <c r="B2203" s="152" t="s">
        <v>7401</v>
      </c>
      <c r="C2203" s="156" t="s">
        <v>16629</v>
      </c>
      <c r="D2203" s="157">
        <v>10</v>
      </c>
      <c r="E2203" s="155">
        <f>+D2203*100</f>
        <v>1000</v>
      </c>
    </row>
    <row r="2204" ht="16.5" spans="1:5">
      <c r="A2204" s="151">
        <v>2203</v>
      </c>
      <c r="B2204" s="152" t="s">
        <v>7404</v>
      </c>
      <c r="C2204" s="153" t="s">
        <v>16629</v>
      </c>
      <c r="D2204" s="154">
        <v>10</v>
      </c>
      <c r="E2204" s="155">
        <f>+D2204*100</f>
        <v>1000</v>
      </c>
    </row>
    <row r="2205" ht="16.5" spans="1:5">
      <c r="A2205" s="151">
        <v>2204</v>
      </c>
      <c r="B2205" s="152" t="s">
        <v>7407</v>
      </c>
      <c r="C2205" s="156" t="s">
        <v>16629</v>
      </c>
      <c r="D2205" s="157">
        <v>10</v>
      </c>
      <c r="E2205" s="155">
        <f>+D2205*100</f>
        <v>1000</v>
      </c>
    </row>
    <row r="2206" ht="16.5" spans="1:5">
      <c r="A2206" s="151">
        <v>2205</v>
      </c>
      <c r="B2206" s="152" t="s">
        <v>7410</v>
      </c>
      <c r="C2206" s="153" t="s">
        <v>16629</v>
      </c>
      <c r="D2206" s="154">
        <v>10</v>
      </c>
      <c r="E2206" s="155">
        <f>+D2206*100</f>
        <v>1000</v>
      </c>
    </row>
    <row r="2207" ht="16.5" spans="1:5">
      <c r="A2207" s="151">
        <v>2206</v>
      </c>
      <c r="B2207" s="152" t="s">
        <v>7413</v>
      </c>
      <c r="C2207" s="166" t="s">
        <v>16632</v>
      </c>
      <c r="D2207" s="166">
        <f>IFERROR(__xludf.DUMMYFUNCTION("""COMPUTED_VALUE"""),10000)</f>
        <v>10000</v>
      </c>
      <c r="E2207" s="168">
        <f>IFERROR(__xludf.DUMMYFUNCTION("""COMPUTED_VALUE"""),1500000)</f>
        <v>1500000</v>
      </c>
    </row>
    <row r="2208" ht="16.5" spans="1:5">
      <c r="A2208" s="151">
        <v>2207</v>
      </c>
      <c r="B2208" s="152" t="s">
        <v>7414</v>
      </c>
      <c r="C2208" s="153" t="s">
        <v>16629</v>
      </c>
      <c r="D2208" s="154">
        <v>10</v>
      </c>
      <c r="E2208" s="155">
        <f>+D2208*100</f>
        <v>1000</v>
      </c>
    </row>
    <row r="2209" ht="16.5" spans="1:5">
      <c r="A2209" s="151">
        <v>2208</v>
      </c>
      <c r="B2209" s="152" t="s">
        <v>7417</v>
      </c>
      <c r="C2209" s="156" t="s">
        <v>16629</v>
      </c>
      <c r="D2209" s="159">
        <v>10</v>
      </c>
      <c r="E2209" s="155">
        <f>+D2209*100</f>
        <v>1000</v>
      </c>
    </row>
    <row r="2210" ht="16.5" spans="1:5">
      <c r="A2210" s="151">
        <v>2209</v>
      </c>
      <c r="B2210" s="152" t="s">
        <v>7420</v>
      </c>
      <c r="C2210" s="156" t="s">
        <v>16629</v>
      </c>
      <c r="D2210" s="159">
        <v>10</v>
      </c>
      <c r="E2210" s="155">
        <f>+D2210*100</f>
        <v>1000</v>
      </c>
    </row>
    <row r="2211" ht="16.5" spans="1:5">
      <c r="A2211" s="151">
        <v>2210</v>
      </c>
      <c r="B2211" s="152" t="s">
        <v>7423</v>
      </c>
      <c r="C2211" s="162" t="s">
        <v>16631</v>
      </c>
      <c r="D2211" s="163">
        <v>1000</v>
      </c>
      <c r="E2211" s="163">
        <f>D2211*100</f>
        <v>100000</v>
      </c>
    </row>
    <row r="2212" ht="16.5" spans="1:5">
      <c r="A2212" s="151">
        <v>2211</v>
      </c>
      <c r="B2212" s="152" t="s">
        <v>7427</v>
      </c>
      <c r="C2212" s="153" t="s">
        <v>16629</v>
      </c>
      <c r="D2212" s="154">
        <v>10</v>
      </c>
      <c r="E2212" s="155">
        <f>+D2212*100</f>
        <v>1000</v>
      </c>
    </row>
    <row r="2213" ht="16.5" spans="1:5">
      <c r="A2213" s="151">
        <v>2212</v>
      </c>
      <c r="B2213" s="152" t="s">
        <v>7431</v>
      </c>
      <c r="C2213" s="160" t="s">
        <v>16630</v>
      </c>
      <c r="D2213" s="160">
        <v>500</v>
      </c>
      <c r="E2213" s="161">
        <f>SUM(D2213*100)</f>
        <v>50000</v>
      </c>
    </row>
    <row r="2214" ht="16.5" spans="1:5">
      <c r="A2214" s="151">
        <v>2213</v>
      </c>
      <c r="B2214" s="152" t="s">
        <v>7433</v>
      </c>
      <c r="C2214" s="156" t="s">
        <v>16629</v>
      </c>
      <c r="D2214" s="157">
        <v>10</v>
      </c>
      <c r="E2214" s="155">
        <f t="shared" ref="E2214:E2221" si="75">+D2214*100</f>
        <v>1000</v>
      </c>
    </row>
    <row r="2215" ht="16.5" spans="1:5">
      <c r="A2215" s="151">
        <v>2214</v>
      </c>
      <c r="B2215" s="152" t="s">
        <v>7436</v>
      </c>
      <c r="C2215" s="156" t="s">
        <v>16629</v>
      </c>
      <c r="D2215" s="157">
        <v>10</v>
      </c>
      <c r="E2215" s="155">
        <f t="shared" si="75"/>
        <v>1000</v>
      </c>
    </row>
    <row r="2216" ht="16.5" spans="1:5">
      <c r="A2216" s="151">
        <v>2215</v>
      </c>
      <c r="B2216" s="152" t="s">
        <v>7440</v>
      </c>
      <c r="C2216" s="156" t="s">
        <v>16629</v>
      </c>
      <c r="D2216" s="154">
        <v>10</v>
      </c>
      <c r="E2216" s="155">
        <f t="shared" si="75"/>
        <v>1000</v>
      </c>
    </row>
    <row r="2217" ht="16.5" spans="1:5">
      <c r="A2217" s="151">
        <v>2216</v>
      </c>
      <c r="B2217" s="152" t="s">
        <v>7443</v>
      </c>
      <c r="C2217" s="156" t="s">
        <v>16629</v>
      </c>
      <c r="D2217" s="159">
        <v>10</v>
      </c>
      <c r="E2217" s="155">
        <f t="shared" si="75"/>
        <v>1000</v>
      </c>
    </row>
    <row r="2218" ht="16.5" spans="1:5">
      <c r="A2218" s="151">
        <v>2217</v>
      </c>
      <c r="B2218" s="152" t="s">
        <v>7447</v>
      </c>
      <c r="C2218" s="153" t="s">
        <v>16629</v>
      </c>
      <c r="D2218" s="158">
        <v>10</v>
      </c>
      <c r="E2218" s="155">
        <f t="shared" si="75"/>
        <v>1000</v>
      </c>
    </row>
    <row r="2219" ht="16.5" spans="1:5">
      <c r="A2219" s="151">
        <v>2218</v>
      </c>
      <c r="B2219" s="152" t="s">
        <v>7450</v>
      </c>
      <c r="C2219" s="156" t="s">
        <v>16629</v>
      </c>
      <c r="D2219" s="159">
        <v>10</v>
      </c>
      <c r="E2219" s="155">
        <f t="shared" si="75"/>
        <v>1000</v>
      </c>
    </row>
    <row r="2220" ht="16.5" spans="1:5">
      <c r="A2220" s="151">
        <v>2219</v>
      </c>
      <c r="B2220" s="152" t="s">
        <v>7453</v>
      </c>
      <c r="C2220" s="153" t="s">
        <v>16629</v>
      </c>
      <c r="D2220" s="154">
        <v>10</v>
      </c>
      <c r="E2220" s="155">
        <f t="shared" si="75"/>
        <v>1000</v>
      </c>
    </row>
    <row r="2221" ht="16.5" spans="1:5">
      <c r="A2221" s="151">
        <v>2220</v>
      </c>
      <c r="B2221" s="152" t="s">
        <v>7456</v>
      </c>
      <c r="C2221" s="156" t="s">
        <v>16629</v>
      </c>
      <c r="D2221" s="159">
        <v>10</v>
      </c>
      <c r="E2221" s="155">
        <f t="shared" si="75"/>
        <v>1000</v>
      </c>
    </row>
    <row r="2222" ht="16.5" spans="1:5">
      <c r="A2222" s="151">
        <v>2221</v>
      </c>
      <c r="B2222" s="152" t="s">
        <v>7459</v>
      </c>
      <c r="C2222" s="160" t="s">
        <v>16630</v>
      </c>
      <c r="D2222" s="165">
        <v>500</v>
      </c>
      <c r="E2222" s="161">
        <f>SUM(D2222*100)</f>
        <v>50000</v>
      </c>
    </row>
    <row r="2223" ht="16.5" spans="1:5">
      <c r="A2223" s="151">
        <v>2222</v>
      </c>
      <c r="B2223" s="152" t="s">
        <v>7462</v>
      </c>
      <c r="C2223" s="160" t="s">
        <v>16630</v>
      </c>
      <c r="D2223" s="160">
        <v>10</v>
      </c>
      <c r="E2223" s="161">
        <f>SUM(D2223*100)</f>
        <v>1000</v>
      </c>
    </row>
    <row r="2224" ht="16.5" spans="1:5">
      <c r="A2224" s="151">
        <v>2223</v>
      </c>
      <c r="B2224" s="152" t="s">
        <v>7466</v>
      </c>
      <c r="C2224" s="160" t="s">
        <v>16630</v>
      </c>
      <c r="D2224" s="160">
        <v>200</v>
      </c>
      <c r="E2224" s="161">
        <f>SUM(D2224*100)</f>
        <v>20000</v>
      </c>
    </row>
    <row r="2225" ht="16.5" spans="1:5">
      <c r="A2225" s="151">
        <v>2224</v>
      </c>
      <c r="B2225" s="152" t="s">
        <v>7466</v>
      </c>
      <c r="C2225" s="162" t="s">
        <v>16631</v>
      </c>
      <c r="D2225" s="163">
        <v>1000</v>
      </c>
      <c r="E2225" s="163">
        <f>D2225*100</f>
        <v>100000</v>
      </c>
    </row>
    <row r="2226" ht="16.5" spans="1:5">
      <c r="A2226" s="151">
        <v>2225</v>
      </c>
      <c r="B2226" s="152" t="s">
        <v>7471</v>
      </c>
      <c r="C2226" s="160" t="s">
        <v>16630</v>
      </c>
      <c r="D2226" s="41">
        <v>20</v>
      </c>
      <c r="E2226" s="161">
        <f>SUM(D2226*100)</f>
        <v>2000</v>
      </c>
    </row>
    <row r="2227" ht="16.5" spans="1:5">
      <c r="A2227" s="151">
        <v>2226</v>
      </c>
      <c r="B2227" s="152" t="s">
        <v>7474</v>
      </c>
      <c r="C2227" s="162" t="s">
        <v>16631</v>
      </c>
      <c r="D2227" s="163">
        <v>1000</v>
      </c>
      <c r="E2227" s="163">
        <f>D2227*100</f>
        <v>100000</v>
      </c>
    </row>
    <row r="2228" ht="16.5" spans="1:5">
      <c r="A2228" s="151">
        <v>2227</v>
      </c>
      <c r="B2228" s="152" t="s">
        <v>7478</v>
      </c>
      <c r="C2228" s="153" t="s">
        <v>16629</v>
      </c>
      <c r="D2228" s="154">
        <v>10</v>
      </c>
      <c r="E2228" s="155">
        <f>+D2228*100</f>
        <v>1000</v>
      </c>
    </row>
    <row r="2229" ht="16.5" spans="1:5">
      <c r="A2229" s="151">
        <v>2228</v>
      </c>
      <c r="B2229" s="152" t="s">
        <v>7481</v>
      </c>
      <c r="C2229" s="156" t="s">
        <v>16629</v>
      </c>
      <c r="D2229" s="159">
        <v>10</v>
      </c>
      <c r="E2229" s="155">
        <f>+D2229*100</f>
        <v>1000</v>
      </c>
    </row>
    <row r="2230" ht="16.5" spans="1:5">
      <c r="A2230" s="151">
        <v>2229</v>
      </c>
      <c r="B2230" s="152" t="s">
        <v>7485</v>
      </c>
      <c r="C2230" s="156" t="s">
        <v>16629</v>
      </c>
      <c r="D2230" s="159">
        <v>10</v>
      </c>
      <c r="E2230" s="155">
        <f>+D2230*100</f>
        <v>1000</v>
      </c>
    </row>
    <row r="2231" ht="16.5" spans="1:5">
      <c r="A2231" s="151">
        <v>2230</v>
      </c>
      <c r="B2231" s="152" t="s">
        <v>7488</v>
      </c>
      <c r="C2231" s="156" t="s">
        <v>16629</v>
      </c>
      <c r="D2231" s="157">
        <v>10</v>
      </c>
      <c r="E2231" s="155">
        <f>+D2231*100</f>
        <v>1000</v>
      </c>
    </row>
    <row r="2232" ht="16.5" spans="1:5">
      <c r="A2232" s="151">
        <v>2231</v>
      </c>
      <c r="B2232" s="152" t="s">
        <v>7491</v>
      </c>
      <c r="C2232" s="160" t="s">
        <v>16630</v>
      </c>
      <c r="D2232" s="160">
        <v>10</v>
      </c>
      <c r="E2232" s="161">
        <f>SUM(D2232*100)</f>
        <v>1000</v>
      </c>
    </row>
    <row r="2233" ht="16.5" spans="1:5">
      <c r="A2233" s="151">
        <v>2232</v>
      </c>
      <c r="B2233" s="152" t="s">
        <v>7495</v>
      </c>
      <c r="C2233" s="153" t="s">
        <v>16629</v>
      </c>
      <c r="D2233" s="154">
        <v>10</v>
      </c>
      <c r="E2233" s="155">
        <f>+D2233*100</f>
        <v>1000</v>
      </c>
    </row>
    <row r="2234" ht="16.5" spans="1:5">
      <c r="A2234" s="151">
        <v>2233</v>
      </c>
      <c r="B2234" s="152" t="s">
        <v>7498</v>
      </c>
      <c r="C2234" s="156" t="s">
        <v>16629</v>
      </c>
      <c r="D2234" s="158">
        <v>10</v>
      </c>
      <c r="E2234" s="155">
        <f>+D2234*100</f>
        <v>1000</v>
      </c>
    </row>
    <row r="2235" ht="16.5" spans="1:5">
      <c r="A2235" s="151">
        <v>2234</v>
      </c>
      <c r="B2235" s="152" t="s">
        <v>7501</v>
      </c>
      <c r="C2235" s="156" t="s">
        <v>16629</v>
      </c>
      <c r="D2235" s="159">
        <v>10</v>
      </c>
      <c r="E2235" s="155">
        <f>+D2235*100</f>
        <v>1000</v>
      </c>
    </row>
    <row r="2236" ht="16.5" spans="1:5">
      <c r="A2236" s="151">
        <v>2235</v>
      </c>
      <c r="B2236" s="152" t="s">
        <v>7504</v>
      </c>
      <c r="C2236" s="156" t="s">
        <v>16629</v>
      </c>
      <c r="D2236" s="157">
        <v>10</v>
      </c>
      <c r="E2236" s="155">
        <f>+D2236*100</f>
        <v>1000</v>
      </c>
    </row>
    <row r="2237" ht="16.5" spans="1:5">
      <c r="A2237" s="151">
        <v>2236</v>
      </c>
      <c r="B2237" s="152" t="s">
        <v>7508</v>
      </c>
      <c r="C2237" s="166" t="s">
        <v>16632</v>
      </c>
      <c r="D2237" s="166">
        <f>IFERROR(__xludf.DUMMYFUNCTION("""COMPUTED_VALUE"""),10000)</f>
        <v>10000</v>
      </c>
      <c r="E2237" s="168">
        <f>IFERROR(__xludf.DUMMYFUNCTION("""COMPUTED_VALUE"""),1500000)</f>
        <v>1500000</v>
      </c>
    </row>
    <row r="2238" ht="16.5" spans="1:5">
      <c r="A2238" s="151">
        <v>2237</v>
      </c>
      <c r="B2238" s="152" t="s">
        <v>7508</v>
      </c>
      <c r="C2238" s="166" t="s">
        <v>16632</v>
      </c>
      <c r="D2238" s="166">
        <f>IFERROR(__xludf.DUMMYFUNCTION("""COMPUTED_VALUE"""),10000)</f>
        <v>10000</v>
      </c>
      <c r="E2238" s="168">
        <f>IFERROR(__xludf.DUMMYFUNCTION("""COMPUTED_VALUE"""),1500000)</f>
        <v>1500000</v>
      </c>
    </row>
    <row r="2239" ht="16.5" spans="1:5">
      <c r="A2239" s="151">
        <v>2238</v>
      </c>
      <c r="B2239" s="152" t="s">
        <v>7509</v>
      </c>
      <c r="C2239" s="153" t="s">
        <v>16629</v>
      </c>
      <c r="D2239" s="154">
        <v>10</v>
      </c>
      <c r="E2239" s="155">
        <f>+D2239*100</f>
        <v>1000</v>
      </c>
    </row>
    <row r="2240" ht="16.5" spans="1:5">
      <c r="A2240" s="151">
        <v>2239</v>
      </c>
      <c r="B2240" s="152" t="s">
        <v>7512</v>
      </c>
      <c r="C2240" s="160" t="s">
        <v>16630</v>
      </c>
      <c r="D2240" s="160">
        <v>50</v>
      </c>
      <c r="E2240" s="161">
        <f>SUM(D2240*100)</f>
        <v>5000</v>
      </c>
    </row>
    <row r="2241" ht="16.5" spans="1:5">
      <c r="A2241" s="151">
        <v>2240</v>
      </c>
      <c r="B2241" s="152" t="s">
        <v>7516</v>
      </c>
      <c r="C2241" s="156" t="s">
        <v>16629</v>
      </c>
      <c r="D2241" s="157">
        <v>10</v>
      </c>
      <c r="E2241" s="155">
        <f>+D2241*100</f>
        <v>1000</v>
      </c>
    </row>
    <row r="2242" ht="16.5" spans="1:5">
      <c r="A2242" s="151">
        <v>2241</v>
      </c>
      <c r="B2242" s="152" t="s">
        <v>7519</v>
      </c>
      <c r="C2242" s="153" t="s">
        <v>16629</v>
      </c>
      <c r="D2242" s="154">
        <v>10</v>
      </c>
      <c r="E2242" s="155">
        <f>+D2242*100</f>
        <v>1000</v>
      </c>
    </row>
    <row r="2243" ht="16.5" spans="1:5">
      <c r="A2243" s="151">
        <v>2242</v>
      </c>
      <c r="B2243" s="152" t="s">
        <v>7523</v>
      </c>
      <c r="C2243" s="166" t="s">
        <v>16632</v>
      </c>
      <c r="D2243" s="166">
        <f>IFERROR(__xludf.DUMMYFUNCTION("""COMPUTED_VALUE"""),15000)</f>
        <v>15000</v>
      </c>
      <c r="E2243" s="168">
        <f>IFERROR(__xludf.DUMMYFUNCTION("""COMPUTED_VALUE"""),1500000)</f>
        <v>1500000</v>
      </c>
    </row>
    <row r="2244" ht="16.5" spans="1:5">
      <c r="A2244" s="151">
        <v>2243</v>
      </c>
      <c r="B2244" s="152" t="s">
        <v>7524</v>
      </c>
      <c r="C2244" s="153" t="s">
        <v>16629</v>
      </c>
      <c r="D2244" s="154">
        <v>10</v>
      </c>
      <c r="E2244" s="155">
        <f>+D2244*100</f>
        <v>1000</v>
      </c>
    </row>
    <row r="2245" ht="16.5" spans="1:5">
      <c r="A2245" s="151">
        <v>2244</v>
      </c>
      <c r="B2245" s="152" t="s">
        <v>7528</v>
      </c>
      <c r="C2245" s="153" t="s">
        <v>16629</v>
      </c>
      <c r="D2245" s="154">
        <v>10</v>
      </c>
      <c r="E2245" s="155">
        <f>+D2245*100</f>
        <v>1000</v>
      </c>
    </row>
    <row r="2246" ht="16.5" spans="1:5">
      <c r="A2246" s="151">
        <v>2245</v>
      </c>
      <c r="B2246" s="152" t="s">
        <v>7532</v>
      </c>
      <c r="C2246" s="153" t="s">
        <v>16629</v>
      </c>
      <c r="D2246" s="154">
        <v>10</v>
      </c>
      <c r="E2246" s="155">
        <f>+D2246*100</f>
        <v>1000</v>
      </c>
    </row>
    <row r="2247" ht="16.5" spans="1:5">
      <c r="A2247" s="151">
        <v>2246</v>
      </c>
      <c r="B2247" s="152" t="s">
        <v>7535</v>
      </c>
      <c r="C2247" s="166" t="s">
        <v>16632</v>
      </c>
      <c r="D2247" s="36">
        <v>10000</v>
      </c>
      <c r="E2247" s="45">
        <v>3500000</v>
      </c>
    </row>
    <row r="2248" ht="16.5" spans="1:5">
      <c r="A2248" s="151">
        <v>2247</v>
      </c>
      <c r="B2248" s="152" t="s">
        <v>7538</v>
      </c>
      <c r="C2248" s="156" t="s">
        <v>16629</v>
      </c>
      <c r="D2248" s="159">
        <v>10</v>
      </c>
      <c r="E2248" s="155">
        <f>+D2248*100</f>
        <v>1000</v>
      </c>
    </row>
    <row r="2249" ht="16.5" spans="1:5">
      <c r="A2249" s="151">
        <v>2248</v>
      </c>
      <c r="B2249" s="152" t="s">
        <v>7541</v>
      </c>
      <c r="C2249" s="153" t="s">
        <v>16629</v>
      </c>
      <c r="D2249" s="158">
        <v>10</v>
      </c>
      <c r="E2249" s="155">
        <f>+D2249*100</f>
        <v>1000</v>
      </c>
    </row>
    <row r="2250" ht="16.5" spans="1:5">
      <c r="A2250" s="151">
        <v>2249</v>
      </c>
      <c r="B2250" s="152" t="s">
        <v>7545</v>
      </c>
      <c r="C2250" s="160" t="s">
        <v>16630</v>
      </c>
      <c r="D2250" s="160">
        <v>10</v>
      </c>
      <c r="E2250" s="161">
        <f>SUM(D2250*100)</f>
        <v>1000</v>
      </c>
    </row>
    <row r="2251" ht="16.5" spans="1:5">
      <c r="A2251" s="151">
        <v>2250</v>
      </c>
      <c r="B2251" s="152" t="s">
        <v>7548</v>
      </c>
      <c r="C2251" s="160" t="s">
        <v>16630</v>
      </c>
      <c r="D2251" s="160">
        <v>100</v>
      </c>
      <c r="E2251" s="161">
        <f>SUM(D2251*100)</f>
        <v>10000</v>
      </c>
    </row>
    <row r="2252" ht="16.5" spans="1:5">
      <c r="A2252" s="151">
        <v>2251</v>
      </c>
      <c r="B2252" s="152" t="s">
        <v>7552</v>
      </c>
      <c r="C2252" s="156" t="s">
        <v>16629</v>
      </c>
      <c r="D2252" s="157">
        <v>10</v>
      </c>
      <c r="E2252" s="155">
        <f>+D2252*100</f>
        <v>1000</v>
      </c>
    </row>
    <row r="2253" ht="16.5" spans="1:5">
      <c r="A2253" s="151">
        <v>2252</v>
      </c>
      <c r="B2253" s="152" t="s">
        <v>7555</v>
      </c>
      <c r="C2253" s="156" t="s">
        <v>16629</v>
      </c>
      <c r="D2253" s="157">
        <v>10</v>
      </c>
      <c r="E2253" s="155">
        <f>+D2253*100</f>
        <v>1000</v>
      </c>
    </row>
    <row r="2254" ht="16.5" spans="1:5">
      <c r="A2254" s="151">
        <v>2253</v>
      </c>
      <c r="B2254" s="152" t="s">
        <v>7558</v>
      </c>
      <c r="C2254" s="153" t="s">
        <v>16629</v>
      </c>
      <c r="D2254" s="154">
        <v>10</v>
      </c>
      <c r="E2254" s="155">
        <f>+D2254*100</f>
        <v>1000</v>
      </c>
    </row>
    <row r="2255" ht="16.5" spans="1:5">
      <c r="A2255" s="151">
        <v>2254</v>
      </c>
      <c r="B2255" s="152" t="s">
        <v>7562</v>
      </c>
      <c r="C2255" s="162" t="s">
        <v>16633</v>
      </c>
      <c r="D2255" s="171">
        <f>G2255/100</f>
        <v>0</v>
      </c>
      <c r="E2255" s="171">
        <f>G2255</f>
        <v>0</v>
      </c>
    </row>
    <row r="2256" ht="16.5" spans="1:5">
      <c r="A2256" s="151">
        <v>2255</v>
      </c>
      <c r="B2256" s="152" t="s">
        <v>7562</v>
      </c>
      <c r="C2256" s="162" t="s">
        <v>16631</v>
      </c>
      <c r="D2256" s="163">
        <v>1000</v>
      </c>
      <c r="E2256" s="163">
        <f>D2256*100</f>
        <v>100000</v>
      </c>
    </row>
    <row r="2257" ht="16.5" spans="1:5">
      <c r="A2257" s="151">
        <v>2256</v>
      </c>
      <c r="B2257" s="152" t="s">
        <v>7566</v>
      </c>
      <c r="C2257" s="153" t="s">
        <v>16629</v>
      </c>
      <c r="D2257" s="154">
        <v>10</v>
      </c>
      <c r="E2257" s="155">
        <f>+D2257*100</f>
        <v>1000</v>
      </c>
    </row>
    <row r="2258" ht="16.5" spans="1:5">
      <c r="A2258" s="151">
        <v>2257</v>
      </c>
      <c r="B2258" s="152" t="s">
        <v>7569</v>
      </c>
      <c r="C2258" s="162" t="s">
        <v>16631</v>
      </c>
      <c r="D2258" s="163">
        <v>1000</v>
      </c>
      <c r="E2258" s="163">
        <f>D2258*100</f>
        <v>100000</v>
      </c>
    </row>
    <row r="2259" ht="16.5" spans="1:5">
      <c r="A2259" s="151">
        <v>2258</v>
      </c>
      <c r="B2259" s="152" t="s">
        <v>7574</v>
      </c>
      <c r="C2259" s="162" t="s">
        <v>16631</v>
      </c>
      <c r="D2259" s="163">
        <v>1000</v>
      </c>
      <c r="E2259" s="163">
        <f>D2259*100</f>
        <v>100000</v>
      </c>
    </row>
    <row r="2260" ht="16.5" spans="1:5">
      <c r="A2260" s="151">
        <v>2259</v>
      </c>
      <c r="B2260" s="152" t="s">
        <v>7578</v>
      </c>
      <c r="C2260" s="162" t="s">
        <v>16631</v>
      </c>
      <c r="D2260" s="163">
        <v>1000</v>
      </c>
      <c r="E2260" s="163">
        <f>D2260*100</f>
        <v>100000</v>
      </c>
    </row>
    <row r="2261" ht="16.5" spans="1:5">
      <c r="A2261" s="151">
        <v>2260</v>
      </c>
      <c r="B2261" s="152" t="s">
        <v>7583</v>
      </c>
      <c r="C2261" s="156" t="s">
        <v>16629</v>
      </c>
      <c r="D2261" s="159">
        <v>10</v>
      </c>
      <c r="E2261" s="155">
        <f>+D2261*100</f>
        <v>1000</v>
      </c>
    </row>
    <row r="2262" ht="16.5" spans="1:5">
      <c r="A2262" s="151">
        <v>2261</v>
      </c>
      <c r="B2262" s="152" t="s">
        <v>7587</v>
      </c>
      <c r="C2262" s="160" t="s">
        <v>16630</v>
      </c>
      <c r="D2262" s="160">
        <v>10000</v>
      </c>
      <c r="E2262" s="161">
        <f>SUM(D2262*10)</f>
        <v>100000</v>
      </c>
    </row>
    <row r="2263" ht="16.5" spans="1:5">
      <c r="A2263" s="151">
        <v>2262</v>
      </c>
      <c r="B2263" s="152" t="s">
        <v>7591</v>
      </c>
      <c r="C2263" s="160" t="s">
        <v>16630</v>
      </c>
      <c r="D2263" s="160">
        <v>400</v>
      </c>
      <c r="E2263" s="161">
        <f>SUM(D2263*100)</f>
        <v>40000</v>
      </c>
    </row>
    <row r="2264" ht="16.5" spans="1:5">
      <c r="A2264" s="151">
        <v>2263</v>
      </c>
      <c r="B2264" s="152" t="s">
        <v>7595</v>
      </c>
      <c r="C2264" s="160" t="s">
        <v>16630</v>
      </c>
      <c r="D2264" s="160">
        <v>40</v>
      </c>
      <c r="E2264" s="161">
        <f>SUM(D2264*100)</f>
        <v>4000</v>
      </c>
    </row>
    <row r="2265" ht="16.5" spans="1:5">
      <c r="A2265" s="151">
        <v>2264</v>
      </c>
      <c r="B2265" s="152" t="s">
        <v>7599</v>
      </c>
      <c r="C2265" s="153" t="s">
        <v>16629</v>
      </c>
      <c r="D2265" s="154">
        <v>10</v>
      </c>
      <c r="E2265" s="155">
        <f>+D2265*100</f>
        <v>1000</v>
      </c>
    </row>
    <row r="2266" ht="16.5" spans="1:5">
      <c r="A2266" s="151">
        <v>2265</v>
      </c>
      <c r="B2266" s="152" t="s">
        <v>7602</v>
      </c>
      <c r="C2266" s="166" t="s">
        <v>16632</v>
      </c>
      <c r="D2266" s="151">
        <f>IFERROR(__xludf.DUMMYFUNCTION("""COMPUTED_VALUE"""),10000)</f>
        <v>10000</v>
      </c>
      <c r="E2266" s="167">
        <f>IFERROR(__xludf.DUMMYFUNCTION("""COMPUTED_VALUE"""),1500000)</f>
        <v>1500000</v>
      </c>
    </row>
    <row r="2267" ht="16.5" spans="1:5">
      <c r="A2267" s="151">
        <v>2266</v>
      </c>
      <c r="B2267" s="152" t="s">
        <v>7603</v>
      </c>
      <c r="C2267" s="153" t="s">
        <v>16629</v>
      </c>
      <c r="D2267" s="154">
        <v>10</v>
      </c>
      <c r="E2267" s="155">
        <f>+D2267*100</f>
        <v>1000</v>
      </c>
    </row>
    <row r="2268" ht="16.5" spans="1:5">
      <c r="A2268" s="151">
        <v>2267</v>
      </c>
      <c r="B2268" s="152" t="s">
        <v>7607</v>
      </c>
      <c r="C2268" s="153" t="s">
        <v>16629</v>
      </c>
      <c r="D2268" s="154">
        <v>10</v>
      </c>
      <c r="E2268" s="155">
        <f>+D2268*100</f>
        <v>1000</v>
      </c>
    </row>
    <row r="2269" ht="16.5" spans="1:5">
      <c r="A2269" s="151">
        <v>2268</v>
      </c>
      <c r="B2269" s="152" t="s">
        <v>7610</v>
      </c>
      <c r="C2269" s="153" t="s">
        <v>16629</v>
      </c>
      <c r="D2269" s="158">
        <v>10</v>
      </c>
      <c r="E2269" s="155">
        <f>+D2269*100</f>
        <v>1000</v>
      </c>
    </row>
    <row r="2270" ht="16.5" spans="1:5">
      <c r="A2270" s="151">
        <v>2269</v>
      </c>
      <c r="B2270" s="152" t="s">
        <v>7613</v>
      </c>
      <c r="C2270" s="153" t="s">
        <v>16629</v>
      </c>
      <c r="D2270" s="158">
        <v>10</v>
      </c>
      <c r="E2270" s="155">
        <f>+D2270*100</f>
        <v>1000</v>
      </c>
    </row>
    <row r="2271" ht="16.5" spans="1:5">
      <c r="A2271" s="151">
        <v>2270</v>
      </c>
      <c r="B2271" s="152" t="s">
        <v>7617</v>
      </c>
      <c r="C2271" s="156" t="s">
        <v>16629</v>
      </c>
      <c r="D2271" s="159">
        <v>10</v>
      </c>
      <c r="E2271" s="155">
        <f>SUM(D2271*100)</f>
        <v>1000</v>
      </c>
    </row>
    <row r="2272" ht="16.5" spans="1:5">
      <c r="A2272" s="151">
        <v>2271</v>
      </c>
      <c r="B2272" s="152" t="s">
        <v>7621</v>
      </c>
      <c r="C2272" s="153" t="s">
        <v>16629</v>
      </c>
      <c r="D2272" s="158">
        <v>10</v>
      </c>
      <c r="E2272" s="155">
        <f t="shared" ref="E2272:E2281" si="76">+D2272*100</f>
        <v>1000</v>
      </c>
    </row>
    <row r="2273" ht="16.5" spans="1:5">
      <c r="A2273" s="151">
        <v>2272</v>
      </c>
      <c r="B2273" s="152" t="s">
        <v>7624</v>
      </c>
      <c r="C2273" s="156" t="s">
        <v>16629</v>
      </c>
      <c r="D2273" s="157">
        <v>10</v>
      </c>
      <c r="E2273" s="155">
        <f t="shared" si="76"/>
        <v>1000</v>
      </c>
    </row>
    <row r="2274" ht="16.5" spans="1:5">
      <c r="A2274" s="151">
        <v>2273</v>
      </c>
      <c r="B2274" s="152" t="s">
        <v>7627</v>
      </c>
      <c r="C2274" s="156" t="s">
        <v>16629</v>
      </c>
      <c r="D2274" s="157">
        <v>10</v>
      </c>
      <c r="E2274" s="155">
        <f t="shared" si="76"/>
        <v>1000</v>
      </c>
    </row>
    <row r="2275" ht="16.5" spans="1:5">
      <c r="A2275" s="151">
        <v>2274</v>
      </c>
      <c r="B2275" s="152" t="s">
        <v>7631</v>
      </c>
      <c r="C2275" s="153" t="s">
        <v>16629</v>
      </c>
      <c r="D2275" s="158">
        <v>10</v>
      </c>
      <c r="E2275" s="155">
        <f t="shared" si="76"/>
        <v>1000</v>
      </c>
    </row>
    <row r="2276" ht="16.5" spans="1:5">
      <c r="A2276" s="151">
        <v>2275</v>
      </c>
      <c r="B2276" s="152" t="s">
        <v>7634</v>
      </c>
      <c r="C2276" s="156" t="s">
        <v>16629</v>
      </c>
      <c r="D2276" s="154">
        <v>10</v>
      </c>
      <c r="E2276" s="155">
        <f t="shared" si="76"/>
        <v>1000</v>
      </c>
    </row>
    <row r="2277" ht="16.5" spans="1:5">
      <c r="A2277" s="151">
        <v>2276</v>
      </c>
      <c r="B2277" s="152" t="s">
        <v>7637</v>
      </c>
      <c r="C2277" s="156" t="s">
        <v>16629</v>
      </c>
      <c r="D2277" s="159">
        <v>10</v>
      </c>
      <c r="E2277" s="155">
        <f t="shared" si="76"/>
        <v>1000</v>
      </c>
    </row>
    <row r="2278" ht="16.5" spans="1:5">
      <c r="A2278" s="151">
        <v>2277</v>
      </c>
      <c r="B2278" s="152" t="s">
        <v>7641</v>
      </c>
      <c r="C2278" s="153" t="s">
        <v>16629</v>
      </c>
      <c r="D2278" s="154">
        <v>10</v>
      </c>
      <c r="E2278" s="155">
        <f t="shared" si="76"/>
        <v>1000</v>
      </c>
    </row>
    <row r="2279" ht="16.5" spans="1:5">
      <c r="A2279" s="151">
        <v>2278</v>
      </c>
      <c r="B2279" s="152" t="s">
        <v>7644</v>
      </c>
      <c r="C2279" s="156" t="s">
        <v>16629</v>
      </c>
      <c r="D2279" s="157">
        <v>10</v>
      </c>
      <c r="E2279" s="155">
        <f t="shared" si="76"/>
        <v>1000</v>
      </c>
    </row>
    <row r="2280" ht="16.5" spans="1:5">
      <c r="A2280" s="151">
        <v>2279</v>
      </c>
      <c r="B2280" s="152" t="s">
        <v>7647</v>
      </c>
      <c r="C2280" s="156" t="s">
        <v>16629</v>
      </c>
      <c r="D2280" s="157">
        <v>10</v>
      </c>
      <c r="E2280" s="155">
        <f t="shared" si="76"/>
        <v>1000</v>
      </c>
    </row>
    <row r="2281" ht="16.5" spans="1:5">
      <c r="A2281" s="151">
        <v>2280</v>
      </c>
      <c r="B2281" s="152" t="s">
        <v>7650</v>
      </c>
      <c r="C2281" s="156" t="s">
        <v>16629</v>
      </c>
      <c r="D2281" s="157">
        <v>10</v>
      </c>
      <c r="E2281" s="155">
        <f t="shared" si="76"/>
        <v>1000</v>
      </c>
    </row>
    <row r="2282" ht="16.5" spans="1:5">
      <c r="A2282" s="151">
        <v>2281</v>
      </c>
      <c r="B2282" s="152" t="s">
        <v>7653</v>
      </c>
      <c r="C2282" s="160" t="s">
        <v>16630</v>
      </c>
      <c r="D2282" s="160">
        <v>50</v>
      </c>
      <c r="E2282" s="161">
        <f>SUM(D2282*100)</f>
        <v>5000</v>
      </c>
    </row>
    <row r="2283" ht="16.5" spans="1:5">
      <c r="A2283" s="151">
        <v>2282</v>
      </c>
      <c r="B2283" s="152" t="s">
        <v>7656</v>
      </c>
      <c r="C2283" s="166" t="s">
        <v>16632</v>
      </c>
      <c r="D2283" s="166">
        <f>IFERROR(__xludf.DUMMYFUNCTION("""COMPUTED_VALUE"""),10000)</f>
        <v>10000</v>
      </c>
      <c r="E2283" s="168">
        <f>IFERROR(__xludf.DUMMYFUNCTION("""COMPUTED_VALUE"""),1500000)</f>
        <v>1500000</v>
      </c>
    </row>
    <row r="2284" ht="16.5" spans="1:5">
      <c r="A2284" s="151">
        <v>2283</v>
      </c>
      <c r="B2284" s="152" t="s">
        <v>7656</v>
      </c>
      <c r="C2284" s="166" t="s">
        <v>16632</v>
      </c>
      <c r="D2284" s="166">
        <f>IFERROR(__xludf.DUMMYFUNCTION("""COMPUTED_VALUE"""),10000)</f>
        <v>10000</v>
      </c>
      <c r="E2284" s="168">
        <f>IFERROR(__xludf.DUMMYFUNCTION("""COMPUTED_VALUE"""),1500000)</f>
        <v>1500000</v>
      </c>
    </row>
    <row r="2285" ht="16.5" spans="1:5">
      <c r="A2285" s="151">
        <v>2284</v>
      </c>
      <c r="B2285" s="152" t="s">
        <v>7657</v>
      </c>
      <c r="C2285" s="156" t="s">
        <v>16629</v>
      </c>
      <c r="D2285" s="157">
        <v>10</v>
      </c>
      <c r="E2285" s="155">
        <f t="shared" ref="E2285:E2306" si="77">+D2285*100</f>
        <v>1000</v>
      </c>
    </row>
    <row r="2286" ht="16.5" spans="1:5">
      <c r="A2286" s="151">
        <v>2285</v>
      </c>
      <c r="B2286" s="152" t="s">
        <v>7660</v>
      </c>
      <c r="C2286" s="153" t="s">
        <v>16629</v>
      </c>
      <c r="D2286" s="158">
        <v>10</v>
      </c>
      <c r="E2286" s="155">
        <f t="shared" si="77"/>
        <v>1000</v>
      </c>
    </row>
    <row r="2287" ht="16.5" spans="1:5">
      <c r="A2287" s="151">
        <v>2286</v>
      </c>
      <c r="B2287" s="152" t="s">
        <v>7663</v>
      </c>
      <c r="C2287" s="153" t="s">
        <v>16629</v>
      </c>
      <c r="D2287" s="154">
        <v>10</v>
      </c>
      <c r="E2287" s="155">
        <f t="shared" si="77"/>
        <v>1000</v>
      </c>
    </row>
    <row r="2288" ht="16.5" spans="1:5">
      <c r="A2288" s="151">
        <v>2287</v>
      </c>
      <c r="B2288" s="152" t="s">
        <v>7666</v>
      </c>
      <c r="C2288" s="156" t="s">
        <v>16629</v>
      </c>
      <c r="D2288" s="159">
        <v>10</v>
      </c>
      <c r="E2288" s="155">
        <f t="shared" si="77"/>
        <v>1000</v>
      </c>
    </row>
    <row r="2289" ht="16.5" spans="1:5">
      <c r="A2289" s="151">
        <v>2288</v>
      </c>
      <c r="B2289" s="152" t="s">
        <v>7669</v>
      </c>
      <c r="C2289" s="153" t="s">
        <v>16629</v>
      </c>
      <c r="D2289" s="154">
        <v>10</v>
      </c>
      <c r="E2289" s="155">
        <f t="shared" si="77"/>
        <v>1000</v>
      </c>
    </row>
    <row r="2290" ht="16.5" spans="1:5">
      <c r="A2290" s="151">
        <v>2289</v>
      </c>
      <c r="B2290" s="152" t="s">
        <v>7672</v>
      </c>
      <c r="C2290" s="153" t="s">
        <v>16629</v>
      </c>
      <c r="D2290" s="154">
        <v>10</v>
      </c>
      <c r="E2290" s="155">
        <f t="shared" si="77"/>
        <v>1000</v>
      </c>
    </row>
    <row r="2291" ht="16.5" spans="1:5">
      <c r="A2291" s="151">
        <v>2290</v>
      </c>
      <c r="B2291" s="152" t="s">
        <v>7675</v>
      </c>
      <c r="C2291" s="153" t="s">
        <v>16629</v>
      </c>
      <c r="D2291" s="154">
        <v>10</v>
      </c>
      <c r="E2291" s="155">
        <f t="shared" si="77"/>
        <v>1000</v>
      </c>
    </row>
    <row r="2292" ht="16.5" spans="1:5">
      <c r="A2292" s="151">
        <v>2291</v>
      </c>
      <c r="B2292" s="152" t="s">
        <v>7678</v>
      </c>
      <c r="C2292" s="156" t="s">
        <v>16629</v>
      </c>
      <c r="D2292" s="159">
        <v>10</v>
      </c>
      <c r="E2292" s="155">
        <f t="shared" si="77"/>
        <v>1000</v>
      </c>
    </row>
    <row r="2293" ht="16.5" spans="1:5">
      <c r="A2293" s="151">
        <v>2292</v>
      </c>
      <c r="B2293" s="152" t="s">
        <v>7682</v>
      </c>
      <c r="C2293" s="156" t="s">
        <v>16629</v>
      </c>
      <c r="D2293" s="154">
        <v>10</v>
      </c>
      <c r="E2293" s="155">
        <f t="shared" si="77"/>
        <v>1000</v>
      </c>
    </row>
    <row r="2294" ht="16.5" spans="1:5">
      <c r="A2294" s="151">
        <v>2293</v>
      </c>
      <c r="B2294" s="152" t="s">
        <v>7685</v>
      </c>
      <c r="C2294" s="156" t="s">
        <v>16629</v>
      </c>
      <c r="D2294" s="159">
        <v>10</v>
      </c>
      <c r="E2294" s="155">
        <f t="shared" si="77"/>
        <v>1000</v>
      </c>
    </row>
    <row r="2295" ht="16.5" spans="1:5">
      <c r="A2295" s="151">
        <v>2294</v>
      </c>
      <c r="B2295" s="152" t="s">
        <v>7688</v>
      </c>
      <c r="C2295" s="156" t="s">
        <v>16629</v>
      </c>
      <c r="D2295" s="154">
        <v>10</v>
      </c>
      <c r="E2295" s="155">
        <f t="shared" si="77"/>
        <v>1000</v>
      </c>
    </row>
    <row r="2296" ht="16.5" spans="1:5">
      <c r="A2296" s="151">
        <v>2295</v>
      </c>
      <c r="B2296" s="152" t="s">
        <v>7691</v>
      </c>
      <c r="C2296" s="156" t="s">
        <v>16629</v>
      </c>
      <c r="D2296" s="154">
        <v>10</v>
      </c>
      <c r="E2296" s="155">
        <f t="shared" si="77"/>
        <v>1000</v>
      </c>
    </row>
    <row r="2297" ht="16.5" spans="1:5">
      <c r="A2297" s="151">
        <v>2296</v>
      </c>
      <c r="B2297" s="152" t="s">
        <v>7694</v>
      </c>
      <c r="C2297" s="153" t="s">
        <v>16629</v>
      </c>
      <c r="D2297" s="154">
        <v>10</v>
      </c>
      <c r="E2297" s="155">
        <f t="shared" si="77"/>
        <v>1000</v>
      </c>
    </row>
    <row r="2298" ht="16.5" spans="1:5">
      <c r="A2298" s="151">
        <v>2297</v>
      </c>
      <c r="B2298" s="152" t="s">
        <v>7697</v>
      </c>
      <c r="C2298" s="156" t="s">
        <v>16629</v>
      </c>
      <c r="D2298" s="159">
        <v>10</v>
      </c>
      <c r="E2298" s="155">
        <f t="shared" si="77"/>
        <v>1000</v>
      </c>
    </row>
    <row r="2299" ht="16.5" spans="1:5">
      <c r="A2299" s="151">
        <v>2298</v>
      </c>
      <c r="B2299" s="152" t="s">
        <v>7701</v>
      </c>
      <c r="C2299" s="156" t="s">
        <v>16629</v>
      </c>
      <c r="D2299" s="159">
        <v>10</v>
      </c>
      <c r="E2299" s="155">
        <f t="shared" si="77"/>
        <v>1000</v>
      </c>
    </row>
    <row r="2300" ht="16.5" spans="1:5">
      <c r="A2300" s="151">
        <v>2299</v>
      </c>
      <c r="B2300" s="152" t="s">
        <v>7705</v>
      </c>
      <c r="C2300" s="156" t="s">
        <v>16629</v>
      </c>
      <c r="D2300" s="180">
        <v>10</v>
      </c>
      <c r="E2300" s="155">
        <f t="shared" si="77"/>
        <v>1000</v>
      </c>
    </row>
    <row r="2301" ht="16.5" spans="1:5">
      <c r="A2301" s="151">
        <v>2300</v>
      </c>
      <c r="B2301" s="152" t="s">
        <v>7709</v>
      </c>
      <c r="C2301" s="156" t="s">
        <v>16629</v>
      </c>
      <c r="D2301" s="157">
        <v>10</v>
      </c>
      <c r="E2301" s="155">
        <f t="shared" si="77"/>
        <v>1000</v>
      </c>
    </row>
    <row r="2302" ht="16.5" spans="1:5">
      <c r="A2302" s="151">
        <v>2301</v>
      </c>
      <c r="B2302" s="152" t="s">
        <v>7712</v>
      </c>
      <c r="C2302" s="156" t="s">
        <v>16629</v>
      </c>
      <c r="D2302" s="157">
        <v>10</v>
      </c>
      <c r="E2302" s="155">
        <f t="shared" si="77"/>
        <v>1000</v>
      </c>
    </row>
    <row r="2303" ht="16.5" spans="1:5">
      <c r="A2303" s="151">
        <v>2302</v>
      </c>
      <c r="B2303" s="152" t="s">
        <v>7715</v>
      </c>
      <c r="C2303" s="156" t="s">
        <v>16629</v>
      </c>
      <c r="D2303" s="159">
        <v>10</v>
      </c>
      <c r="E2303" s="155">
        <f t="shared" si="77"/>
        <v>1000</v>
      </c>
    </row>
    <row r="2304" ht="16.5" spans="1:5">
      <c r="A2304" s="151">
        <v>2303</v>
      </c>
      <c r="B2304" s="152" t="s">
        <v>7718</v>
      </c>
      <c r="C2304" s="153" t="s">
        <v>16629</v>
      </c>
      <c r="D2304" s="154">
        <v>10</v>
      </c>
      <c r="E2304" s="155">
        <f t="shared" si="77"/>
        <v>1000</v>
      </c>
    </row>
    <row r="2305" ht="16.5" spans="1:5">
      <c r="A2305" s="151">
        <v>2304</v>
      </c>
      <c r="B2305" s="152" t="s">
        <v>7721</v>
      </c>
      <c r="C2305" s="153" t="s">
        <v>16629</v>
      </c>
      <c r="D2305" s="154">
        <v>10</v>
      </c>
      <c r="E2305" s="155">
        <f t="shared" si="77"/>
        <v>1000</v>
      </c>
    </row>
    <row r="2306" ht="16.5" spans="1:5">
      <c r="A2306" s="151">
        <v>2305</v>
      </c>
      <c r="B2306" s="152" t="s">
        <v>7725</v>
      </c>
      <c r="C2306" s="156" t="s">
        <v>16629</v>
      </c>
      <c r="D2306" s="158">
        <v>10</v>
      </c>
      <c r="E2306" s="155">
        <f t="shared" si="77"/>
        <v>1000</v>
      </c>
    </row>
    <row r="2307" ht="16.5" spans="1:5">
      <c r="A2307" s="151">
        <v>2306</v>
      </c>
      <c r="B2307" s="152" t="s">
        <v>7728</v>
      </c>
      <c r="C2307" s="160" t="s">
        <v>16630</v>
      </c>
      <c r="D2307" s="160">
        <v>10</v>
      </c>
      <c r="E2307" s="161">
        <f>SUM(D2307*100)</f>
        <v>1000</v>
      </c>
    </row>
    <row r="2308" ht="16.5" spans="1:5">
      <c r="A2308" s="151">
        <v>2307</v>
      </c>
      <c r="B2308" s="152" t="s">
        <v>7732</v>
      </c>
      <c r="C2308" s="156" t="s">
        <v>16629</v>
      </c>
      <c r="D2308" s="159">
        <v>10</v>
      </c>
      <c r="E2308" s="155">
        <f t="shared" ref="E2308:E2314" si="78">+D2308*100</f>
        <v>1000</v>
      </c>
    </row>
    <row r="2309" ht="16.5" spans="1:5">
      <c r="A2309" s="151">
        <v>2308</v>
      </c>
      <c r="B2309" s="152" t="s">
        <v>7735</v>
      </c>
      <c r="C2309" s="156" t="s">
        <v>16629</v>
      </c>
      <c r="D2309" s="159">
        <v>10</v>
      </c>
      <c r="E2309" s="155">
        <f t="shared" si="78"/>
        <v>1000</v>
      </c>
    </row>
    <row r="2310" ht="16.5" spans="1:5">
      <c r="A2310" s="151">
        <v>2309</v>
      </c>
      <c r="B2310" s="152" t="s">
        <v>7738</v>
      </c>
      <c r="C2310" s="156" t="s">
        <v>16629</v>
      </c>
      <c r="D2310" s="159">
        <v>10</v>
      </c>
      <c r="E2310" s="155">
        <f t="shared" si="78"/>
        <v>1000</v>
      </c>
    </row>
    <row r="2311" ht="16.5" spans="1:5">
      <c r="A2311" s="151">
        <v>2310</v>
      </c>
      <c r="B2311" s="152" t="s">
        <v>7742</v>
      </c>
      <c r="C2311" s="153" t="s">
        <v>16629</v>
      </c>
      <c r="D2311" s="154">
        <v>10</v>
      </c>
      <c r="E2311" s="155">
        <f t="shared" si="78"/>
        <v>1000</v>
      </c>
    </row>
    <row r="2312" ht="16.5" spans="1:5">
      <c r="A2312" s="151">
        <v>2311</v>
      </c>
      <c r="B2312" s="152" t="s">
        <v>7746</v>
      </c>
      <c r="C2312" s="153" t="s">
        <v>16629</v>
      </c>
      <c r="D2312" s="158">
        <v>10</v>
      </c>
      <c r="E2312" s="155">
        <f t="shared" si="78"/>
        <v>1000</v>
      </c>
    </row>
    <row r="2313" ht="16.5" spans="1:5">
      <c r="A2313" s="151">
        <v>2312</v>
      </c>
      <c r="B2313" s="152" t="s">
        <v>7749</v>
      </c>
      <c r="C2313" s="156" t="s">
        <v>16629</v>
      </c>
      <c r="D2313" s="159">
        <v>10</v>
      </c>
      <c r="E2313" s="155">
        <f t="shared" si="78"/>
        <v>1000</v>
      </c>
    </row>
    <row r="2314" ht="16.5" spans="1:5">
      <c r="A2314" s="151">
        <v>2313</v>
      </c>
      <c r="B2314" s="152" t="s">
        <v>7752</v>
      </c>
      <c r="C2314" s="156" t="s">
        <v>16629</v>
      </c>
      <c r="D2314" s="157">
        <v>10</v>
      </c>
      <c r="E2314" s="155">
        <f t="shared" si="78"/>
        <v>1000</v>
      </c>
    </row>
    <row r="2315" ht="16.5" spans="1:5">
      <c r="A2315" s="151">
        <v>2314</v>
      </c>
      <c r="B2315" s="152" t="s">
        <v>7755</v>
      </c>
      <c r="C2315" s="153" t="s">
        <v>16629</v>
      </c>
      <c r="D2315" s="154">
        <v>10</v>
      </c>
      <c r="E2315" s="155">
        <f>SUM(D2315*100)</f>
        <v>1000</v>
      </c>
    </row>
    <row r="2316" ht="16.5" spans="1:5">
      <c r="A2316" s="151">
        <v>2315</v>
      </c>
      <c r="B2316" s="152" t="s">
        <v>7758</v>
      </c>
      <c r="C2316" s="160" t="s">
        <v>16630</v>
      </c>
      <c r="D2316" s="41">
        <v>50</v>
      </c>
      <c r="E2316" s="161">
        <f>SUM(D2316*100)</f>
        <v>5000</v>
      </c>
    </row>
    <row r="2317" ht="16.5" spans="1:5">
      <c r="A2317" s="151">
        <v>2316</v>
      </c>
      <c r="B2317" s="152" t="s">
        <v>7761</v>
      </c>
      <c r="C2317" s="166" t="s">
        <v>16632</v>
      </c>
      <c r="D2317" s="151">
        <f>IFERROR(__xludf.DUMMYFUNCTION("""COMPUTED_VALUE"""),10000)</f>
        <v>10000</v>
      </c>
      <c r="E2317" s="167">
        <f>IFERROR(__xludf.DUMMYFUNCTION("""COMPUTED_VALUE"""),1500000)</f>
        <v>1500000</v>
      </c>
    </row>
    <row r="2318" ht="16.5" spans="1:5">
      <c r="A2318" s="151">
        <v>2317</v>
      </c>
      <c r="B2318" s="152" t="s">
        <v>7762</v>
      </c>
      <c r="C2318" s="153" t="s">
        <v>16629</v>
      </c>
      <c r="D2318" s="154">
        <v>10</v>
      </c>
      <c r="E2318" s="155">
        <f>+D2318*100</f>
        <v>1000</v>
      </c>
    </row>
    <row r="2319" ht="16.5" spans="1:5">
      <c r="A2319" s="151">
        <v>2318</v>
      </c>
      <c r="B2319" s="152" t="s">
        <v>7766</v>
      </c>
      <c r="C2319" s="160" t="s">
        <v>16630</v>
      </c>
      <c r="D2319" s="160">
        <v>50</v>
      </c>
      <c r="E2319" s="161">
        <f>SUM(D2319*100)</f>
        <v>5000</v>
      </c>
    </row>
    <row r="2320" ht="16.5" spans="1:5">
      <c r="A2320" s="151">
        <v>2319</v>
      </c>
      <c r="B2320" s="152" t="s">
        <v>7770</v>
      </c>
      <c r="C2320" s="156" t="s">
        <v>16629</v>
      </c>
      <c r="D2320" s="159">
        <v>10</v>
      </c>
      <c r="E2320" s="155">
        <f>+D2320*100</f>
        <v>1000</v>
      </c>
    </row>
    <row r="2321" ht="16.5" spans="1:5">
      <c r="A2321" s="151">
        <v>2320</v>
      </c>
      <c r="B2321" s="152" t="s">
        <v>7774</v>
      </c>
      <c r="C2321" s="153" t="s">
        <v>16629</v>
      </c>
      <c r="D2321" s="158">
        <v>10</v>
      </c>
      <c r="E2321" s="155">
        <f>+D2321*100</f>
        <v>1000</v>
      </c>
    </row>
    <row r="2322" ht="16.5" spans="1:5">
      <c r="A2322" s="151">
        <v>2321</v>
      </c>
      <c r="B2322" s="152" t="s">
        <v>7777</v>
      </c>
      <c r="C2322" s="160" t="s">
        <v>16630</v>
      </c>
      <c r="D2322" s="41">
        <v>50</v>
      </c>
      <c r="E2322" s="161">
        <f>SUM(D2322*100)</f>
        <v>5000</v>
      </c>
    </row>
    <row r="2323" ht="16.5" spans="1:5">
      <c r="A2323" s="151">
        <v>2322</v>
      </c>
      <c r="B2323" s="152" t="s">
        <v>7780</v>
      </c>
      <c r="C2323" s="160" t="s">
        <v>16630</v>
      </c>
      <c r="D2323" s="41">
        <v>50</v>
      </c>
      <c r="E2323" s="161">
        <f>SUM(D2323*100)</f>
        <v>5000</v>
      </c>
    </row>
    <row r="2324" ht="16.5" spans="1:5">
      <c r="A2324" s="151">
        <v>2323</v>
      </c>
      <c r="B2324" s="152" t="s">
        <v>7783</v>
      </c>
      <c r="C2324" s="156" t="s">
        <v>16629</v>
      </c>
      <c r="D2324" s="157">
        <v>10</v>
      </c>
      <c r="E2324" s="155">
        <f>+D2324*100</f>
        <v>1000</v>
      </c>
    </row>
    <row r="2325" ht="16.5" spans="1:5">
      <c r="A2325" s="151">
        <v>2324</v>
      </c>
      <c r="B2325" s="152" t="s">
        <v>7786</v>
      </c>
      <c r="C2325" s="153" t="s">
        <v>16629</v>
      </c>
      <c r="D2325" s="154">
        <v>10</v>
      </c>
      <c r="E2325" s="155">
        <f>+D2325*100</f>
        <v>1000</v>
      </c>
    </row>
    <row r="2326" ht="16.5" spans="1:5">
      <c r="A2326" s="151">
        <v>2325</v>
      </c>
      <c r="B2326" s="152" t="s">
        <v>7789</v>
      </c>
      <c r="C2326" s="156" t="s">
        <v>16629</v>
      </c>
      <c r="D2326" s="157">
        <v>10</v>
      </c>
      <c r="E2326" s="155">
        <f>+D2326*100</f>
        <v>1000</v>
      </c>
    </row>
    <row r="2327" ht="16.5" spans="1:5">
      <c r="A2327" s="151">
        <v>2326</v>
      </c>
      <c r="B2327" s="152" t="s">
        <v>7792</v>
      </c>
      <c r="C2327" s="160" t="s">
        <v>16630</v>
      </c>
      <c r="D2327" s="41">
        <v>300</v>
      </c>
      <c r="E2327" s="161">
        <f>SUM(D2327*100)</f>
        <v>30000</v>
      </c>
    </row>
    <row r="2328" ht="16.5" spans="1:5">
      <c r="A2328" s="151">
        <v>2327</v>
      </c>
      <c r="B2328" s="152" t="s">
        <v>7795</v>
      </c>
      <c r="C2328" s="166" t="s">
        <v>16632</v>
      </c>
      <c r="D2328" s="166">
        <f>IFERROR(__xludf.DUMMYFUNCTION("""COMPUTED_VALUE"""),10000)</f>
        <v>10000</v>
      </c>
      <c r="E2328" s="168">
        <f>IFERROR(__xludf.DUMMYFUNCTION("""COMPUTED_VALUE"""),1500000)</f>
        <v>1500000</v>
      </c>
    </row>
    <row r="2329" ht="16.5" spans="1:5">
      <c r="A2329" s="151">
        <v>2328</v>
      </c>
      <c r="B2329" s="152" t="s">
        <v>7796</v>
      </c>
      <c r="C2329" s="160" t="s">
        <v>16630</v>
      </c>
      <c r="D2329" s="160">
        <v>20</v>
      </c>
      <c r="E2329" s="161">
        <f>SUM(D2329*100)</f>
        <v>2000</v>
      </c>
    </row>
    <row r="2330" ht="16.5" spans="1:5">
      <c r="A2330" s="151">
        <v>2329</v>
      </c>
      <c r="B2330" s="152" t="s">
        <v>7800</v>
      </c>
      <c r="C2330" s="160" t="s">
        <v>16630</v>
      </c>
      <c r="D2330" s="160">
        <v>20</v>
      </c>
      <c r="E2330" s="161">
        <f>SUM(D2330*100)</f>
        <v>2000</v>
      </c>
    </row>
    <row r="2331" ht="16.5" spans="1:5">
      <c r="A2331" s="151">
        <v>2330</v>
      </c>
      <c r="B2331" s="152" t="s">
        <v>7804</v>
      </c>
      <c r="C2331" s="160" t="s">
        <v>16630</v>
      </c>
      <c r="D2331" s="160">
        <v>50</v>
      </c>
      <c r="E2331" s="161">
        <f>SUM(D2331*100)</f>
        <v>5000</v>
      </c>
    </row>
    <row r="2332" ht="16.5" spans="1:5">
      <c r="A2332" s="151">
        <v>2331</v>
      </c>
      <c r="B2332" s="152" t="s">
        <v>7808</v>
      </c>
      <c r="C2332" s="160" t="s">
        <v>16630</v>
      </c>
      <c r="D2332" s="175">
        <v>50</v>
      </c>
      <c r="E2332" s="161">
        <f>SUM(D2332*100)</f>
        <v>5000</v>
      </c>
    </row>
    <row r="2333" ht="16.5" spans="1:5">
      <c r="A2333" s="151">
        <v>2332</v>
      </c>
      <c r="B2333" s="152" t="s">
        <v>7811</v>
      </c>
      <c r="C2333" s="162" t="s">
        <v>16631</v>
      </c>
      <c r="D2333" s="169">
        <v>2000</v>
      </c>
      <c r="E2333" s="170">
        <f>D2333*100</f>
        <v>200000</v>
      </c>
    </row>
    <row r="2334" ht="16.5" spans="1:5">
      <c r="A2334" s="151">
        <v>2333</v>
      </c>
      <c r="B2334" s="152" t="s">
        <v>7816</v>
      </c>
      <c r="C2334" s="160" t="s">
        <v>16630</v>
      </c>
      <c r="D2334" s="160">
        <v>70</v>
      </c>
      <c r="E2334" s="161">
        <f>SUM(D2334*100)</f>
        <v>7000</v>
      </c>
    </row>
    <row r="2335" ht="16.5" spans="1:5">
      <c r="A2335" s="151">
        <v>2334</v>
      </c>
      <c r="B2335" s="152" t="s">
        <v>7820</v>
      </c>
      <c r="C2335" s="160" t="s">
        <v>16630</v>
      </c>
      <c r="D2335" s="160">
        <v>70</v>
      </c>
      <c r="E2335" s="161">
        <f>SUM(D2335*100)</f>
        <v>7000</v>
      </c>
    </row>
    <row r="2336" ht="16.5" spans="1:5">
      <c r="A2336" s="151">
        <v>2335</v>
      </c>
      <c r="B2336" s="152" t="s">
        <v>7824</v>
      </c>
      <c r="C2336" s="156" t="s">
        <v>16629</v>
      </c>
      <c r="D2336" s="159">
        <v>10</v>
      </c>
      <c r="E2336" s="155">
        <f>+D2336*100</f>
        <v>1000</v>
      </c>
    </row>
    <row r="2337" ht="16.5" spans="1:5">
      <c r="A2337" s="151">
        <v>2336</v>
      </c>
      <c r="B2337" s="152" t="s">
        <v>7827</v>
      </c>
      <c r="C2337" s="156" t="s">
        <v>16629</v>
      </c>
      <c r="D2337" s="159">
        <v>10</v>
      </c>
      <c r="E2337" s="155">
        <f>+D2337*100</f>
        <v>1000</v>
      </c>
    </row>
    <row r="2338" ht="16.5" spans="1:5">
      <c r="A2338" s="151">
        <v>2337</v>
      </c>
      <c r="B2338" s="152" t="s">
        <v>7830</v>
      </c>
      <c r="C2338" s="166" t="s">
        <v>16632</v>
      </c>
      <c r="D2338" s="166">
        <f>IFERROR(__xludf.DUMMYFUNCTION("""COMPUTED_VALUE"""),15000)</f>
        <v>15000</v>
      </c>
      <c r="E2338" s="168">
        <f>IFERROR(__xludf.DUMMYFUNCTION("""COMPUTED_VALUE"""),1500000)</f>
        <v>1500000</v>
      </c>
    </row>
    <row r="2339" ht="16.5" spans="1:5">
      <c r="A2339" s="151">
        <v>2338</v>
      </c>
      <c r="B2339" s="152" t="s">
        <v>7831</v>
      </c>
      <c r="C2339" s="160" t="s">
        <v>16630</v>
      </c>
      <c r="D2339" s="160">
        <v>100</v>
      </c>
      <c r="E2339" s="161">
        <f>SUM(D2339*100)</f>
        <v>10000</v>
      </c>
    </row>
    <row r="2340" ht="16.5" spans="1:5">
      <c r="A2340" s="151">
        <v>2339</v>
      </c>
      <c r="B2340" s="152" t="s">
        <v>7836</v>
      </c>
      <c r="C2340" s="153" t="s">
        <v>16629</v>
      </c>
      <c r="D2340" s="158">
        <v>10</v>
      </c>
      <c r="E2340" s="155">
        <f>+D2340*100</f>
        <v>1000</v>
      </c>
    </row>
    <row r="2341" ht="16.5" spans="1:5">
      <c r="A2341" s="151">
        <v>2340</v>
      </c>
      <c r="B2341" s="152" t="s">
        <v>7839</v>
      </c>
      <c r="C2341" s="156" t="s">
        <v>16629</v>
      </c>
      <c r="D2341" s="159">
        <v>10</v>
      </c>
      <c r="E2341" s="155">
        <f>+D2341*100</f>
        <v>1000</v>
      </c>
    </row>
    <row r="2342" ht="16.5" spans="1:5">
      <c r="A2342" s="151">
        <v>2341</v>
      </c>
      <c r="B2342" s="152" t="s">
        <v>7842</v>
      </c>
      <c r="C2342" s="160" t="s">
        <v>16630</v>
      </c>
      <c r="D2342" s="160">
        <v>200</v>
      </c>
      <c r="E2342" s="161">
        <f>SUM(D2342*100)</f>
        <v>20000</v>
      </c>
    </row>
    <row r="2343" ht="16.5" spans="1:5">
      <c r="A2343" s="151">
        <v>2342</v>
      </c>
      <c r="B2343" s="152" t="s">
        <v>7845</v>
      </c>
      <c r="C2343" s="160" t="s">
        <v>16630</v>
      </c>
      <c r="D2343" s="182">
        <v>300</v>
      </c>
      <c r="E2343" s="161">
        <f>SUM(D2343*100)</f>
        <v>30000</v>
      </c>
    </row>
    <row r="2344" ht="16.5" spans="1:5">
      <c r="A2344" s="151">
        <v>2343</v>
      </c>
      <c r="B2344" s="152" t="s">
        <v>7848</v>
      </c>
      <c r="C2344" s="160" t="s">
        <v>16630</v>
      </c>
      <c r="D2344" s="41">
        <v>20</v>
      </c>
      <c r="E2344" s="161">
        <f>SUM(D2344*100)</f>
        <v>2000</v>
      </c>
    </row>
    <row r="2345" ht="16.5" spans="1:5">
      <c r="A2345" s="151">
        <v>2344</v>
      </c>
      <c r="B2345" s="152" t="s">
        <v>7851</v>
      </c>
      <c r="C2345" s="156" t="s">
        <v>16629</v>
      </c>
      <c r="D2345" s="159">
        <v>10</v>
      </c>
      <c r="E2345" s="155">
        <f>+D2345*100</f>
        <v>1000</v>
      </c>
    </row>
    <row r="2346" ht="16.5" spans="1:5">
      <c r="A2346" s="151">
        <v>2345</v>
      </c>
      <c r="B2346" s="152" t="s">
        <v>7855</v>
      </c>
      <c r="C2346" s="153" t="s">
        <v>16629</v>
      </c>
      <c r="D2346" s="154">
        <v>10</v>
      </c>
      <c r="E2346" s="155">
        <f>+D2346*100</f>
        <v>1000</v>
      </c>
    </row>
    <row r="2347" ht="16.5" spans="1:5">
      <c r="A2347" s="151">
        <v>2346</v>
      </c>
      <c r="B2347" s="152" t="s">
        <v>7858</v>
      </c>
      <c r="C2347" s="160" t="s">
        <v>16630</v>
      </c>
      <c r="D2347" s="175">
        <v>1000</v>
      </c>
      <c r="E2347" s="161">
        <f>SUM(D2347*100)</f>
        <v>100000</v>
      </c>
    </row>
    <row r="2348" ht="16.5" spans="1:5">
      <c r="A2348" s="151">
        <v>2347</v>
      </c>
      <c r="B2348" s="152" t="s">
        <v>7861</v>
      </c>
      <c r="C2348" s="160" t="s">
        <v>16630</v>
      </c>
      <c r="D2348" s="160">
        <v>200</v>
      </c>
      <c r="E2348" s="161">
        <f>SUM(D2348*100)</f>
        <v>20000</v>
      </c>
    </row>
    <row r="2349" ht="16.5" spans="1:5">
      <c r="A2349" s="151">
        <v>2348</v>
      </c>
      <c r="B2349" s="152" t="s">
        <v>7865</v>
      </c>
      <c r="C2349" s="153" t="s">
        <v>16629</v>
      </c>
      <c r="D2349" s="154">
        <v>10</v>
      </c>
      <c r="E2349" s="155">
        <f>+D2349*100</f>
        <v>1000</v>
      </c>
    </row>
    <row r="2350" ht="16.5" spans="1:5">
      <c r="A2350" s="151">
        <v>2349</v>
      </c>
      <c r="B2350" s="152" t="s">
        <v>7869</v>
      </c>
      <c r="C2350" s="160" t="s">
        <v>16630</v>
      </c>
      <c r="D2350" s="160">
        <v>18</v>
      </c>
      <c r="E2350" s="161">
        <f t="shared" ref="E2350:E2358" si="79">SUM(D2350*100)</f>
        <v>1800</v>
      </c>
    </row>
    <row r="2351" ht="16.5" spans="1:5">
      <c r="A2351" s="151">
        <v>2350</v>
      </c>
      <c r="B2351" s="152" t="s">
        <v>7873</v>
      </c>
      <c r="C2351" s="160" t="s">
        <v>16630</v>
      </c>
      <c r="D2351" s="160">
        <v>10</v>
      </c>
      <c r="E2351" s="161">
        <f t="shared" si="79"/>
        <v>1000</v>
      </c>
    </row>
    <row r="2352" ht="16.5" spans="1:5">
      <c r="A2352" s="151">
        <v>2351</v>
      </c>
      <c r="B2352" s="152" t="s">
        <v>7877</v>
      </c>
      <c r="C2352" s="160" t="s">
        <v>16630</v>
      </c>
      <c r="D2352" s="160">
        <v>100</v>
      </c>
      <c r="E2352" s="161">
        <f t="shared" si="79"/>
        <v>10000</v>
      </c>
    </row>
    <row r="2353" ht="16.5" spans="1:5">
      <c r="A2353" s="151">
        <v>2352</v>
      </c>
      <c r="B2353" s="152" t="s">
        <v>7880</v>
      </c>
      <c r="C2353" s="160" t="s">
        <v>16630</v>
      </c>
      <c r="D2353" s="165">
        <v>10</v>
      </c>
      <c r="E2353" s="161">
        <f t="shared" si="79"/>
        <v>1000</v>
      </c>
    </row>
    <row r="2354" ht="16.5" spans="1:5">
      <c r="A2354" s="151">
        <v>2353</v>
      </c>
      <c r="B2354" s="152" t="s">
        <v>7883</v>
      </c>
      <c r="C2354" s="160" t="s">
        <v>16630</v>
      </c>
      <c r="D2354" s="160">
        <v>200</v>
      </c>
      <c r="E2354" s="161">
        <f t="shared" si="79"/>
        <v>20000</v>
      </c>
    </row>
    <row r="2355" ht="16.5" spans="1:5">
      <c r="A2355" s="151">
        <v>2354</v>
      </c>
      <c r="B2355" s="152" t="s">
        <v>7887</v>
      </c>
      <c r="C2355" s="160" t="s">
        <v>16630</v>
      </c>
      <c r="D2355" s="160">
        <v>200</v>
      </c>
      <c r="E2355" s="161">
        <f t="shared" si="79"/>
        <v>20000</v>
      </c>
    </row>
    <row r="2356" ht="16.5" spans="1:5">
      <c r="A2356" s="151">
        <v>2355</v>
      </c>
      <c r="B2356" s="152" t="s">
        <v>7891</v>
      </c>
      <c r="C2356" s="160" t="s">
        <v>16630</v>
      </c>
      <c r="D2356" s="160">
        <v>10</v>
      </c>
      <c r="E2356" s="161">
        <f t="shared" si="79"/>
        <v>1000</v>
      </c>
    </row>
    <row r="2357" ht="16.5" spans="1:5">
      <c r="A2357" s="151">
        <v>2356</v>
      </c>
      <c r="B2357" s="152" t="s">
        <v>7895</v>
      </c>
      <c r="C2357" s="160" t="s">
        <v>16630</v>
      </c>
      <c r="D2357" s="160">
        <v>80</v>
      </c>
      <c r="E2357" s="161">
        <f t="shared" si="79"/>
        <v>8000</v>
      </c>
    </row>
    <row r="2358" ht="16.5" spans="1:5">
      <c r="A2358" s="151">
        <v>2357</v>
      </c>
      <c r="B2358" s="152" t="s">
        <v>7899</v>
      </c>
      <c r="C2358" s="156" t="s">
        <v>16629</v>
      </c>
      <c r="D2358" s="158">
        <v>10</v>
      </c>
      <c r="E2358" s="155">
        <f t="shared" si="79"/>
        <v>1000</v>
      </c>
    </row>
    <row r="2359" ht="16.5" spans="1:5">
      <c r="A2359" s="151">
        <v>2358</v>
      </c>
      <c r="B2359" s="152" t="s">
        <v>7902</v>
      </c>
      <c r="C2359" s="162" t="s">
        <v>16631</v>
      </c>
      <c r="D2359" s="163">
        <v>1000</v>
      </c>
      <c r="E2359" s="163">
        <f>D2359*100</f>
        <v>100000</v>
      </c>
    </row>
    <row r="2360" ht="16.5" spans="1:5">
      <c r="A2360" s="151">
        <v>2359</v>
      </c>
      <c r="B2360" s="152" t="s">
        <v>7907</v>
      </c>
      <c r="C2360" s="153" t="s">
        <v>16629</v>
      </c>
      <c r="D2360" s="158">
        <v>10</v>
      </c>
      <c r="E2360" s="155">
        <f>+D2360*100</f>
        <v>1000</v>
      </c>
    </row>
    <row r="2361" ht="16.5" spans="1:5">
      <c r="A2361" s="151">
        <v>2360</v>
      </c>
      <c r="B2361" s="152" t="s">
        <v>7910</v>
      </c>
      <c r="C2361" s="153" t="s">
        <v>16629</v>
      </c>
      <c r="D2361" s="154">
        <v>10</v>
      </c>
      <c r="E2361" s="155">
        <f>+D2361*100</f>
        <v>1000</v>
      </c>
    </row>
    <row r="2362" ht="16.5" spans="1:5">
      <c r="A2362" s="151">
        <v>2361</v>
      </c>
      <c r="B2362" s="152" t="s">
        <v>7914</v>
      </c>
      <c r="C2362" s="156" t="s">
        <v>16629</v>
      </c>
      <c r="D2362" s="159">
        <v>10</v>
      </c>
      <c r="E2362" s="155">
        <f>+D2362*100</f>
        <v>1000</v>
      </c>
    </row>
    <row r="2363" ht="16.5" spans="1:5">
      <c r="A2363" s="151">
        <v>2362</v>
      </c>
      <c r="B2363" s="152" t="s">
        <v>7917</v>
      </c>
      <c r="C2363" s="156" t="s">
        <v>16629</v>
      </c>
      <c r="D2363" s="159">
        <v>10</v>
      </c>
      <c r="E2363" s="155">
        <f>SUM(D2363*100)</f>
        <v>1000</v>
      </c>
    </row>
    <row r="2364" ht="16.5" spans="1:5">
      <c r="A2364" s="151">
        <v>2363</v>
      </c>
      <c r="B2364" s="152" t="s">
        <v>7920</v>
      </c>
      <c r="C2364" s="156" t="s">
        <v>16629</v>
      </c>
      <c r="D2364" s="157">
        <v>10</v>
      </c>
      <c r="E2364" s="155">
        <f>+D2364*100</f>
        <v>1000</v>
      </c>
    </row>
    <row r="2365" ht="16.5" spans="1:5">
      <c r="A2365" s="151">
        <v>2364</v>
      </c>
      <c r="B2365" s="152" t="s">
        <v>7923</v>
      </c>
      <c r="C2365" s="160" t="s">
        <v>16630</v>
      </c>
      <c r="D2365" s="160">
        <v>100</v>
      </c>
      <c r="E2365" s="161">
        <f>SUM(D2365*100)</f>
        <v>10000</v>
      </c>
    </row>
    <row r="2366" ht="16.5" spans="1:5">
      <c r="A2366" s="151">
        <v>2365</v>
      </c>
      <c r="B2366" s="152" t="s">
        <v>7927</v>
      </c>
      <c r="C2366" s="160" t="s">
        <v>16630</v>
      </c>
      <c r="D2366" s="160">
        <v>200</v>
      </c>
      <c r="E2366" s="161">
        <f>SUM(D2366*100)</f>
        <v>20000</v>
      </c>
    </row>
    <row r="2367" ht="16.5" spans="1:5">
      <c r="A2367" s="151">
        <v>2366</v>
      </c>
      <c r="B2367" s="152" t="s">
        <v>7931</v>
      </c>
      <c r="C2367" s="162" t="s">
        <v>16631</v>
      </c>
      <c r="D2367" s="163">
        <v>1000</v>
      </c>
      <c r="E2367" s="163">
        <f>D2367*100</f>
        <v>100000</v>
      </c>
    </row>
    <row r="2368" ht="16.5" spans="1:5">
      <c r="A2368" s="151">
        <v>2367</v>
      </c>
      <c r="B2368" s="152" t="s">
        <v>7934</v>
      </c>
      <c r="C2368" s="162" t="s">
        <v>16631</v>
      </c>
      <c r="D2368" s="163">
        <v>1000</v>
      </c>
      <c r="E2368" s="163">
        <f>D2368*100</f>
        <v>100000</v>
      </c>
    </row>
    <row r="2369" ht="16.5" spans="1:5">
      <c r="A2369" s="151">
        <v>2368</v>
      </c>
      <c r="B2369" s="152" t="s">
        <v>7939</v>
      </c>
      <c r="C2369" s="153" t="s">
        <v>16629</v>
      </c>
      <c r="D2369" s="154">
        <v>10</v>
      </c>
      <c r="E2369" s="155">
        <f t="shared" ref="E2369:E2376" si="80">+D2369*100</f>
        <v>1000</v>
      </c>
    </row>
    <row r="2370" ht="16.5" spans="1:5">
      <c r="A2370" s="151">
        <v>2369</v>
      </c>
      <c r="B2370" s="152" t="s">
        <v>7942</v>
      </c>
      <c r="C2370" s="153" t="s">
        <v>16629</v>
      </c>
      <c r="D2370" s="158">
        <v>10</v>
      </c>
      <c r="E2370" s="155">
        <f t="shared" si="80"/>
        <v>1000</v>
      </c>
    </row>
    <row r="2371" ht="16.5" spans="1:5">
      <c r="A2371" s="151">
        <v>2370</v>
      </c>
      <c r="B2371" s="152" t="s">
        <v>7945</v>
      </c>
      <c r="C2371" s="156" t="s">
        <v>16629</v>
      </c>
      <c r="D2371" s="157">
        <v>10</v>
      </c>
      <c r="E2371" s="155">
        <f t="shared" si="80"/>
        <v>1000</v>
      </c>
    </row>
    <row r="2372" ht="16.5" spans="1:5">
      <c r="A2372" s="151">
        <v>2371</v>
      </c>
      <c r="B2372" s="152" t="s">
        <v>7948</v>
      </c>
      <c r="C2372" s="156" t="s">
        <v>16629</v>
      </c>
      <c r="D2372" s="159">
        <v>10</v>
      </c>
      <c r="E2372" s="155">
        <f t="shared" si="80"/>
        <v>1000</v>
      </c>
    </row>
    <row r="2373" ht="16.5" spans="1:5">
      <c r="A2373" s="151">
        <v>2372</v>
      </c>
      <c r="B2373" s="152" t="s">
        <v>7951</v>
      </c>
      <c r="C2373" s="156" t="s">
        <v>16629</v>
      </c>
      <c r="D2373" s="159">
        <v>10</v>
      </c>
      <c r="E2373" s="155">
        <f t="shared" si="80"/>
        <v>1000</v>
      </c>
    </row>
    <row r="2374" ht="16.5" spans="1:5">
      <c r="A2374" s="151">
        <v>2373</v>
      </c>
      <c r="B2374" s="152" t="s">
        <v>7954</v>
      </c>
      <c r="C2374" s="156" t="s">
        <v>16629</v>
      </c>
      <c r="D2374" s="159">
        <v>10</v>
      </c>
      <c r="E2374" s="155">
        <f t="shared" si="80"/>
        <v>1000</v>
      </c>
    </row>
    <row r="2375" ht="16.5" spans="1:5">
      <c r="A2375" s="151">
        <v>2374</v>
      </c>
      <c r="B2375" s="152" t="s">
        <v>7958</v>
      </c>
      <c r="C2375" s="156" t="s">
        <v>16629</v>
      </c>
      <c r="D2375" s="159">
        <v>10</v>
      </c>
      <c r="E2375" s="155">
        <f t="shared" si="80"/>
        <v>1000</v>
      </c>
    </row>
    <row r="2376" ht="16.5" spans="1:5">
      <c r="A2376" s="151">
        <v>2375</v>
      </c>
      <c r="B2376" s="152" t="s">
        <v>7962</v>
      </c>
      <c r="C2376" s="156" t="s">
        <v>16629</v>
      </c>
      <c r="D2376" s="157">
        <v>10</v>
      </c>
      <c r="E2376" s="155">
        <f t="shared" si="80"/>
        <v>1000</v>
      </c>
    </row>
    <row r="2377" ht="16.5" spans="1:5">
      <c r="A2377" s="151">
        <v>2376</v>
      </c>
      <c r="B2377" s="152" t="s">
        <v>7966</v>
      </c>
      <c r="C2377" s="162" t="s">
        <v>16631</v>
      </c>
      <c r="D2377" s="163">
        <v>3000</v>
      </c>
      <c r="E2377" s="163">
        <f>D2377*100</f>
        <v>300000</v>
      </c>
    </row>
    <row r="2378" ht="16.5" spans="1:5">
      <c r="A2378" s="151">
        <v>2377</v>
      </c>
      <c r="B2378" s="152" t="s">
        <v>7971</v>
      </c>
      <c r="C2378" s="153" t="s">
        <v>16629</v>
      </c>
      <c r="D2378" s="158">
        <v>10</v>
      </c>
      <c r="E2378" s="155">
        <f>+D2378*100</f>
        <v>1000</v>
      </c>
    </row>
    <row r="2379" ht="16.5" spans="1:5">
      <c r="A2379" s="151">
        <v>2378</v>
      </c>
      <c r="B2379" s="152" t="s">
        <v>7974</v>
      </c>
      <c r="C2379" s="153" t="s">
        <v>16629</v>
      </c>
      <c r="D2379" s="154">
        <v>10</v>
      </c>
      <c r="E2379" s="155">
        <f>+D2379*100</f>
        <v>1000</v>
      </c>
    </row>
    <row r="2380" ht="16.5" spans="1:5">
      <c r="A2380" s="151">
        <v>2379</v>
      </c>
      <c r="B2380" s="152" t="s">
        <v>7977</v>
      </c>
      <c r="C2380" s="166" t="s">
        <v>16632</v>
      </c>
      <c r="D2380" s="166">
        <f>IFERROR(__xludf.DUMMYFUNCTION("""COMPUTED_VALUE"""),10000)</f>
        <v>10000</v>
      </c>
      <c r="E2380" s="168">
        <f>IFERROR(__xludf.DUMMYFUNCTION("""COMPUTED_VALUE"""),1500000)</f>
        <v>1500000</v>
      </c>
    </row>
    <row r="2381" ht="16.5" spans="1:5">
      <c r="A2381" s="151">
        <v>2380</v>
      </c>
      <c r="B2381" s="152" t="s">
        <v>7978</v>
      </c>
      <c r="C2381" s="156" t="s">
        <v>16629</v>
      </c>
      <c r="D2381" s="154">
        <v>10</v>
      </c>
      <c r="E2381" s="155">
        <f t="shared" ref="E2381:E2393" si="81">+D2381*100</f>
        <v>1000</v>
      </c>
    </row>
    <row r="2382" ht="16.5" spans="1:5">
      <c r="A2382" s="151">
        <v>2381</v>
      </c>
      <c r="B2382" s="152" t="s">
        <v>7981</v>
      </c>
      <c r="C2382" s="156" t="s">
        <v>16629</v>
      </c>
      <c r="D2382" s="159">
        <v>10</v>
      </c>
      <c r="E2382" s="155">
        <f t="shared" si="81"/>
        <v>1000</v>
      </c>
    </row>
    <row r="2383" ht="16.5" spans="1:5">
      <c r="A2383" s="151">
        <v>2382</v>
      </c>
      <c r="B2383" s="152" t="s">
        <v>7984</v>
      </c>
      <c r="C2383" s="156" t="s">
        <v>16629</v>
      </c>
      <c r="D2383" s="154">
        <v>10</v>
      </c>
      <c r="E2383" s="155">
        <f t="shared" si="81"/>
        <v>1000</v>
      </c>
    </row>
    <row r="2384" ht="16.5" spans="1:5">
      <c r="A2384" s="151">
        <v>2383</v>
      </c>
      <c r="B2384" s="152" t="s">
        <v>7987</v>
      </c>
      <c r="C2384" s="153" t="s">
        <v>16629</v>
      </c>
      <c r="D2384" s="154">
        <v>10</v>
      </c>
      <c r="E2384" s="155">
        <f t="shared" si="81"/>
        <v>1000</v>
      </c>
    </row>
    <row r="2385" ht="16.5" spans="1:5">
      <c r="A2385" s="151">
        <v>2384</v>
      </c>
      <c r="B2385" s="152" t="s">
        <v>7991</v>
      </c>
      <c r="C2385" s="156" t="s">
        <v>16629</v>
      </c>
      <c r="D2385" s="159">
        <v>10</v>
      </c>
      <c r="E2385" s="155">
        <f t="shared" si="81"/>
        <v>1000</v>
      </c>
    </row>
    <row r="2386" ht="16.5" spans="1:5">
      <c r="A2386" s="151">
        <v>2385</v>
      </c>
      <c r="B2386" s="152" t="s">
        <v>7995</v>
      </c>
      <c r="C2386" s="153" t="s">
        <v>16629</v>
      </c>
      <c r="D2386" s="154">
        <v>10</v>
      </c>
      <c r="E2386" s="155">
        <f t="shared" si="81"/>
        <v>1000</v>
      </c>
    </row>
    <row r="2387" ht="16.5" spans="1:5">
      <c r="A2387" s="151">
        <v>2386</v>
      </c>
      <c r="B2387" s="152" t="s">
        <v>7999</v>
      </c>
      <c r="C2387" s="156" t="s">
        <v>16629</v>
      </c>
      <c r="D2387" s="159">
        <v>10</v>
      </c>
      <c r="E2387" s="155">
        <f t="shared" si="81"/>
        <v>1000</v>
      </c>
    </row>
    <row r="2388" ht="16.5" spans="1:5">
      <c r="A2388" s="151">
        <v>2387</v>
      </c>
      <c r="B2388" s="152" t="s">
        <v>8003</v>
      </c>
      <c r="C2388" s="153" t="s">
        <v>16629</v>
      </c>
      <c r="D2388" s="154">
        <v>10</v>
      </c>
      <c r="E2388" s="155">
        <f t="shared" si="81"/>
        <v>1000</v>
      </c>
    </row>
    <row r="2389" ht="16.5" spans="1:5">
      <c r="A2389" s="151">
        <v>2388</v>
      </c>
      <c r="B2389" s="152" t="s">
        <v>8006</v>
      </c>
      <c r="C2389" s="156" t="s">
        <v>16629</v>
      </c>
      <c r="D2389" s="157">
        <v>10</v>
      </c>
      <c r="E2389" s="155">
        <f t="shared" si="81"/>
        <v>1000</v>
      </c>
    </row>
    <row r="2390" ht="16.5" spans="1:5">
      <c r="A2390" s="151">
        <v>2389</v>
      </c>
      <c r="B2390" s="152" t="s">
        <v>8009</v>
      </c>
      <c r="C2390" s="156" t="s">
        <v>16629</v>
      </c>
      <c r="D2390" s="159">
        <v>10</v>
      </c>
      <c r="E2390" s="155">
        <f t="shared" si="81"/>
        <v>1000</v>
      </c>
    </row>
    <row r="2391" ht="16.5" spans="1:5">
      <c r="A2391" s="151">
        <v>2390</v>
      </c>
      <c r="B2391" s="152" t="s">
        <v>8013</v>
      </c>
      <c r="C2391" s="156" t="s">
        <v>16629</v>
      </c>
      <c r="D2391" s="157">
        <v>10</v>
      </c>
      <c r="E2391" s="155">
        <f t="shared" si="81"/>
        <v>1000</v>
      </c>
    </row>
    <row r="2392" ht="16.5" spans="1:5">
      <c r="A2392" s="151">
        <v>2391</v>
      </c>
      <c r="B2392" s="152" t="s">
        <v>8017</v>
      </c>
      <c r="C2392" s="156" t="s">
        <v>16629</v>
      </c>
      <c r="D2392" s="154">
        <v>10</v>
      </c>
      <c r="E2392" s="155">
        <f t="shared" si="81"/>
        <v>1000</v>
      </c>
    </row>
    <row r="2393" ht="16.5" spans="1:5">
      <c r="A2393" s="151">
        <v>2392</v>
      </c>
      <c r="B2393" s="152" t="s">
        <v>8020</v>
      </c>
      <c r="C2393" s="153" t="s">
        <v>16629</v>
      </c>
      <c r="D2393" s="154">
        <v>10</v>
      </c>
      <c r="E2393" s="155">
        <f t="shared" si="81"/>
        <v>1000</v>
      </c>
    </row>
    <row r="2394" ht="16.5" spans="1:5">
      <c r="A2394" s="151">
        <v>2393</v>
      </c>
      <c r="B2394" s="152" t="s">
        <v>8024</v>
      </c>
      <c r="C2394" s="160" t="s">
        <v>16630</v>
      </c>
      <c r="D2394" s="160">
        <v>20</v>
      </c>
      <c r="E2394" s="161">
        <f>SUM(D2394*100)</f>
        <v>2000</v>
      </c>
    </row>
    <row r="2395" ht="16.5" spans="1:5">
      <c r="A2395" s="151">
        <v>2394</v>
      </c>
      <c r="B2395" s="152" t="s">
        <v>8027</v>
      </c>
      <c r="C2395" s="156" t="s">
        <v>16629</v>
      </c>
      <c r="D2395" s="159">
        <v>10</v>
      </c>
      <c r="E2395" s="155">
        <f>+D2395*100</f>
        <v>1000</v>
      </c>
    </row>
    <row r="2396" ht="16.5" spans="1:5">
      <c r="A2396" s="151">
        <v>2395</v>
      </c>
      <c r="B2396" s="152" t="s">
        <v>8031</v>
      </c>
      <c r="C2396" s="160" t="s">
        <v>16630</v>
      </c>
      <c r="D2396" s="160">
        <v>10</v>
      </c>
      <c r="E2396" s="161">
        <f>SUM(D2396*100)</f>
        <v>1000</v>
      </c>
    </row>
    <row r="2397" ht="16.5" spans="1:5">
      <c r="A2397" s="151">
        <v>2396</v>
      </c>
      <c r="B2397" s="152" t="s">
        <v>8035</v>
      </c>
      <c r="C2397" s="153" t="s">
        <v>16629</v>
      </c>
      <c r="D2397" s="154">
        <v>10</v>
      </c>
      <c r="E2397" s="155">
        <f t="shared" ref="E2397:E2403" si="82">+D2397*100</f>
        <v>1000</v>
      </c>
    </row>
    <row r="2398" ht="16.5" spans="1:5">
      <c r="A2398" s="151">
        <v>2397</v>
      </c>
      <c r="B2398" s="152" t="s">
        <v>8038</v>
      </c>
      <c r="C2398" s="156" t="s">
        <v>16629</v>
      </c>
      <c r="D2398" s="157">
        <v>10</v>
      </c>
      <c r="E2398" s="155">
        <f t="shared" si="82"/>
        <v>1000</v>
      </c>
    </row>
    <row r="2399" ht="16.5" spans="1:5">
      <c r="A2399" s="151">
        <v>2398</v>
      </c>
      <c r="B2399" s="152" t="s">
        <v>8041</v>
      </c>
      <c r="C2399" s="153" t="s">
        <v>16629</v>
      </c>
      <c r="D2399" s="158">
        <v>10</v>
      </c>
      <c r="E2399" s="155">
        <f t="shared" si="82"/>
        <v>1000</v>
      </c>
    </row>
    <row r="2400" ht="16.5" spans="1:5">
      <c r="A2400" s="151">
        <v>2399</v>
      </c>
      <c r="B2400" s="152" t="s">
        <v>8044</v>
      </c>
      <c r="C2400" s="156" t="s">
        <v>16629</v>
      </c>
      <c r="D2400" s="157">
        <v>10</v>
      </c>
      <c r="E2400" s="155">
        <f t="shared" si="82"/>
        <v>1000</v>
      </c>
    </row>
    <row r="2401" ht="16.5" spans="1:5">
      <c r="A2401" s="151">
        <v>2400</v>
      </c>
      <c r="B2401" s="152" t="s">
        <v>8047</v>
      </c>
      <c r="C2401" s="153" t="s">
        <v>16629</v>
      </c>
      <c r="D2401" s="154">
        <v>10</v>
      </c>
      <c r="E2401" s="155">
        <f t="shared" si="82"/>
        <v>1000</v>
      </c>
    </row>
    <row r="2402" ht="16.5" spans="1:5">
      <c r="A2402" s="151">
        <v>2401</v>
      </c>
      <c r="B2402" s="152" t="s">
        <v>8050</v>
      </c>
      <c r="C2402" s="153" t="s">
        <v>16629</v>
      </c>
      <c r="D2402" s="154">
        <v>10</v>
      </c>
      <c r="E2402" s="155">
        <f t="shared" si="82"/>
        <v>1000</v>
      </c>
    </row>
    <row r="2403" ht="16.5" spans="1:5">
      <c r="A2403" s="151">
        <v>2402</v>
      </c>
      <c r="B2403" s="152" t="s">
        <v>8054</v>
      </c>
      <c r="C2403" s="153" t="s">
        <v>16629</v>
      </c>
      <c r="D2403" s="154">
        <v>10</v>
      </c>
      <c r="E2403" s="155">
        <f t="shared" si="82"/>
        <v>1000</v>
      </c>
    </row>
    <row r="2404" ht="16.5" spans="1:5">
      <c r="A2404" s="151">
        <v>2403</v>
      </c>
      <c r="B2404" s="152" t="s">
        <v>8058</v>
      </c>
      <c r="C2404" s="160" t="s">
        <v>16630</v>
      </c>
      <c r="D2404" s="160">
        <v>500</v>
      </c>
      <c r="E2404" s="161">
        <f>SUM(D2404*100)</f>
        <v>50000</v>
      </c>
    </row>
    <row r="2405" ht="16.5" spans="1:5">
      <c r="A2405" s="151">
        <v>2404</v>
      </c>
      <c r="B2405" s="152" t="s">
        <v>8062</v>
      </c>
      <c r="C2405" s="160" t="s">
        <v>16630</v>
      </c>
      <c r="D2405" s="160">
        <v>150</v>
      </c>
      <c r="E2405" s="161">
        <f>SUM(D2405*100)</f>
        <v>15000</v>
      </c>
    </row>
    <row r="2406" ht="16.5" spans="1:5">
      <c r="A2406" s="151">
        <v>2405</v>
      </c>
      <c r="B2406" s="152" t="s">
        <v>8065</v>
      </c>
      <c r="C2406" s="156" t="s">
        <v>16629</v>
      </c>
      <c r="D2406" s="157">
        <v>20</v>
      </c>
      <c r="E2406" s="155">
        <f>+D2406*100</f>
        <v>2000</v>
      </c>
    </row>
    <row r="2407" ht="16.5" spans="1:5">
      <c r="A2407" s="151">
        <v>2406</v>
      </c>
      <c r="B2407" s="152" t="s">
        <v>8069</v>
      </c>
      <c r="C2407" s="162" t="s">
        <v>16631</v>
      </c>
      <c r="D2407" s="163">
        <v>1000</v>
      </c>
      <c r="E2407" s="163">
        <f>D2407*100</f>
        <v>100000</v>
      </c>
    </row>
    <row r="2408" ht="16.5" spans="1:5">
      <c r="A2408" s="151">
        <v>2407</v>
      </c>
      <c r="B2408" s="152" t="s">
        <v>8073</v>
      </c>
      <c r="C2408" s="153" t="s">
        <v>16629</v>
      </c>
      <c r="D2408" s="154">
        <v>10</v>
      </c>
      <c r="E2408" s="155">
        <f>+D2408*100</f>
        <v>1000</v>
      </c>
    </row>
    <row r="2409" ht="16.5" spans="1:5">
      <c r="A2409" s="151">
        <v>2408</v>
      </c>
      <c r="B2409" s="152" t="s">
        <v>8076</v>
      </c>
      <c r="C2409" s="153" t="s">
        <v>16629</v>
      </c>
      <c r="D2409" s="158">
        <v>10</v>
      </c>
      <c r="E2409" s="155">
        <f>+D2409*100</f>
        <v>1000</v>
      </c>
    </row>
    <row r="2410" ht="16.5" spans="1:5">
      <c r="A2410" s="151">
        <v>2409</v>
      </c>
      <c r="B2410" s="152" t="s">
        <v>8079</v>
      </c>
      <c r="C2410" s="160" t="s">
        <v>16630</v>
      </c>
      <c r="D2410" s="164">
        <v>50</v>
      </c>
      <c r="E2410" s="161">
        <f>SUM(D2410*100)</f>
        <v>5000</v>
      </c>
    </row>
    <row r="2411" ht="16.5" spans="1:5">
      <c r="A2411" s="151">
        <v>2410</v>
      </c>
      <c r="B2411" s="152" t="s">
        <v>8082</v>
      </c>
      <c r="C2411" s="153" t="s">
        <v>16629</v>
      </c>
      <c r="D2411" s="158">
        <v>10</v>
      </c>
      <c r="E2411" s="155">
        <f>+D2411*100</f>
        <v>1000</v>
      </c>
    </row>
    <row r="2412" ht="16.5" spans="1:5">
      <c r="A2412" s="151">
        <v>2411</v>
      </c>
      <c r="B2412" s="152" t="s">
        <v>8085</v>
      </c>
      <c r="C2412" s="156" t="s">
        <v>16629</v>
      </c>
      <c r="D2412" s="159">
        <v>10</v>
      </c>
      <c r="E2412" s="155">
        <f>+D2412*100</f>
        <v>1000</v>
      </c>
    </row>
    <row r="2413" ht="16.5" spans="1:5">
      <c r="A2413" s="151">
        <v>2412</v>
      </c>
      <c r="B2413" s="152" t="s">
        <v>8088</v>
      </c>
      <c r="C2413" s="153" t="s">
        <v>16629</v>
      </c>
      <c r="D2413" s="154">
        <v>30</v>
      </c>
      <c r="E2413" s="155">
        <f>+D2413*100</f>
        <v>3000</v>
      </c>
    </row>
    <row r="2414" ht="16.5" spans="1:5">
      <c r="A2414" s="151">
        <v>2413</v>
      </c>
      <c r="B2414" s="152" t="s">
        <v>8091</v>
      </c>
      <c r="C2414" s="156" t="s">
        <v>16629</v>
      </c>
      <c r="D2414" s="159">
        <v>10</v>
      </c>
      <c r="E2414" s="155">
        <f>+D2414*100</f>
        <v>1000</v>
      </c>
    </row>
    <row r="2415" ht="16.5" spans="1:5">
      <c r="A2415" s="151">
        <v>2414</v>
      </c>
      <c r="B2415" s="152" t="s">
        <v>8094</v>
      </c>
      <c r="C2415" s="162" t="s">
        <v>16631</v>
      </c>
      <c r="D2415" s="163">
        <v>1000</v>
      </c>
      <c r="E2415" s="163">
        <f>D2415*100</f>
        <v>100000</v>
      </c>
    </row>
    <row r="2416" ht="16.5" spans="1:5">
      <c r="A2416" s="151">
        <v>2415</v>
      </c>
      <c r="B2416" s="152" t="s">
        <v>8099</v>
      </c>
      <c r="C2416" s="162" t="s">
        <v>16631</v>
      </c>
      <c r="D2416" s="163">
        <v>5000</v>
      </c>
      <c r="E2416" s="163">
        <f>D2416*100</f>
        <v>500000</v>
      </c>
    </row>
    <row r="2417" ht="16.5" spans="1:5">
      <c r="A2417" s="151">
        <v>2416</v>
      </c>
      <c r="B2417" s="152" t="s">
        <v>8104</v>
      </c>
      <c r="C2417" s="156" t="s">
        <v>16629</v>
      </c>
      <c r="D2417" s="157">
        <v>10</v>
      </c>
      <c r="E2417" s="155">
        <f t="shared" ref="E2417:E2423" si="83">+D2417*100</f>
        <v>1000</v>
      </c>
    </row>
    <row r="2418" ht="16.5" spans="1:5">
      <c r="A2418" s="151">
        <v>2417</v>
      </c>
      <c r="B2418" s="152" t="s">
        <v>8108</v>
      </c>
      <c r="C2418" s="153" t="s">
        <v>16629</v>
      </c>
      <c r="D2418" s="154">
        <v>10</v>
      </c>
      <c r="E2418" s="155">
        <f t="shared" si="83"/>
        <v>1000</v>
      </c>
    </row>
    <row r="2419" ht="16.5" spans="1:5">
      <c r="A2419" s="151">
        <v>2418</v>
      </c>
      <c r="B2419" s="152" t="s">
        <v>8111</v>
      </c>
      <c r="C2419" s="156" t="s">
        <v>16629</v>
      </c>
      <c r="D2419" s="159">
        <v>10</v>
      </c>
      <c r="E2419" s="155">
        <f t="shared" si="83"/>
        <v>1000</v>
      </c>
    </row>
    <row r="2420" ht="16.5" spans="1:5">
      <c r="A2420" s="151">
        <v>2419</v>
      </c>
      <c r="B2420" s="152" t="s">
        <v>8114</v>
      </c>
      <c r="C2420" s="153" t="s">
        <v>16629</v>
      </c>
      <c r="D2420" s="158">
        <v>10</v>
      </c>
      <c r="E2420" s="155">
        <f t="shared" si="83"/>
        <v>1000</v>
      </c>
    </row>
    <row r="2421" ht="16.5" spans="1:5">
      <c r="A2421" s="151">
        <v>2420</v>
      </c>
      <c r="B2421" s="152" t="s">
        <v>8117</v>
      </c>
      <c r="C2421" s="156" t="s">
        <v>16629</v>
      </c>
      <c r="D2421" s="154">
        <v>10</v>
      </c>
      <c r="E2421" s="155">
        <f t="shared" si="83"/>
        <v>1000</v>
      </c>
    </row>
    <row r="2422" ht="16.5" spans="1:5">
      <c r="A2422" s="151">
        <v>2421</v>
      </c>
      <c r="B2422" s="152" t="s">
        <v>8120</v>
      </c>
      <c r="C2422" s="156" t="s">
        <v>16629</v>
      </c>
      <c r="D2422" s="159">
        <v>10</v>
      </c>
      <c r="E2422" s="155">
        <f t="shared" si="83"/>
        <v>1000</v>
      </c>
    </row>
    <row r="2423" ht="16.5" spans="1:5">
      <c r="A2423" s="151">
        <v>2422</v>
      </c>
      <c r="B2423" s="152" t="s">
        <v>8123</v>
      </c>
      <c r="C2423" s="156" t="s">
        <v>16629</v>
      </c>
      <c r="D2423" s="159">
        <v>10</v>
      </c>
      <c r="E2423" s="155">
        <f t="shared" si="83"/>
        <v>1000</v>
      </c>
    </row>
    <row r="2424" ht="16.5" spans="1:5">
      <c r="A2424" s="151">
        <v>2423</v>
      </c>
      <c r="B2424" s="152" t="s">
        <v>8126</v>
      </c>
      <c r="C2424" s="166" t="s">
        <v>16632</v>
      </c>
      <c r="D2424" s="151">
        <f>IFERROR(__xludf.DUMMYFUNCTION("""COMPUTED_VALUE"""),15000)</f>
        <v>15000</v>
      </c>
      <c r="E2424" s="167">
        <f>IFERROR(__xludf.DUMMYFUNCTION("""COMPUTED_VALUE"""),1500000)</f>
        <v>1500000</v>
      </c>
    </row>
    <row r="2425" ht="16.5" spans="1:5">
      <c r="A2425" s="151">
        <v>2424</v>
      </c>
      <c r="B2425" s="152" t="s">
        <v>8129</v>
      </c>
      <c r="C2425" s="160" t="s">
        <v>16630</v>
      </c>
      <c r="D2425" s="160">
        <v>250</v>
      </c>
      <c r="E2425" s="161">
        <f>SUM(D2425*100)</f>
        <v>25000</v>
      </c>
    </row>
    <row r="2426" ht="16.5" spans="1:5">
      <c r="A2426" s="151">
        <v>2425</v>
      </c>
      <c r="B2426" s="152" t="s">
        <v>8134</v>
      </c>
      <c r="C2426" s="160" t="s">
        <v>16630</v>
      </c>
      <c r="D2426" s="160">
        <v>25</v>
      </c>
      <c r="E2426" s="161">
        <f>SUM(D2426*100)</f>
        <v>2500</v>
      </c>
    </row>
    <row r="2427" ht="16.5" spans="1:5">
      <c r="A2427" s="151">
        <v>2426</v>
      </c>
      <c r="B2427" s="152" t="s">
        <v>8138</v>
      </c>
      <c r="C2427" s="160" t="s">
        <v>16630</v>
      </c>
      <c r="D2427" s="160">
        <v>1000</v>
      </c>
      <c r="E2427" s="161">
        <f>SUM(D2427*100)</f>
        <v>100000</v>
      </c>
    </row>
    <row r="2428" ht="16.5" spans="1:5">
      <c r="A2428" s="151">
        <v>2427</v>
      </c>
      <c r="B2428" s="152" t="s">
        <v>8142</v>
      </c>
      <c r="C2428" s="160" t="s">
        <v>16630</v>
      </c>
      <c r="D2428" s="160">
        <v>100</v>
      </c>
      <c r="E2428" s="161">
        <f>SUM(D2428*100)</f>
        <v>10000</v>
      </c>
    </row>
    <row r="2429" ht="16.5" spans="1:5">
      <c r="A2429" s="151">
        <v>2428</v>
      </c>
      <c r="B2429" s="152" t="s">
        <v>8145</v>
      </c>
      <c r="C2429" s="153" t="s">
        <v>16629</v>
      </c>
      <c r="D2429" s="158">
        <v>10</v>
      </c>
      <c r="E2429" s="155">
        <f>+D2429*100</f>
        <v>1000</v>
      </c>
    </row>
    <row r="2430" ht="16.5" spans="1:5">
      <c r="A2430" s="151">
        <v>2429</v>
      </c>
      <c r="B2430" s="152" t="s">
        <v>8149</v>
      </c>
      <c r="C2430" s="160" t="s">
        <v>16630</v>
      </c>
      <c r="D2430" s="160">
        <v>10</v>
      </c>
      <c r="E2430" s="161">
        <f>SUM(D2430*100)</f>
        <v>1000</v>
      </c>
    </row>
    <row r="2431" ht="16.5" spans="1:5">
      <c r="A2431" s="151">
        <v>2430</v>
      </c>
      <c r="B2431" s="152" t="s">
        <v>8153</v>
      </c>
      <c r="C2431" s="153" t="s">
        <v>16629</v>
      </c>
      <c r="D2431" s="158">
        <v>50</v>
      </c>
      <c r="E2431" s="155">
        <f t="shared" ref="E2431:E2443" si="84">+D2431*100</f>
        <v>5000</v>
      </c>
    </row>
    <row r="2432" ht="16.5" spans="1:5">
      <c r="A2432" s="151">
        <v>2431</v>
      </c>
      <c r="B2432" s="152" t="s">
        <v>8157</v>
      </c>
      <c r="C2432" s="153" t="s">
        <v>16629</v>
      </c>
      <c r="D2432" s="154">
        <v>10</v>
      </c>
      <c r="E2432" s="155">
        <f t="shared" si="84"/>
        <v>1000</v>
      </c>
    </row>
    <row r="2433" ht="16.5" spans="1:5">
      <c r="A2433" s="151">
        <v>2432</v>
      </c>
      <c r="B2433" s="152" t="s">
        <v>8161</v>
      </c>
      <c r="C2433" s="156" t="s">
        <v>16629</v>
      </c>
      <c r="D2433" s="157">
        <v>10</v>
      </c>
      <c r="E2433" s="155">
        <f t="shared" si="84"/>
        <v>1000</v>
      </c>
    </row>
    <row r="2434" ht="16.5" spans="1:5">
      <c r="A2434" s="151">
        <v>2433</v>
      </c>
      <c r="B2434" s="152" t="s">
        <v>8165</v>
      </c>
      <c r="C2434" s="156" t="s">
        <v>16629</v>
      </c>
      <c r="D2434" s="159">
        <v>10</v>
      </c>
      <c r="E2434" s="155">
        <f t="shared" si="84"/>
        <v>1000</v>
      </c>
    </row>
    <row r="2435" ht="16.5" spans="1:5">
      <c r="A2435" s="151">
        <v>2434</v>
      </c>
      <c r="B2435" s="152" t="s">
        <v>8169</v>
      </c>
      <c r="C2435" s="153" t="s">
        <v>16629</v>
      </c>
      <c r="D2435" s="154">
        <v>10</v>
      </c>
      <c r="E2435" s="155">
        <f t="shared" si="84"/>
        <v>1000</v>
      </c>
    </row>
    <row r="2436" ht="16.5" spans="1:5">
      <c r="A2436" s="151">
        <v>2435</v>
      </c>
      <c r="B2436" s="152" t="s">
        <v>8172</v>
      </c>
      <c r="C2436" s="153" t="s">
        <v>16629</v>
      </c>
      <c r="D2436" s="154">
        <v>10</v>
      </c>
      <c r="E2436" s="155">
        <f t="shared" si="84"/>
        <v>1000</v>
      </c>
    </row>
    <row r="2437" ht="16.5" spans="1:5">
      <c r="A2437" s="151">
        <v>2436</v>
      </c>
      <c r="B2437" s="152" t="s">
        <v>8175</v>
      </c>
      <c r="C2437" s="153" t="s">
        <v>16629</v>
      </c>
      <c r="D2437" s="158">
        <v>10</v>
      </c>
      <c r="E2437" s="155">
        <f t="shared" si="84"/>
        <v>1000</v>
      </c>
    </row>
    <row r="2438" ht="16.5" spans="1:5">
      <c r="A2438" s="151">
        <v>2437</v>
      </c>
      <c r="B2438" s="152" t="s">
        <v>8179</v>
      </c>
      <c r="C2438" s="153" t="s">
        <v>16629</v>
      </c>
      <c r="D2438" s="158">
        <v>10</v>
      </c>
      <c r="E2438" s="155">
        <f t="shared" si="84"/>
        <v>1000</v>
      </c>
    </row>
    <row r="2439" ht="16.5" spans="1:5">
      <c r="A2439" s="151">
        <v>2438</v>
      </c>
      <c r="B2439" s="152" t="s">
        <v>8182</v>
      </c>
      <c r="C2439" s="156" t="s">
        <v>16629</v>
      </c>
      <c r="D2439" s="159">
        <v>10</v>
      </c>
      <c r="E2439" s="155">
        <f t="shared" si="84"/>
        <v>1000</v>
      </c>
    </row>
    <row r="2440" ht="16.5" spans="1:5">
      <c r="A2440" s="151">
        <v>2439</v>
      </c>
      <c r="B2440" s="152" t="s">
        <v>8185</v>
      </c>
      <c r="C2440" s="156" t="s">
        <v>16629</v>
      </c>
      <c r="D2440" s="159">
        <v>10</v>
      </c>
      <c r="E2440" s="155">
        <f t="shared" si="84"/>
        <v>1000</v>
      </c>
    </row>
    <row r="2441" ht="16.5" spans="1:5">
      <c r="A2441" s="151">
        <v>2440</v>
      </c>
      <c r="B2441" s="152" t="s">
        <v>8189</v>
      </c>
      <c r="C2441" s="156" t="s">
        <v>16629</v>
      </c>
      <c r="D2441" s="157">
        <v>10</v>
      </c>
      <c r="E2441" s="155">
        <f t="shared" si="84"/>
        <v>1000</v>
      </c>
    </row>
    <row r="2442" ht="16.5" spans="1:5">
      <c r="A2442" s="151">
        <v>2441</v>
      </c>
      <c r="B2442" s="152" t="s">
        <v>8192</v>
      </c>
      <c r="C2442" s="156" t="s">
        <v>16629</v>
      </c>
      <c r="D2442" s="157">
        <v>10</v>
      </c>
      <c r="E2442" s="155">
        <f t="shared" si="84"/>
        <v>1000</v>
      </c>
    </row>
    <row r="2443" ht="16.5" spans="1:5">
      <c r="A2443" s="151">
        <v>2442</v>
      </c>
      <c r="B2443" s="152" t="s">
        <v>8195</v>
      </c>
      <c r="C2443" s="153" t="s">
        <v>16629</v>
      </c>
      <c r="D2443" s="158">
        <v>10</v>
      </c>
      <c r="E2443" s="155">
        <f t="shared" si="84"/>
        <v>1000</v>
      </c>
    </row>
    <row r="2444" ht="16.5" spans="1:5">
      <c r="A2444" s="151">
        <v>2443</v>
      </c>
      <c r="B2444" s="152" t="s">
        <v>8198</v>
      </c>
      <c r="C2444" s="160" t="s">
        <v>16630</v>
      </c>
      <c r="D2444" s="160">
        <v>100</v>
      </c>
      <c r="E2444" s="161">
        <f>SUM(D2444*100)</f>
        <v>10000</v>
      </c>
    </row>
    <row r="2445" ht="16.5" spans="1:5">
      <c r="A2445" s="151">
        <v>2444</v>
      </c>
      <c r="B2445" s="152" t="s">
        <v>8202</v>
      </c>
      <c r="C2445" s="153" t="s">
        <v>16629</v>
      </c>
      <c r="D2445" s="154">
        <v>10</v>
      </c>
      <c r="E2445" s="155">
        <f t="shared" ref="E2445:E2456" si="85">+D2445*100</f>
        <v>1000</v>
      </c>
    </row>
    <row r="2446" ht="16.5" spans="1:5">
      <c r="A2446" s="151">
        <v>2445</v>
      </c>
      <c r="B2446" s="152" t="s">
        <v>8206</v>
      </c>
      <c r="C2446" s="153" t="s">
        <v>16629</v>
      </c>
      <c r="D2446" s="154">
        <v>10</v>
      </c>
      <c r="E2446" s="155">
        <f t="shared" si="85"/>
        <v>1000</v>
      </c>
    </row>
    <row r="2447" ht="16.5" spans="1:5">
      <c r="A2447" s="151">
        <v>2446</v>
      </c>
      <c r="B2447" s="152" t="s">
        <v>8209</v>
      </c>
      <c r="C2447" s="156" t="s">
        <v>16629</v>
      </c>
      <c r="D2447" s="157">
        <v>10</v>
      </c>
      <c r="E2447" s="155">
        <f t="shared" si="85"/>
        <v>1000</v>
      </c>
    </row>
    <row r="2448" ht="16.5" spans="1:5">
      <c r="A2448" s="151">
        <v>2447</v>
      </c>
      <c r="B2448" s="152" t="s">
        <v>8212</v>
      </c>
      <c r="C2448" s="153" t="s">
        <v>16629</v>
      </c>
      <c r="D2448" s="154">
        <v>10</v>
      </c>
      <c r="E2448" s="155">
        <f t="shared" si="85"/>
        <v>1000</v>
      </c>
    </row>
    <row r="2449" ht="16.5" spans="1:5">
      <c r="A2449" s="151">
        <v>2448</v>
      </c>
      <c r="B2449" s="152" t="s">
        <v>8215</v>
      </c>
      <c r="C2449" s="156" t="s">
        <v>16629</v>
      </c>
      <c r="D2449" s="157">
        <v>10</v>
      </c>
      <c r="E2449" s="155">
        <f t="shared" si="85"/>
        <v>1000</v>
      </c>
    </row>
    <row r="2450" ht="16.5" spans="1:5">
      <c r="A2450" s="151">
        <v>2449</v>
      </c>
      <c r="B2450" s="152" t="s">
        <v>8218</v>
      </c>
      <c r="C2450" s="153" t="s">
        <v>16629</v>
      </c>
      <c r="D2450" s="154">
        <v>10</v>
      </c>
      <c r="E2450" s="155">
        <f t="shared" si="85"/>
        <v>1000</v>
      </c>
    </row>
    <row r="2451" ht="16.5" spans="1:5">
      <c r="A2451" s="151">
        <v>2450</v>
      </c>
      <c r="B2451" s="152" t="s">
        <v>8221</v>
      </c>
      <c r="C2451" s="153" t="s">
        <v>16629</v>
      </c>
      <c r="D2451" s="154">
        <v>10</v>
      </c>
      <c r="E2451" s="155">
        <f t="shared" si="85"/>
        <v>1000</v>
      </c>
    </row>
    <row r="2452" ht="16.5" spans="1:5">
      <c r="A2452" s="151">
        <v>2451</v>
      </c>
      <c r="B2452" s="152" t="s">
        <v>8224</v>
      </c>
      <c r="C2452" s="153" t="s">
        <v>16629</v>
      </c>
      <c r="D2452" s="158">
        <v>10</v>
      </c>
      <c r="E2452" s="155">
        <f t="shared" si="85"/>
        <v>1000</v>
      </c>
    </row>
    <row r="2453" ht="16.5" spans="1:5">
      <c r="A2453" s="151">
        <v>2452</v>
      </c>
      <c r="B2453" s="152" t="s">
        <v>8228</v>
      </c>
      <c r="C2453" s="153" t="s">
        <v>16629</v>
      </c>
      <c r="D2453" s="154">
        <v>10</v>
      </c>
      <c r="E2453" s="155">
        <f t="shared" si="85"/>
        <v>1000</v>
      </c>
    </row>
    <row r="2454" ht="16.5" spans="1:5">
      <c r="A2454" s="151">
        <v>2453</v>
      </c>
      <c r="B2454" s="152" t="s">
        <v>8231</v>
      </c>
      <c r="C2454" s="153" t="s">
        <v>16629</v>
      </c>
      <c r="D2454" s="154">
        <v>10</v>
      </c>
      <c r="E2454" s="155">
        <f t="shared" si="85"/>
        <v>1000</v>
      </c>
    </row>
    <row r="2455" ht="16.5" spans="1:5">
      <c r="A2455" s="151">
        <v>2454</v>
      </c>
      <c r="B2455" s="152" t="s">
        <v>8235</v>
      </c>
      <c r="C2455" s="156" t="s">
        <v>16629</v>
      </c>
      <c r="D2455" s="159">
        <v>10</v>
      </c>
      <c r="E2455" s="155">
        <f t="shared" si="85"/>
        <v>1000</v>
      </c>
    </row>
    <row r="2456" ht="16.5" spans="1:5">
      <c r="A2456" s="151">
        <v>2455</v>
      </c>
      <c r="B2456" s="152" t="s">
        <v>8239</v>
      </c>
      <c r="C2456" s="153" t="s">
        <v>16629</v>
      </c>
      <c r="D2456" s="154">
        <v>10</v>
      </c>
      <c r="E2456" s="155">
        <f t="shared" si="85"/>
        <v>1000</v>
      </c>
    </row>
    <row r="2457" ht="16.5" spans="1:5">
      <c r="A2457" s="151">
        <v>2456</v>
      </c>
      <c r="B2457" s="152" t="s">
        <v>8242</v>
      </c>
      <c r="C2457" s="160" t="s">
        <v>16630</v>
      </c>
      <c r="D2457" s="160">
        <v>20</v>
      </c>
      <c r="E2457" s="161">
        <f>SUM(D2457*100)</f>
        <v>2000</v>
      </c>
    </row>
    <row r="2458" ht="16.5" spans="1:5">
      <c r="A2458" s="151">
        <v>2457</v>
      </c>
      <c r="B2458" s="152" t="s">
        <v>8245</v>
      </c>
      <c r="C2458" s="160" t="s">
        <v>16630</v>
      </c>
      <c r="D2458" s="160">
        <v>200</v>
      </c>
      <c r="E2458" s="161">
        <f>SUM(D2458*100)</f>
        <v>20000</v>
      </c>
    </row>
    <row r="2459" ht="16.5" spans="1:5">
      <c r="A2459" s="151">
        <v>2458</v>
      </c>
      <c r="B2459" s="152" t="s">
        <v>8248</v>
      </c>
      <c r="C2459" s="160" t="s">
        <v>16630</v>
      </c>
      <c r="D2459" s="160">
        <v>200</v>
      </c>
      <c r="E2459" s="161">
        <f>SUM(D2459*100)</f>
        <v>20000</v>
      </c>
    </row>
    <row r="2460" ht="16.5" spans="1:5">
      <c r="A2460" s="151">
        <v>2459</v>
      </c>
      <c r="B2460" s="152" t="s">
        <v>8251</v>
      </c>
      <c r="C2460" s="156" t="s">
        <v>16629</v>
      </c>
      <c r="D2460" s="159">
        <v>10</v>
      </c>
      <c r="E2460" s="155">
        <f t="shared" ref="E2460:E2465" si="86">+D2460*100</f>
        <v>1000</v>
      </c>
    </row>
    <row r="2461" ht="16.5" spans="1:5">
      <c r="A2461" s="151">
        <v>2460</v>
      </c>
      <c r="B2461" s="152" t="s">
        <v>8254</v>
      </c>
      <c r="C2461" s="153" t="s">
        <v>16629</v>
      </c>
      <c r="D2461" s="154">
        <v>10</v>
      </c>
      <c r="E2461" s="155">
        <f t="shared" si="86"/>
        <v>1000</v>
      </c>
    </row>
    <row r="2462" ht="16.5" spans="1:5">
      <c r="A2462" s="151">
        <v>2461</v>
      </c>
      <c r="B2462" s="152" t="s">
        <v>8257</v>
      </c>
      <c r="C2462" s="153" t="s">
        <v>16629</v>
      </c>
      <c r="D2462" s="158">
        <v>10</v>
      </c>
      <c r="E2462" s="155">
        <f t="shared" si="86"/>
        <v>1000</v>
      </c>
    </row>
    <row r="2463" ht="16.5" spans="1:5">
      <c r="A2463" s="151">
        <v>2462</v>
      </c>
      <c r="B2463" s="152" t="s">
        <v>8261</v>
      </c>
      <c r="C2463" s="153" t="s">
        <v>16629</v>
      </c>
      <c r="D2463" s="158">
        <v>10</v>
      </c>
      <c r="E2463" s="155">
        <f t="shared" si="86"/>
        <v>1000</v>
      </c>
    </row>
    <row r="2464" ht="16.5" spans="1:5">
      <c r="A2464" s="151">
        <v>2463</v>
      </c>
      <c r="B2464" s="152" t="s">
        <v>8265</v>
      </c>
      <c r="C2464" s="153" t="s">
        <v>16629</v>
      </c>
      <c r="D2464" s="154">
        <v>10</v>
      </c>
      <c r="E2464" s="155">
        <f t="shared" si="86"/>
        <v>1000</v>
      </c>
    </row>
    <row r="2465" ht="16.5" spans="1:5">
      <c r="A2465" s="151">
        <v>2464</v>
      </c>
      <c r="B2465" s="152" t="s">
        <v>8268</v>
      </c>
      <c r="C2465" s="156" t="s">
        <v>16629</v>
      </c>
      <c r="D2465" s="159">
        <v>10</v>
      </c>
      <c r="E2465" s="155">
        <f t="shared" si="86"/>
        <v>1000</v>
      </c>
    </row>
    <row r="2466" ht="16.5" spans="1:5">
      <c r="A2466" s="151">
        <v>2465</v>
      </c>
      <c r="B2466" s="152" t="s">
        <v>8271</v>
      </c>
      <c r="C2466" s="160" t="s">
        <v>16630</v>
      </c>
      <c r="D2466" s="160">
        <v>1000</v>
      </c>
      <c r="E2466" s="161">
        <f>SUM(D2466*100)</f>
        <v>100000</v>
      </c>
    </row>
    <row r="2467" ht="16.5" spans="1:5">
      <c r="A2467" s="151">
        <v>2466</v>
      </c>
      <c r="B2467" s="152" t="s">
        <v>8275</v>
      </c>
      <c r="C2467" s="162" t="s">
        <v>16631</v>
      </c>
      <c r="D2467" s="163">
        <v>1000</v>
      </c>
      <c r="E2467" s="163">
        <f>D2467*100</f>
        <v>100000</v>
      </c>
    </row>
    <row r="2468" ht="16.5" spans="1:5">
      <c r="A2468" s="151">
        <v>2467</v>
      </c>
      <c r="B2468" s="152" t="s">
        <v>8278</v>
      </c>
      <c r="C2468" s="156" t="s">
        <v>16629</v>
      </c>
      <c r="D2468" s="159">
        <v>10</v>
      </c>
      <c r="E2468" s="155">
        <f>+D2468*100</f>
        <v>1000</v>
      </c>
    </row>
    <row r="2469" ht="16.5" spans="1:5">
      <c r="A2469" s="151">
        <v>2468</v>
      </c>
      <c r="B2469" s="152" t="s">
        <v>8281</v>
      </c>
      <c r="C2469" s="166" t="s">
        <v>16632</v>
      </c>
      <c r="D2469" s="177">
        <f>IFERROR(__xludf.DUMMYFUNCTION("""COMPUTED_VALUE"""),10000)</f>
        <v>10000</v>
      </c>
      <c r="E2469" s="178">
        <f>IFERROR(__xludf.DUMMYFUNCTION("""COMPUTED_VALUE"""),1500000)</f>
        <v>1500000</v>
      </c>
    </row>
    <row r="2470" ht="16.5" spans="1:5">
      <c r="A2470" s="151">
        <v>2469</v>
      </c>
      <c r="B2470" s="152" t="s">
        <v>8282</v>
      </c>
      <c r="C2470" s="156" t="s">
        <v>16629</v>
      </c>
      <c r="D2470" s="159">
        <v>125</v>
      </c>
      <c r="E2470" s="155">
        <f>+D2470*100</f>
        <v>12500</v>
      </c>
    </row>
    <row r="2471" ht="16.5" spans="1:5">
      <c r="A2471" s="151">
        <v>2470</v>
      </c>
      <c r="B2471" s="152" t="s">
        <v>8286</v>
      </c>
      <c r="C2471" s="153" t="s">
        <v>16629</v>
      </c>
      <c r="D2471" s="158">
        <v>10</v>
      </c>
      <c r="E2471" s="155">
        <f>+D2471*100</f>
        <v>1000</v>
      </c>
    </row>
    <row r="2472" ht="16.5" spans="1:5">
      <c r="A2472" s="151">
        <v>2471</v>
      </c>
      <c r="B2472" s="152" t="s">
        <v>8289</v>
      </c>
      <c r="C2472" s="160" t="s">
        <v>16630</v>
      </c>
      <c r="D2472" s="160">
        <v>100</v>
      </c>
      <c r="E2472" s="161">
        <f>SUM(D2472*100)</f>
        <v>10000</v>
      </c>
    </row>
    <row r="2473" ht="16.5" spans="1:5">
      <c r="A2473" s="151">
        <v>2472</v>
      </c>
      <c r="B2473" s="152" t="s">
        <v>8294</v>
      </c>
      <c r="C2473" s="153" t="s">
        <v>16629</v>
      </c>
      <c r="D2473" s="154">
        <v>10</v>
      </c>
      <c r="E2473" s="155">
        <f>+D2473*100</f>
        <v>1000</v>
      </c>
    </row>
    <row r="2474" ht="16.5" spans="1:5">
      <c r="A2474" s="151">
        <v>2473</v>
      </c>
      <c r="B2474" s="152" t="s">
        <v>8298</v>
      </c>
      <c r="C2474" s="162" t="s">
        <v>16631</v>
      </c>
      <c r="D2474" s="163">
        <v>1000</v>
      </c>
      <c r="E2474" s="163">
        <f>D2474*100</f>
        <v>100000</v>
      </c>
    </row>
    <row r="2475" ht="16.5" spans="1:5">
      <c r="A2475" s="151">
        <v>2474</v>
      </c>
      <c r="B2475" s="152" t="s">
        <v>8303</v>
      </c>
      <c r="C2475" s="156" t="s">
        <v>16629</v>
      </c>
      <c r="D2475" s="154">
        <v>10</v>
      </c>
      <c r="E2475" s="155">
        <f>+D2475*100</f>
        <v>1000</v>
      </c>
    </row>
    <row r="2476" ht="16.5" spans="1:5">
      <c r="A2476" s="151">
        <v>2475</v>
      </c>
      <c r="B2476" s="152" t="s">
        <v>8307</v>
      </c>
      <c r="C2476" s="153" t="s">
        <v>16629</v>
      </c>
      <c r="D2476" s="154">
        <v>10</v>
      </c>
      <c r="E2476" s="155">
        <f>+D2476*100</f>
        <v>1000</v>
      </c>
    </row>
    <row r="2477" ht="16.5" spans="1:5">
      <c r="A2477" s="151">
        <v>2476</v>
      </c>
      <c r="B2477" s="152" t="s">
        <v>8310</v>
      </c>
      <c r="C2477" s="166" t="s">
        <v>16632</v>
      </c>
      <c r="D2477" s="177">
        <v>10000</v>
      </c>
      <c r="E2477" s="178">
        <f>IFERROR(__xludf.DUMMYFUNCTION("""COMPUTED_VALUE"""),1500000)</f>
        <v>1500000</v>
      </c>
    </row>
    <row r="2478" ht="16.5" spans="1:5">
      <c r="A2478" s="151">
        <v>2477</v>
      </c>
      <c r="B2478" s="152" t="s">
        <v>8310</v>
      </c>
      <c r="C2478" s="166" t="s">
        <v>16632</v>
      </c>
      <c r="D2478" s="177">
        <v>10000</v>
      </c>
      <c r="E2478" s="168">
        <f>IFERROR(__xludf.DUMMYFUNCTION("""COMPUTED_VALUE"""),1500000)</f>
        <v>1500000</v>
      </c>
    </row>
    <row r="2479" ht="16.5" spans="1:5">
      <c r="A2479" s="151">
        <v>2478</v>
      </c>
      <c r="B2479" s="152" t="s">
        <v>8310</v>
      </c>
      <c r="C2479" s="166" t="s">
        <v>16632</v>
      </c>
      <c r="D2479" s="166">
        <f>IFERROR(__xludf.DUMMYFUNCTION("""COMPUTED_VALUE"""),10000)</f>
        <v>10000</v>
      </c>
      <c r="E2479" s="168">
        <f>IFERROR(__xludf.DUMMYFUNCTION("""COMPUTED_VALUE"""),1500000)</f>
        <v>1500000</v>
      </c>
    </row>
    <row r="2480" ht="16.5" spans="1:5">
      <c r="A2480" s="151">
        <v>2479</v>
      </c>
      <c r="B2480" s="152" t="s">
        <v>8311</v>
      </c>
      <c r="C2480" s="166" t="s">
        <v>16632</v>
      </c>
      <c r="D2480" s="36">
        <v>10000</v>
      </c>
      <c r="E2480" s="45">
        <v>3500000</v>
      </c>
    </row>
    <row r="2481" ht="16.5" spans="1:5">
      <c r="A2481" s="151">
        <v>2480</v>
      </c>
      <c r="B2481" s="152" t="s">
        <v>8315</v>
      </c>
      <c r="C2481" s="160" t="s">
        <v>16630</v>
      </c>
      <c r="D2481" s="160">
        <v>10</v>
      </c>
      <c r="E2481" s="161">
        <f>SUM(D2481*100)</f>
        <v>1000</v>
      </c>
    </row>
    <row r="2482" ht="16.5" spans="1:5">
      <c r="A2482" s="151">
        <v>2481</v>
      </c>
      <c r="B2482" s="152" t="s">
        <v>8318</v>
      </c>
      <c r="C2482" s="160" t="s">
        <v>16630</v>
      </c>
      <c r="D2482" s="160">
        <v>10</v>
      </c>
      <c r="E2482" s="161">
        <f>SUM(D2482*100)</f>
        <v>1000</v>
      </c>
    </row>
    <row r="2483" ht="16.5" spans="1:5">
      <c r="A2483" s="151">
        <v>2482</v>
      </c>
      <c r="B2483" s="152" t="s">
        <v>8321</v>
      </c>
      <c r="C2483" s="160" t="s">
        <v>16630</v>
      </c>
      <c r="D2483" s="165">
        <v>100</v>
      </c>
      <c r="E2483" s="161">
        <f>SUM(D2483*100)</f>
        <v>10000</v>
      </c>
    </row>
    <row r="2484" ht="16.5" spans="1:5">
      <c r="A2484" s="151">
        <v>2483</v>
      </c>
      <c r="B2484" s="152" t="s">
        <v>8324</v>
      </c>
      <c r="C2484" s="156" t="s">
        <v>16629</v>
      </c>
      <c r="D2484" s="157">
        <v>10</v>
      </c>
      <c r="E2484" s="155">
        <f>+D2484*100</f>
        <v>1000</v>
      </c>
    </row>
    <row r="2485" ht="16.5" spans="1:5">
      <c r="A2485" s="151">
        <v>2484</v>
      </c>
      <c r="B2485" s="152" t="s">
        <v>8327</v>
      </c>
      <c r="C2485" s="153" t="s">
        <v>16629</v>
      </c>
      <c r="D2485" s="158">
        <v>30</v>
      </c>
      <c r="E2485" s="155">
        <f>+D2485*100</f>
        <v>3000</v>
      </c>
    </row>
    <row r="2486" ht="16.5" spans="1:5">
      <c r="A2486" s="151">
        <v>2485</v>
      </c>
      <c r="B2486" s="152" t="s">
        <v>8330</v>
      </c>
      <c r="C2486" s="153" t="s">
        <v>16629</v>
      </c>
      <c r="D2486" s="158">
        <v>10</v>
      </c>
      <c r="E2486" s="155">
        <f>+D2486*100</f>
        <v>1000</v>
      </c>
    </row>
    <row r="2487" ht="16.5" spans="1:5">
      <c r="A2487" s="151">
        <v>2486</v>
      </c>
      <c r="B2487" s="152" t="s">
        <v>8333</v>
      </c>
      <c r="C2487" s="156" t="s">
        <v>16629</v>
      </c>
      <c r="D2487" s="159">
        <v>10</v>
      </c>
      <c r="E2487" s="155">
        <f>+D2487*100</f>
        <v>1000</v>
      </c>
    </row>
    <row r="2488" ht="16.5" spans="1:5">
      <c r="A2488" s="151">
        <v>2487</v>
      </c>
      <c r="B2488" s="152" t="s">
        <v>8336</v>
      </c>
      <c r="C2488" s="153" t="s">
        <v>16629</v>
      </c>
      <c r="D2488" s="158">
        <v>10</v>
      </c>
      <c r="E2488" s="155">
        <f>+D2488*100</f>
        <v>1000</v>
      </c>
    </row>
    <row r="2489" ht="16.5" spans="1:5">
      <c r="A2489" s="151">
        <v>2488</v>
      </c>
      <c r="B2489" s="152" t="s">
        <v>8339</v>
      </c>
      <c r="C2489" s="160" t="s">
        <v>16630</v>
      </c>
      <c r="D2489" s="160">
        <v>60</v>
      </c>
      <c r="E2489" s="161">
        <f>SUM(D2489*100)</f>
        <v>6000</v>
      </c>
    </row>
    <row r="2490" ht="16.5" spans="1:5">
      <c r="A2490" s="151">
        <v>2489</v>
      </c>
      <c r="B2490" s="152" t="s">
        <v>8343</v>
      </c>
      <c r="C2490" s="156" t="s">
        <v>16629</v>
      </c>
      <c r="D2490" s="157">
        <v>10</v>
      </c>
      <c r="E2490" s="155">
        <f>+D2490*100</f>
        <v>1000</v>
      </c>
    </row>
    <row r="2491" ht="16.5" spans="1:5">
      <c r="A2491" s="151">
        <v>2490</v>
      </c>
      <c r="B2491" s="152" t="s">
        <v>8346</v>
      </c>
      <c r="C2491" s="156" t="s">
        <v>16629</v>
      </c>
      <c r="D2491" s="159">
        <v>10</v>
      </c>
      <c r="E2491" s="155">
        <f>+D2491*100</f>
        <v>1000</v>
      </c>
    </row>
    <row r="2492" ht="16.5" spans="1:5">
      <c r="A2492" s="151">
        <v>2491</v>
      </c>
      <c r="B2492" s="152" t="s">
        <v>8350</v>
      </c>
      <c r="C2492" s="153" t="s">
        <v>16629</v>
      </c>
      <c r="D2492" s="154">
        <v>10</v>
      </c>
      <c r="E2492" s="155">
        <f>SUM(D2492*100)</f>
        <v>1000</v>
      </c>
    </row>
    <row r="2493" ht="16.5" spans="1:5">
      <c r="A2493" s="151">
        <v>2492</v>
      </c>
      <c r="B2493" s="152" t="s">
        <v>8354</v>
      </c>
      <c r="C2493" s="156" t="s">
        <v>16629</v>
      </c>
      <c r="D2493" s="159">
        <v>10</v>
      </c>
      <c r="E2493" s="155">
        <f t="shared" ref="E2493:E2501" si="87">+D2493*100</f>
        <v>1000</v>
      </c>
    </row>
    <row r="2494" ht="16.5" spans="1:5">
      <c r="A2494" s="151">
        <v>2493</v>
      </c>
      <c r="B2494" s="152" t="s">
        <v>8354</v>
      </c>
      <c r="C2494" s="156" t="s">
        <v>16629</v>
      </c>
      <c r="D2494" s="154">
        <v>10</v>
      </c>
      <c r="E2494" s="155">
        <f t="shared" si="87"/>
        <v>1000</v>
      </c>
    </row>
    <row r="2495" ht="16.5" spans="1:5">
      <c r="A2495" s="151">
        <v>2494</v>
      </c>
      <c r="B2495" s="152" t="s">
        <v>8354</v>
      </c>
      <c r="C2495" s="153" t="s">
        <v>16629</v>
      </c>
      <c r="D2495" s="154">
        <v>10</v>
      </c>
      <c r="E2495" s="155">
        <f t="shared" si="87"/>
        <v>1000</v>
      </c>
    </row>
    <row r="2496" ht="16.5" spans="1:5">
      <c r="A2496" s="151">
        <v>2495</v>
      </c>
      <c r="B2496" s="152" t="s">
        <v>8354</v>
      </c>
      <c r="C2496" s="156" t="s">
        <v>16629</v>
      </c>
      <c r="D2496" s="159">
        <v>10</v>
      </c>
      <c r="E2496" s="155">
        <f t="shared" si="87"/>
        <v>1000</v>
      </c>
    </row>
    <row r="2497" ht="16.5" spans="1:5">
      <c r="A2497" s="151">
        <v>2496</v>
      </c>
      <c r="B2497" s="152" t="s">
        <v>8354</v>
      </c>
      <c r="C2497" s="156" t="s">
        <v>16629</v>
      </c>
      <c r="D2497" s="157">
        <v>10</v>
      </c>
      <c r="E2497" s="155">
        <f t="shared" si="87"/>
        <v>1000</v>
      </c>
    </row>
    <row r="2498" ht="16.5" spans="1:5">
      <c r="A2498" s="151">
        <v>2497</v>
      </c>
      <c r="B2498" s="152" t="s">
        <v>8367</v>
      </c>
      <c r="C2498" s="156" t="s">
        <v>16629</v>
      </c>
      <c r="D2498" s="157">
        <v>10</v>
      </c>
      <c r="E2498" s="155">
        <f t="shared" si="87"/>
        <v>1000</v>
      </c>
    </row>
    <row r="2499" ht="16.5" spans="1:5">
      <c r="A2499" s="151">
        <v>2498</v>
      </c>
      <c r="B2499" s="152" t="s">
        <v>8370</v>
      </c>
      <c r="C2499" s="156" t="s">
        <v>16629</v>
      </c>
      <c r="D2499" s="157">
        <v>10</v>
      </c>
      <c r="E2499" s="155">
        <f t="shared" si="87"/>
        <v>1000</v>
      </c>
    </row>
    <row r="2500" ht="16.5" spans="1:5">
      <c r="A2500" s="151">
        <v>2499</v>
      </c>
      <c r="B2500" s="152" t="s">
        <v>8373</v>
      </c>
      <c r="C2500" s="153" t="s">
        <v>16629</v>
      </c>
      <c r="D2500" s="158">
        <v>10</v>
      </c>
      <c r="E2500" s="155">
        <f t="shared" si="87"/>
        <v>1000</v>
      </c>
    </row>
    <row r="2501" ht="16.5" spans="1:5">
      <c r="A2501" s="151">
        <v>2500</v>
      </c>
      <c r="B2501" s="152" t="s">
        <v>8377</v>
      </c>
      <c r="C2501" s="153" t="s">
        <v>16629</v>
      </c>
      <c r="D2501" s="158">
        <v>10</v>
      </c>
      <c r="E2501" s="155">
        <f t="shared" si="87"/>
        <v>1000</v>
      </c>
    </row>
    <row r="2502" ht="16.5" spans="1:5">
      <c r="A2502" s="151">
        <v>2501</v>
      </c>
      <c r="B2502" s="152" t="s">
        <v>8380</v>
      </c>
      <c r="C2502" s="156" t="s">
        <v>16629</v>
      </c>
      <c r="D2502" s="159">
        <v>10</v>
      </c>
      <c r="E2502" s="155">
        <f>SUM(D2502*100)</f>
        <v>1000</v>
      </c>
    </row>
    <row r="2503" ht="16.5" spans="1:5">
      <c r="A2503" s="151">
        <v>2502</v>
      </c>
      <c r="B2503" s="152" t="s">
        <v>8383</v>
      </c>
      <c r="C2503" s="156" t="s">
        <v>16629</v>
      </c>
      <c r="D2503" s="157">
        <v>10</v>
      </c>
      <c r="E2503" s="155">
        <f>+D2503*100</f>
        <v>1000</v>
      </c>
    </row>
    <row r="2504" ht="16.5" spans="1:5">
      <c r="A2504" s="151">
        <v>2503</v>
      </c>
      <c r="B2504" s="152" t="s">
        <v>8386</v>
      </c>
      <c r="C2504" s="156" t="s">
        <v>16629</v>
      </c>
      <c r="D2504" s="157">
        <v>10</v>
      </c>
      <c r="E2504" s="155">
        <f>+D2504*100</f>
        <v>1000</v>
      </c>
    </row>
    <row r="2505" ht="16.5" spans="1:5">
      <c r="A2505" s="151">
        <v>2504</v>
      </c>
      <c r="B2505" s="152" t="s">
        <v>8389</v>
      </c>
      <c r="C2505" s="153" t="s">
        <v>16629</v>
      </c>
      <c r="D2505" s="154">
        <v>10</v>
      </c>
      <c r="E2505" s="155">
        <f>+D2505*100</f>
        <v>1000</v>
      </c>
    </row>
    <row r="2506" ht="16.5" spans="1:5">
      <c r="A2506" s="151">
        <v>2505</v>
      </c>
      <c r="B2506" s="152" t="s">
        <v>8392</v>
      </c>
      <c r="C2506" s="160" t="s">
        <v>16630</v>
      </c>
      <c r="D2506" s="160">
        <v>130</v>
      </c>
      <c r="E2506" s="161">
        <f>SUM(D2506*100)</f>
        <v>13000</v>
      </c>
    </row>
    <row r="2507" ht="16.5" spans="1:5">
      <c r="A2507" s="151">
        <v>2506</v>
      </c>
      <c r="B2507" s="152" t="s">
        <v>8396</v>
      </c>
      <c r="C2507" s="156" t="s">
        <v>16629</v>
      </c>
      <c r="D2507" s="154">
        <v>10</v>
      </c>
      <c r="E2507" s="155">
        <f t="shared" ref="E2507:E2516" si="88">+D2507*100</f>
        <v>1000</v>
      </c>
    </row>
    <row r="2508" ht="16.5" spans="1:5">
      <c r="A2508" s="151">
        <v>2507</v>
      </c>
      <c r="B2508" s="152" t="s">
        <v>8399</v>
      </c>
      <c r="C2508" s="156" t="s">
        <v>16629</v>
      </c>
      <c r="D2508" s="159">
        <v>10</v>
      </c>
      <c r="E2508" s="155">
        <f t="shared" si="88"/>
        <v>1000</v>
      </c>
    </row>
    <row r="2509" ht="16.5" spans="1:5">
      <c r="A2509" s="151">
        <v>2508</v>
      </c>
      <c r="B2509" s="152" t="s">
        <v>8403</v>
      </c>
      <c r="C2509" s="153" t="s">
        <v>16629</v>
      </c>
      <c r="D2509" s="154">
        <v>10</v>
      </c>
      <c r="E2509" s="155">
        <f t="shared" si="88"/>
        <v>1000</v>
      </c>
    </row>
    <row r="2510" ht="16.5" spans="1:5">
      <c r="A2510" s="151">
        <v>2509</v>
      </c>
      <c r="B2510" s="152" t="s">
        <v>8406</v>
      </c>
      <c r="C2510" s="156" t="s">
        <v>16629</v>
      </c>
      <c r="D2510" s="157">
        <v>10</v>
      </c>
      <c r="E2510" s="155">
        <f t="shared" si="88"/>
        <v>1000</v>
      </c>
    </row>
    <row r="2511" ht="16.5" spans="1:5">
      <c r="A2511" s="151">
        <v>2510</v>
      </c>
      <c r="B2511" s="152" t="s">
        <v>8409</v>
      </c>
      <c r="C2511" s="153" t="s">
        <v>16629</v>
      </c>
      <c r="D2511" s="154">
        <v>10</v>
      </c>
      <c r="E2511" s="155">
        <f t="shared" si="88"/>
        <v>1000</v>
      </c>
    </row>
    <row r="2512" ht="16.5" spans="1:5">
      <c r="A2512" s="151">
        <v>2511</v>
      </c>
      <c r="B2512" s="152" t="s">
        <v>8412</v>
      </c>
      <c r="C2512" s="156" t="s">
        <v>16629</v>
      </c>
      <c r="D2512" s="159">
        <v>10</v>
      </c>
      <c r="E2512" s="155">
        <f t="shared" si="88"/>
        <v>1000</v>
      </c>
    </row>
    <row r="2513" ht="16.5" spans="1:5">
      <c r="A2513" s="151">
        <v>2512</v>
      </c>
      <c r="B2513" s="152" t="s">
        <v>8415</v>
      </c>
      <c r="C2513" s="156" t="s">
        <v>16629</v>
      </c>
      <c r="D2513" s="159">
        <v>10</v>
      </c>
      <c r="E2513" s="155">
        <f t="shared" si="88"/>
        <v>1000</v>
      </c>
    </row>
    <row r="2514" ht="16.5" spans="1:5">
      <c r="A2514" s="151">
        <v>2513</v>
      </c>
      <c r="B2514" s="152" t="s">
        <v>8419</v>
      </c>
      <c r="C2514" s="156" t="s">
        <v>16629</v>
      </c>
      <c r="D2514" s="159">
        <v>10</v>
      </c>
      <c r="E2514" s="155">
        <f t="shared" si="88"/>
        <v>1000</v>
      </c>
    </row>
    <row r="2515" ht="16.5" spans="1:5">
      <c r="A2515" s="151">
        <v>2514</v>
      </c>
      <c r="B2515" s="152" t="s">
        <v>8423</v>
      </c>
      <c r="C2515" s="153" t="s">
        <v>16629</v>
      </c>
      <c r="D2515" s="154">
        <v>10</v>
      </c>
      <c r="E2515" s="155">
        <f t="shared" si="88"/>
        <v>1000</v>
      </c>
    </row>
    <row r="2516" ht="16.5" spans="1:5">
      <c r="A2516" s="151">
        <v>2515</v>
      </c>
      <c r="B2516" s="152" t="s">
        <v>8427</v>
      </c>
      <c r="C2516" s="156" t="s">
        <v>16629</v>
      </c>
      <c r="D2516" s="159">
        <v>10</v>
      </c>
      <c r="E2516" s="155">
        <f t="shared" si="88"/>
        <v>1000</v>
      </c>
    </row>
    <row r="2517" ht="16.5" spans="1:5">
      <c r="A2517" s="151">
        <v>2516</v>
      </c>
      <c r="B2517" s="152" t="s">
        <v>8430</v>
      </c>
      <c r="C2517" s="162" t="s">
        <v>16631</v>
      </c>
      <c r="D2517" s="163">
        <v>1000</v>
      </c>
      <c r="E2517" s="163">
        <f>D2517*100</f>
        <v>100000</v>
      </c>
    </row>
    <row r="2518" ht="16.5" spans="1:5">
      <c r="A2518" s="151">
        <v>2517</v>
      </c>
      <c r="B2518" s="152" t="s">
        <v>8430</v>
      </c>
      <c r="C2518" s="162" t="s">
        <v>16633</v>
      </c>
      <c r="D2518" s="171">
        <f>G2518/100</f>
        <v>0</v>
      </c>
      <c r="E2518" s="171">
        <f>G2518</f>
        <v>0</v>
      </c>
    </row>
    <row r="2519" ht="16.5" spans="1:5">
      <c r="A2519" s="151">
        <v>2518</v>
      </c>
      <c r="B2519" s="152" t="s">
        <v>8434</v>
      </c>
      <c r="C2519" s="153" t="s">
        <v>16629</v>
      </c>
      <c r="D2519" s="154">
        <v>10</v>
      </c>
      <c r="E2519" s="155">
        <f t="shared" ref="E2519:E2535" si="89">+D2519*100</f>
        <v>1000</v>
      </c>
    </row>
    <row r="2520" ht="16.5" spans="1:5">
      <c r="A2520" s="151">
        <v>2519</v>
      </c>
      <c r="B2520" s="152" t="s">
        <v>8437</v>
      </c>
      <c r="C2520" s="156" t="s">
        <v>16629</v>
      </c>
      <c r="D2520" s="159">
        <v>10</v>
      </c>
      <c r="E2520" s="155">
        <f t="shared" si="89"/>
        <v>1000</v>
      </c>
    </row>
    <row r="2521" ht="16.5" spans="1:5">
      <c r="A2521" s="151">
        <v>2520</v>
      </c>
      <c r="B2521" s="152" t="s">
        <v>8440</v>
      </c>
      <c r="C2521" s="153" t="s">
        <v>16629</v>
      </c>
      <c r="D2521" s="158">
        <v>10</v>
      </c>
      <c r="E2521" s="155">
        <f t="shared" si="89"/>
        <v>1000</v>
      </c>
    </row>
    <row r="2522" ht="16.5" spans="1:5">
      <c r="A2522" s="151">
        <v>2521</v>
      </c>
      <c r="B2522" s="152" t="s">
        <v>8443</v>
      </c>
      <c r="C2522" s="156" t="s">
        <v>16629</v>
      </c>
      <c r="D2522" s="159">
        <v>10</v>
      </c>
      <c r="E2522" s="155">
        <f t="shared" si="89"/>
        <v>1000</v>
      </c>
    </row>
    <row r="2523" ht="16.5" spans="1:5">
      <c r="A2523" s="151">
        <v>2522</v>
      </c>
      <c r="B2523" s="152" t="s">
        <v>8447</v>
      </c>
      <c r="C2523" s="156" t="s">
        <v>16629</v>
      </c>
      <c r="D2523" s="159">
        <v>10</v>
      </c>
      <c r="E2523" s="155">
        <f t="shared" si="89"/>
        <v>1000</v>
      </c>
    </row>
    <row r="2524" ht="16.5" spans="1:5">
      <c r="A2524" s="151">
        <v>2523</v>
      </c>
      <c r="B2524" s="152" t="s">
        <v>8451</v>
      </c>
      <c r="C2524" s="156" t="s">
        <v>16629</v>
      </c>
      <c r="D2524" s="157">
        <v>10</v>
      </c>
      <c r="E2524" s="155">
        <f t="shared" si="89"/>
        <v>1000</v>
      </c>
    </row>
    <row r="2525" ht="16.5" spans="1:5">
      <c r="A2525" s="151">
        <v>2524</v>
      </c>
      <c r="B2525" s="152" t="s">
        <v>8454</v>
      </c>
      <c r="C2525" s="153" t="s">
        <v>16629</v>
      </c>
      <c r="D2525" s="154">
        <v>10</v>
      </c>
      <c r="E2525" s="155">
        <f t="shared" si="89"/>
        <v>1000</v>
      </c>
    </row>
    <row r="2526" ht="16.5" spans="1:5">
      <c r="A2526" s="151">
        <v>2525</v>
      </c>
      <c r="B2526" s="152" t="s">
        <v>8457</v>
      </c>
      <c r="C2526" s="156" t="s">
        <v>16629</v>
      </c>
      <c r="D2526" s="157">
        <v>10</v>
      </c>
      <c r="E2526" s="155">
        <f t="shared" si="89"/>
        <v>1000</v>
      </c>
    </row>
    <row r="2527" ht="16.5" spans="1:5">
      <c r="A2527" s="151">
        <v>2526</v>
      </c>
      <c r="B2527" s="152" t="s">
        <v>8460</v>
      </c>
      <c r="C2527" s="153" t="s">
        <v>16629</v>
      </c>
      <c r="D2527" s="158">
        <v>10</v>
      </c>
      <c r="E2527" s="155">
        <f t="shared" si="89"/>
        <v>1000</v>
      </c>
    </row>
    <row r="2528" ht="16.5" spans="1:5">
      <c r="A2528" s="151">
        <v>2527</v>
      </c>
      <c r="B2528" s="152" t="s">
        <v>8463</v>
      </c>
      <c r="C2528" s="153" t="s">
        <v>16629</v>
      </c>
      <c r="D2528" s="158">
        <v>10</v>
      </c>
      <c r="E2528" s="155">
        <f t="shared" si="89"/>
        <v>1000</v>
      </c>
    </row>
    <row r="2529" ht="16.5" spans="1:5">
      <c r="A2529" s="151">
        <v>2528</v>
      </c>
      <c r="B2529" s="152" t="s">
        <v>8466</v>
      </c>
      <c r="C2529" s="156" t="s">
        <v>16629</v>
      </c>
      <c r="D2529" s="159">
        <v>10</v>
      </c>
      <c r="E2529" s="155">
        <f t="shared" si="89"/>
        <v>1000</v>
      </c>
    </row>
    <row r="2530" ht="16.5" spans="1:5">
      <c r="A2530" s="151">
        <v>2529</v>
      </c>
      <c r="B2530" s="152" t="s">
        <v>8470</v>
      </c>
      <c r="C2530" s="153" t="s">
        <v>16629</v>
      </c>
      <c r="D2530" s="158">
        <v>10</v>
      </c>
      <c r="E2530" s="155">
        <f t="shared" si="89"/>
        <v>1000</v>
      </c>
    </row>
    <row r="2531" ht="16.5" spans="1:5">
      <c r="A2531" s="151">
        <v>2530</v>
      </c>
      <c r="B2531" s="152" t="s">
        <v>8473</v>
      </c>
      <c r="C2531" s="156" t="s">
        <v>16629</v>
      </c>
      <c r="D2531" s="159">
        <v>10</v>
      </c>
      <c r="E2531" s="155">
        <f t="shared" si="89"/>
        <v>1000</v>
      </c>
    </row>
    <row r="2532" ht="16.5" spans="1:5">
      <c r="A2532" s="151">
        <v>2531</v>
      </c>
      <c r="B2532" s="152" t="s">
        <v>8476</v>
      </c>
      <c r="C2532" s="153" t="s">
        <v>16629</v>
      </c>
      <c r="D2532" s="154">
        <v>10</v>
      </c>
      <c r="E2532" s="155">
        <f t="shared" si="89"/>
        <v>1000</v>
      </c>
    </row>
    <row r="2533" ht="16.5" spans="1:5">
      <c r="A2533" s="151">
        <v>2532</v>
      </c>
      <c r="B2533" s="152" t="s">
        <v>8479</v>
      </c>
      <c r="C2533" s="156" t="s">
        <v>16629</v>
      </c>
      <c r="D2533" s="157">
        <v>10</v>
      </c>
      <c r="E2533" s="155">
        <f t="shared" si="89"/>
        <v>1000</v>
      </c>
    </row>
    <row r="2534" ht="16.5" spans="1:5">
      <c r="A2534" s="151">
        <v>2533</v>
      </c>
      <c r="B2534" s="152" t="s">
        <v>8483</v>
      </c>
      <c r="C2534" s="153" t="s">
        <v>16629</v>
      </c>
      <c r="D2534" s="154">
        <v>10</v>
      </c>
      <c r="E2534" s="155">
        <f t="shared" si="89"/>
        <v>1000</v>
      </c>
    </row>
    <row r="2535" ht="16.5" spans="1:5">
      <c r="A2535" s="151">
        <v>2534</v>
      </c>
      <c r="B2535" s="152" t="s">
        <v>8487</v>
      </c>
      <c r="C2535" s="156" t="s">
        <v>16629</v>
      </c>
      <c r="D2535" s="159">
        <v>10</v>
      </c>
      <c r="E2535" s="155">
        <f t="shared" si="89"/>
        <v>1000</v>
      </c>
    </row>
    <row r="2536" ht="16.5" spans="1:5">
      <c r="A2536" s="151">
        <v>2535</v>
      </c>
      <c r="B2536" s="152" t="s">
        <v>8491</v>
      </c>
      <c r="C2536" s="162" t="s">
        <v>16631</v>
      </c>
      <c r="D2536" s="163">
        <v>6000</v>
      </c>
      <c r="E2536" s="163">
        <f>D2536*100</f>
        <v>600000</v>
      </c>
    </row>
    <row r="2537" ht="16.5" spans="1:5">
      <c r="A2537" s="151">
        <v>2536</v>
      </c>
      <c r="B2537" s="152" t="s">
        <v>8495</v>
      </c>
      <c r="C2537" s="153" t="s">
        <v>16629</v>
      </c>
      <c r="D2537" s="158">
        <v>10</v>
      </c>
      <c r="E2537" s="155">
        <f>+D2537*100</f>
        <v>1000</v>
      </c>
    </row>
    <row r="2538" ht="16.5" spans="1:5">
      <c r="A2538" s="151">
        <v>2537</v>
      </c>
      <c r="B2538" s="152" t="s">
        <v>8498</v>
      </c>
      <c r="C2538" s="153" t="s">
        <v>16629</v>
      </c>
      <c r="D2538" s="154">
        <v>10</v>
      </c>
      <c r="E2538" s="155">
        <f>+D2538*100</f>
        <v>1000</v>
      </c>
    </row>
    <row r="2539" ht="16.5" spans="1:5">
      <c r="A2539" s="151">
        <v>2538</v>
      </c>
      <c r="B2539" s="152" t="s">
        <v>8501</v>
      </c>
      <c r="C2539" s="156" t="s">
        <v>16629</v>
      </c>
      <c r="D2539" s="159">
        <v>10</v>
      </c>
      <c r="E2539" s="155">
        <f>+D2539*100</f>
        <v>1000</v>
      </c>
    </row>
    <row r="2540" ht="16.5" spans="1:5">
      <c r="A2540" s="151">
        <v>2539</v>
      </c>
      <c r="B2540" s="152" t="s">
        <v>8504</v>
      </c>
      <c r="C2540" s="153" t="s">
        <v>16629</v>
      </c>
      <c r="D2540" s="154">
        <v>10</v>
      </c>
      <c r="E2540" s="155">
        <f>+D2540*100</f>
        <v>1000</v>
      </c>
    </row>
    <row r="2541" ht="16.5" spans="1:5">
      <c r="A2541" s="151">
        <v>2540</v>
      </c>
      <c r="B2541" s="152" t="s">
        <v>8507</v>
      </c>
      <c r="C2541" s="162" t="s">
        <v>16631</v>
      </c>
      <c r="D2541" s="163">
        <v>1000</v>
      </c>
      <c r="E2541" s="163">
        <f>D2541*100</f>
        <v>100000</v>
      </c>
    </row>
    <row r="2542" ht="16.5" spans="1:5">
      <c r="A2542" s="151">
        <v>2541</v>
      </c>
      <c r="B2542" s="152" t="s">
        <v>8512</v>
      </c>
      <c r="C2542" s="160" t="s">
        <v>16630</v>
      </c>
      <c r="D2542" s="160">
        <v>750</v>
      </c>
      <c r="E2542" s="161">
        <f>SUM(D2542*100)</f>
        <v>75000</v>
      </c>
    </row>
    <row r="2543" ht="16.5" spans="1:5">
      <c r="A2543" s="151">
        <v>2542</v>
      </c>
      <c r="B2543" s="152" t="s">
        <v>8515</v>
      </c>
      <c r="C2543" s="156" t="s">
        <v>16629</v>
      </c>
      <c r="D2543" s="159">
        <v>20</v>
      </c>
      <c r="E2543" s="155">
        <f>+D2543*100</f>
        <v>2000</v>
      </c>
    </row>
    <row r="2544" ht="16.5" spans="1:5">
      <c r="A2544" s="151">
        <v>2543</v>
      </c>
      <c r="B2544" s="152" t="s">
        <v>8518</v>
      </c>
      <c r="C2544" s="156" t="s">
        <v>16629</v>
      </c>
      <c r="D2544" s="159">
        <v>10</v>
      </c>
      <c r="E2544" s="155">
        <f>+D2544*100</f>
        <v>1000</v>
      </c>
    </row>
    <row r="2545" ht="16.5" spans="1:5">
      <c r="A2545" s="151">
        <v>2544</v>
      </c>
      <c r="B2545" s="152" t="s">
        <v>8522</v>
      </c>
      <c r="C2545" s="156" t="s">
        <v>16629</v>
      </c>
      <c r="D2545" s="154">
        <v>10</v>
      </c>
      <c r="E2545" s="155">
        <f>+D2545*100</f>
        <v>1000</v>
      </c>
    </row>
    <row r="2546" ht="16.5" spans="1:5">
      <c r="A2546" s="151">
        <v>2545</v>
      </c>
      <c r="B2546" s="152" t="s">
        <v>8525</v>
      </c>
      <c r="C2546" s="156" t="s">
        <v>16629</v>
      </c>
      <c r="D2546" s="159">
        <v>10</v>
      </c>
      <c r="E2546" s="155">
        <f>+D2546*100</f>
        <v>1000</v>
      </c>
    </row>
    <row r="2547" ht="16.5" spans="1:5">
      <c r="A2547" s="151">
        <v>2546</v>
      </c>
      <c r="B2547" s="152" t="s">
        <v>8528</v>
      </c>
      <c r="C2547" s="160" t="s">
        <v>16630</v>
      </c>
      <c r="D2547" s="41">
        <v>20</v>
      </c>
      <c r="E2547" s="161">
        <f>SUM(D2547*100)</f>
        <v>2000</v>
      </c>
    </row>
    <row r="2548" ht="16.5" spans="1:5">
      <c r="A2548" s="151">
        <v>2547</v>
      </c>
      <c r="B2548" s="152" t="s">
        <v>8531</v>
      </c>
      <c r="C2548" s="156" t="s">
        <v>16629</v>
      </c>
      <c r="D2548" s="157">
        <v>10</v>
      </c>
      <c r="E2548" s="155">
        <f>+D2548*100</f>
        <v>1000</v>
      </c>
    </row>
    <row r="2549" ht="16.5" spans="1:5">
      <c r="A2549" s="151">
        <v>2548</v>
      </c>
      <c r="B2549" s="152" t="s">
        <v>8535</v>
      </c>
      <c r="C2549" s="153" t="s">
        <v>16629</v>
      </c>
      <c r="D2549" s="158">
        <v>10</v>
      </c>
      <c r="E2549" s="155">
        <f>+D2549*100</f>
        <v>1000</v>
      </c>
    </row>
    <row r="2550" ht="16.5" spans="1:5">
      <c r="A2550" s="151">
        <v>2549</v>
      </c>
      <c r="B2550" s="152" t="s">
        <v>8538</v>
      </c>
      <c r="C2550" s="156" t="s">
        <v>16629</v>
      </c>
      <c r="D2550" s="157">
        <v>10</v>
      </c>
      <c r="E2550" s="155">
        <f>+D2550*100</f>
        <v>1000</v>
      </c>
    </row>
    <row r="2551" ht="16.5" spans="1:5">
      <c r="A2551" s="151">
        <v>2550</v>
      </c>
      <c r="B2551" s="152" t="s">
        <v>8542</v>
      </c>
      <c r="C2551" s="153" t="s">
        <v>16629</v>
      </c>
      <c r="D2551" s="154">
        <v>10</v>
      </c>
      <c r="E2551" s="155">
        <f>+D2551*100</f>
        <v>1000</v>
      </c>
    </row>
    <row r="2552" ht="16.5" spans="1:5">
      <c r="A2552" s="151">
        <v>2551</v>
      </c>
      <c r="B2552" s="152" t="s">
        <v>8545</v>
      </c>
      <c r="C2552" s="156" t="s">
        <v>16629</v>
      </c>
      <c r="D2552" s="158">
        <v>10</v>
      </c>
      <c r="E2552" s="155">
        <f>+D2552*100</f>
        <v>1000</v>
      </c>
    </row>
    <row r="2553" ht="16.5" spans="1:5">
      <c r="A2553" s="151">
        <v>2552</v>
      </c>
      <c r="B2553" s="152" t="s">
        <v>8548</v>
      </c>
      <c r="C2553" s="160" t="s">
        <v>16630</v>
      </c>
      <c r="D2553" s="160">
        <v>100</v>
      </c>
      <c r="E2553" s="161">
        <f>SUM(D2553*100)</f>
        <v>10000</v>
      </c>
    </row>
    <row r="2554" ht="16.5" spans="1:5">
      <c r="A2554" s="151">
        <v>2553</v>
      </c>
      <c r="B2554" s="152" t="s">
        <v>8552</v>
      </c>
      <c r="C2554" s="153" t="s">
        <v>16629</v>
      </c>
      <c r="D2554" s="158">
        <v>10</v>
      </c>
      <c r="E2554" s="155">
        <f>+D2554*100</f>
        <v>1000</v>
      </c>
    </row>
    <row r="2555" ht="16.5" spans="1:5">
      <c r="A2555" s="151">
        <v>2554</v>
      </c>
      <c r="B2555" s="152" t="s">
        <v>8555</v>
      </c>
      <c r="C2555" s="156" t="s">
        <v>16629</v>
      </c>
      <c r="D2555" s="157">
        <v>10</v>
      </c>
      <c r="E2555" s="155">
        <f>+D2555*100</f>
        <v>1000</v>
      </c>
    </row>
    <row r="2556" ht="16.5" spans="1:5">
      <c r="A2556" s="151">
        <v>2555</v>
      </c>
      <c r="B2556" s="152" t="s">
        <v>8558</v>
      </c>
      <c r="C2556" s="156" t="s">
        <v>16629</v>
      </c>
      <c r="D2556" s="157">
        <v>10</v>
      </c>
      <c r="E2556" s="155">
        <f>+D2556*100</f>
        <v>1000</v>
      </c>
    </row>
    <row r="2557" ht="16.5" spans="1:5">
      <c r="A2557" s="151">
        <v>2556</v>
      </c>
      <c r="B2557" s="152" t="s">
        <v>8562</v>
      </c>
      <c r="C2557" s="153" t="s">
        <v>16629</v>
      </c>
      <c r="D2557" s="158">
        <v>10</v>
      </c>
      <c r="E2557" s="155">
        <f>+D2557*100</f>
        <v>1000</v>
      </c>
    </row>
    <row r="2558" ht="16.5" spans="1:5">
      <c r="A2558" s="151">
        <v>2557</v>
      </c>
      <c r="B2558" s="152" t="s">
        <v>8565</v>
      </c>
      <c r="C2558" s="162" t="s">
        <v>16633</v>
      </c>
      <c r="D2558" s="171">
        <f>G2558/100</f>
        <v>0</v>
      </c>
      <c r="E2558" s="171">
        <f>G2558</f>
        <v>0</v>
      </c>
    </row>
    <row r="2559" ht="16.5" spans="1:5">
      <c r="A2559" s="151">
        <v>2558</v>
      </c>
      <c r="B2559" s="152" t="s">
        <v>8570</v>
      </c>
      <c r="C2559" s="160" t="s">
        <v>16630</v>
      </c>
      <c r="D2559" s="160">
        <v>100</v>
      </c>
      <c r="E2559" s="161">
        <f>SUM(D2559*100)</f>
        <v>10000</v>
      </c>
    </row>
    <row r="2560" ht="16.5" spans="1:5">
      <c r="A2560" s="151">
        <v>2559</v>
      </c>
      <c r="B2560" s="152" t="s">
        <v>8574</v>
      </c>
      <c r="C2560" s="153" t="s">
        <v>16629</v>
      </c>
      <c r="D2560" s="158">
        <v>10</v>
      </c>
      <c r="E2560" s="155">
        <f t="shared" ref="E2560:E2568" si="90">+D2560*100</f>
        <v>1000</v>
      </c>
    </row>
    <row r="2561" ht="16.5" spans="1:5">
      <c r="A2561" s="151">
        <v>2560</v>
      </c>
      <c r="B2561" s="152" t="s">
        <v>8578</v>
      </c>
      <c r="C2561" s="156" t="s">
        <v>16629</v>
      </c>
      <c r="D2561" s="159">
        <v>10</v>
      </c>
      <c r="E2561" s="155">
        <f t="shared" si="90"/>
        <v>1000</v>
      </c>
    </row>
    <row r="2562" ht="16.5" spans="1:5">
      <c r="A2562" s="151">
        <v>2561</v>
      </c>
      <c r="B2562" s="152" t="s">
        <v>8581</v>
      </c>
      <c r="C2562" s="156" t="s">
        <v>16629</v>
      </c>
      <c r="D2562" s="159">
        <v>10</v>
      </c>
      <c r="E2562" s="155">
        <f t="shared" si="90"/>
        <v>1000</v>
      </c>
    </row>
    <row r="2563" ht="16.5" spans="1:5">
      <c r="A2563" s="151">
        <v>2562</v>
      </c>
      <c r="B2563" s="152" t="s">
        <v>8584</v>
      </c>
      <c r="C2563" s="153" t="s">
        <v>16629</v>
      </c>
      <c r="D2563" s="154">
        <v>10</v>
      </c>
      <c r="E2563" s="155">
        <f t="shared" si="90"/>
        <v>1000</v>
      </c>
    </row>
    <row r="2564" ht="16.5" spans="1:5">
      <c r="A2564" s="151">
        <v>2563</v>
      </c>
      <c r="B2564" s="152" t="s">
        <v>8587</v>
      </c>
      <c r="C2564" s="156" t="s">
        <v>16629</v>
      </c>
      <c r="D2564" s="159">
        <v>10</v>
      </c>
      <c r="E2564" s="155">
        <f t="shared" si="90"/>
        <v>1000</v>
      </c>
    </row>
    <row r="2565" ht="16.5" spans="1:5">
      <c r="A2565" s="151">
        <v>2564</v>
      </c>
      <c r="B2565" s="152" t="s">
        <v>8590</v>
      </c>
      <c r="C2565" s="153" t="s">
        <v>16629</v>
      </c>
      <c r="D2565" s="154">
        <v>10</v>
      </c>
      <c r="E2565" s="155">
        <f t="shared" si="90"/>
        <v>1000</v>
      </c>
    </row>
    <row r="2566" ht="16.5" spans="1:5">
      <c r="A2566" s="151">
        <v>2565</v>
      </c>
      <c r="B2566" s="152" t="s">
        <v>8594</v>
      </c>
      <c r="C2566" s="156" t="s">
        <v>16629</v>
      </c>
      <c r="D2566" s="159">
        <v>10</v>
      </c>
      <c r="E2566" s="155">
        <f t="shared" si="90"/>
        <v>1000</v>
      </c>
    </row>
    <row r="2567" ht="16.5" spans="1:5">
      <c r="A2567" s="151">
        <v>2566</v>
      </c>
      <c r="B2567" s="152" t="s">
        <v>8597</v>
      </c>
      <c r="C2567" s="153" t="s">
        <v>16629</v>
      </c>
      <c r="D2567" s="158">
        <v>10</v>
      </c>
      <c r="E2567" s="155">
        <f t="shared" si="90"/>
        <v>1000</v>
      </c>
    </row>
    <row r="2568" ht="16.5" spans="1:5">
      <c r="A2568" s="151">
        <v>2567</v>
      </c>
      <c r="B2568" s="152" t="s">
        <v>8600</v>
      </c>
      <c r="C2568" s="153" t="s">
        <v>16629</v>
      </c>
      <c r="D2568" s="154">
        <v>10</v>
      </c>
      <c r="E2568" s="155">
        <f t="shared" si="90"/>
        <v>1000</v>
      </c>
    </row>
    <row r="2569" ht="16.5" spans="1:5">
      <c r="A2569" s="151">
        <v>2568</v>
      </c>
      <c r="B2569" s="152" t="s">
        <v>8603</v>
      </c>
      <c r="C2569" s="160" t="s">
        <v>16630</v>
      </c>
      <c r="D2569" s="160">
        <v>444</v>
      </c>
      <c r="E2569" s="161">
        <f>SUM(D2569*100)</f>
        <v>44400</v>
      </c>
    </row>
    <row r="2570" ht="16.5" spans="1:5">
      <c r="A2570" s="151">
        <v>2569</v>
      </c>
      <c r="B2570" s="152" t="s">
        <v>8608</v>
      </c>
      <c r="C2570" s="153" t="s">
        <v>16629</v>
      </c>
      <c r="D2570" s="154">
        <v>10</v>
      </c>
      <c r="E2570" s="155">
        <f>+D2570*100</f>
        <v>1000</v>
      </c>
    </row>
    <row r="2571" ht="16.5" spans="1:5">
      <c r="A2571" s="151">
        <v>2570</v>
      </c>
      <c r="B2571" s="152" t="s">
        <v>8611</v>
      </c>
      <c r="C2571" s="153" t="s">
        <v>16629</v>
      </c>
      <c r="D2571" s="154">
        <v>10</v>
      </c>
      <c r="E2571" s="155">
        <f>+D2571*100</f>
        <v>1000</v>
      </c>
    </row>
    <row r="2572" ht="16.5" spans="1:5">
      <c r="A2572" s="151">
        <v>2571</v>
      </c>
      <c r="B2572" s="152" t="s">
        <v>8615</v>
      </c>
      <c r="C2572" s="162" t="s">
        <v>16631</v>
      </c>
      <c r="D2572" s="163">
        <v>1000</v>
      </c>
      <c r="E2572" s="163">
        <f>D2572*100</f>
        <v>100000</v>
      </c>
    </row>
    <row r="2573" ht="16.5" spans="1:5">
      <c r="A2573" s="151">
        <v>2572</v>
      </c>
      <c r="B2573" s="152" t="s">
        <v>8620</v>
      </c>
      <c r="C2573" s="160" t="s">
        <v>16630</v>
      </c>
      <c r="D2573" s="160">
        <v>10</v>
      </c>
      <c r="E2573" s="161">
        <f>SUM(D2573*100)</f>
        <v>1000</v>
      </c>
    </row>
    <row r="2574" ht="16.5" spans="1:5">
      <c r="A2574" s="151">
        <v>2573</v>
      </c>
      <c r="B2574" s="152" t="s">
        <v>8624</v>
      </c>
      <c r="C2574" s="160" t="s">
        <v>16630</v>
      </c>
      <c r="D2574" s="160">
        <v>200</v>
      </c>
      <c r="E2574" s="161">
        <f>SUM(D2574*100)</f>
        <v>20000</v>
      </c>
    </row>
    <row r="2575" ht="16.5" spans="1:5">
      <c r="A2575" s="151">
        <v>2574</v>
      </c>
      <c r="B2575" s="152" t="s">
        <v>8628</v>
      </c>
      <c r="C2575" s="166" t="s">
        <v>16632</v>
      </c>
      <c r="D2575" s="166">
        <f>IFERROR(__xludf.DUMMYFUNCTION("""COMPUTED_VALUE"""),15000)</f>
        <v>15000</v>
      </c>
      <c r="E2575" s="168">
        <f>IFERROR(__xludf.DUMMYFUNCTION("""COMPUTED_VALUE"""),1500000)</f>
        <v>1500000</v>
      </c>
    </row>
    <row r="2576" ht="16.5" spans="1:5">
      <c r="A2576" s="151">
        <v>2575</v>
      </c>
      <c r="B2576" s="152" t="s">
        <v>8629</v>
      </c>
      <c r="C2576" s="153" t="s">
        <v>16629</v>
      </c>
      <c r="D2576" s="154">
        <v>10</v>
      </c>
      <c r="E2576" s="155">
        <f>+D2576*100</f>
        <v>1000</v>
      </c>
    </row>
    <row r="2577" ht="16.5" spans="1:5">
      <c r="A2577" s="151">
        <v>2576</v>
      </c>
      <c r="B2577" s="152" t="s">
        <v>8632</v>
      </c>
      <c r="C2577" s="156" t="s">
        <v>16629</v>
      </c>
      <c r="D2577" s="159">
        <v>10</v>
      </c>
      <c r="E2577" s="155">
        <f>+D2577*100</f>
        <v>1000</v>
      </c>
    </row>
    <row r="2578" ht="16.5" spans="1:5">
      <c r="A2578" s="151">
        <v>2577</v>
      </c>
      <c r="B2578" s="152" t="s">
        <v>8636</v>
      </c>
      <c r="C2578" s="153" t="s">
        <v>16629</v>
      </c>
      <c r="D2578" s="158">
        <v>10</v>
      </c>
      <c r="E2578" s="155">
        <f>+D2578*100</f>
        <v>1000</v>
      </c>
    </row>
    <row r="2579" ht="16.5" spans="1:5">
      <c r="A2579" s="151">
        <v>2578</v>
      </c>
      <c r="B2579" s="152" t="s">
        <v>8639</v>
      </c>
      <c r="C2579" s="160" t="s">
        <v>16630</v>
      </c>
      <c r="D2579" s="160">
        <v>10600</v>
      </c>
      <c r="E2579" s="161">
        <f>SUM(D2579*10)</f>
        <v>106000</v>
      </c>
    </row>
    <row r="2580" ht="16.5" spans="1:5">
      <c r="A2580" s="151">
        <v>2579</v>
      </c>
      <c r="B2580" s="152" t="s">
        <v>8643</v>
      </c>
      <c r="C2580" s="160" t="s">
        <v>16630</v>
      </c>
      <c r="D2580" s="160">
        <v>200</v>
      </c>
      <c r="E2580" s="161">
        <f>SUM(D2580*100)</f>
        <v>20000</v>
      </c>
    </row>
    <row r="2581" ht="16.5" spans="1:5">
      <c r="A2581" s="151">
        <v>2580</v>
      </c>
      <c r="B2581" s="152" t="s">
        <v>8647</v>
      </c>
      <c r="C2581" s="153" t="s">
        <v>16629</v>
      </c>
      <c r="D2581" s="154">
        <v>10</v>
      </c>
      <c r="E2581" s="155">
        <f>+D2581*100</f>
        <v>1000</v>
      </c>
    </row>
    <row r="2582" ht="16.5" spans="1:5">
      <c r="A2582" s="151">
        <v>2581</v>
      </c>
      <c r="B2582" s="152" t="s">
        <v>8650</v>
      </c>
      <c r="C2582" s="156" t="s">
        <v>16629</v>
      </c>
      <c r="D2582" s="159">
        <v>10</v>
      </c>
      <c r="E2582" s="155">
        <f>+D2582*100</f>
        <v>1000</v>
      </c>
    </row>
    <row r="2583" ht="16.5" spans="1:5">
      <c r="A2583" s="151">
        <v>2582</v>
      </c>
      <c r="B2583" s="152" t="s">
        <v>8653</v>
      </c>
      <c r="C2583" s="160" t="s">
        <v>16630</v>
      </c>
      <c r="D2583" s="41">
        <v>500</v>
      </c>
      <c r="E2583" s="161">
        <f>SUM(D2583*100)</f>
        <v>50000</v>
      </c>
    </row>
    <row r="2584" ht="16.5" spans="1:5">
      <c r="A2584" s="151">
        <v>2583</v>
      </c>
      <c r="B2584" s="152" t="s">
        <v>8656</v>
      </c>
      <c r="C2584" s="153" t="s">
        <v>16629</v>
      </c>
      <c r="D2584" s="158">
        <v>10</v>
      </c>
      <c r="E2584" s="155">
        <f>+D2584*100</f>
        <v>1000</v>
      </c>
    </row>
    <row r="2585" ht="16.5" spans="1:5">
      <c r="A2585" s="151">
        <v>2584</v>
      </c>
      <c r="B2585" s="152" t="s">
        <v>8659</v>
      </c>
      <c r="C2585" s="156" t="s">
        <v>16629</v>
      </c>
      <c r="D2585" s="157">
        <v>10</v>
      </c>
      <c r="E2585" s="155">
        <f>+D2585*100</f>
        <v>1000</v>
      </c>
    </row>
    <row r="2586" ht="16.5" spans="1:5">
      <c r="A2586" s="151">
        <v>2585</v>
      </c>
      <c r="B2586" s="152" t="s">
        <v>8662</v>
      </c>
      <c r="C2586" s="153" t="s">
        <v>16629</v>
      </c>
      <c r="D2586" s="154">
        <v>10</v>
      </c>
      <c r="E2586" s="155">
        <f>+D2586*100</f>
        <v>1000</v>
      </c>
    </row>
    <row r="2587" ht="16.5" spans="1:5">
      <c r="A2587" s="151">
        <v>2586</v>
      </c>
      <c r="B2587" s="152" t="s">
        <v>8665</v>
      </c>
      <c r="C2587" s="153" t="s">
        <v>16629</v>
      </c>
      <c r="D2587" s="158">
        <v>10</v>
      </c>
      <c r="E2587" s="155">
        <f>+D2587*100</f>
        <v>1000</v>
      </c>
    </row>
    <row r="2588" ht="16.5" spans="1:5">
      <c r="A2588" s="151">
        <v>2587</v>
      </c>
      <c r="B2588" s="152" t="s">
        <v>8668</v>
      </c>
      <c r="C2588" s="156" t="s">
        <v>16629</v>
      </c>
      <c r="D2588" s="157">
        <v>10</v>
      </c>
      <c r="E2588" s="155">
        <f>+D2588*100</f>
        <v>1000</v>
      </c>
    </row>
    <row r="2589" ht="16.5" spans="1:5">
      <c r="A2589" s="151">
        <v>2588</v>
      </c>
      <c r="B2589" s="152" t="s">
        <v>8671</v>
      </c>
      <c r="C2589" s="166" t="s">
        <v>16632</v>
      </c>
      <c r="D2589" s="166">
        <v>15000</v>
      </c>
      <c r="E2589" s="168">
        <f>IFERROR(__xludf.DUMMYFUNCTION("""COMPUTED_VALUE"""),1500000)</f>
        <v>1500000</v>
      </c>
    </row>
    <row r="2590" ht="16.5" spans="1:5">
      <c r="A2590" s="151">
        <v>2589</v>
      </c>
      <c r="B2590" s="152" t="s">
        <v>8675</v>
      </c>
      <c r="C2590" s="153" t="s">
        <v>16629</v>
      </c>
      <c r="D2590" s="158">
        <v>10</v>
      </c>
      <c r="E2590" s="155">
        <f>+D2590*100</f>
        <v>1000</v>
      </c>
    </row>
    <row r="2591" ht="16.5" spans="1:5">
      <c r="A2591" s="151">
        <v>2590</v>
      </c>
      <c r="B2591" s="152" t="s">
        <v>8678</v>
      </c>
      <c r="C2591" s="153" t="s">
        <v>16629</v>
      </c>
      <c r="D2591" s="154">
        <v>10</v>
      </c>
      <c r="E2591" s="155">
        <f>+D2591*100</f>
        <v>1000</v>
      </c>
    </row>
    <row r="2592" ht="16.5" spans="1:5">
      <c r="A2592" s="151">
        <v>2591</v>
      </c>
      <c r="B2592" s="152" t="s">
        <v>8682</v>
      </c>
      <c r="C2592" s="156" t="s">
        <v>16629</v>
      </c>
      <c r="D2592" s="159">
        <v>10</v>
      </c>
      <c r="E2592" s="155">
        <f>+D2592*100</f>
        <v>1000</v>
      </c>
    </row>
    <row r="2593" ht="16.5" spans="1:5">
      <c r="A2593" s="151">
        <v>2592</v>
      </c>
      <c r="B2593" s="152" t="s">
        <v>8686</v>
      </c>
      <c r="C2593" s="153" t="s">
        <v>16629</v>
      </c>
      <c r="D2593" s="154">
        <v>10</v>
      </c>
      <c r="E2593" s="155">
        <f>+D2593*100</f>
        <v>1000</v>
      </c>
    </row>
    <row r="2594" ht="16.5" spans="1:5">
      <c r="A2594" s="151">
        <v>2593</v>
      </c>
      <c r="B2594" s="152" t="s">
        <v>8689</v>
      </c>
      <c r="C2594" s="160" t="s">
        <v>16630</v>
      </c>
      <c r="D2594" s="160">
        <v>10</v>
      </c>
      <c r="E2594" s="161">
        <f>SUM(D2594*100)</f>
        <v>1000</v>
      </c>
    </row>
    <row r="2595" ht="16.5" spans="1:5">
      <c r="A2595" s="151">
        <v>2594</v>
      </c>
      <c r="B2595" s="152" t="s">
        <v>8692</v>
      </c>
      <c r="C2595" s="153" t="s">
        <v>16629</v>
      </c>
      <c r="D2595" s="158">
        <v>10</v>
      </c>
      <c r="E2595" s="155">
        <f>+D2595*100</f>
        <v>1000</v>
      </c>
    </row>
    <row r="2596" ht="16.5" spans="1:5">
      <c r="A2596" s="151">
        <v>2595</v>
      </c>
      <c r="B2596" s="152" t="s">
        <v>8696</v>
      </c>
      <c r="C2596" s="153" t="s">
        <v>16629</v>
      </c>
      <c r="D2596" s="158">
        <v>10</v>
      </c>
      <c r="E2596" s="155">
        <f>+D2596*100</f>
        <v>1000</v>
      </c>
    </row>
    <row r="2597" ht="16.5" spans="1:5">
      <c r="A2597" s="151">
        <v>2596</v>
      </c>
      <c r="B2597" s="152" t="s">
        <v>8700</v>
      </c>
      <c r="C2597" s="156" t="s">
        <v>16629</v>
      </c>
      <c r="D2597" s="159">
        <v>10</v>
      </c>
      <c r="E2597" s="155">
        <f>+D2597*100</f>
        <v>1000</v>
      </c>
    </row>
    <row r="2598" ht="16.5" spans="1:5">
      <c r="A2598" s="151">
        <v>2597</v>
      </c>
      <c r="B2598" s="152" t="s">
        <v>8704</v>
      </c>
      <c r="C2598" s="156" t="s">
        <v>16629</v>
      </c>
      <c r="D2598" s="157">
        <v>10</v>
      </c>
      <c r="E2598" s="155">
        <f>+D2598*100</f>
        <v>1000</v>
      </c>
    </row>
    <row r="2599" ht="16.5" spans="1:5">
      <c r="A2599" s="151">
        <v>2598</v>
      </c>
      <c r="B2599" s="152" t="s">
        <v>8708</v>
      </c>
      <c r="C2599" s="162" t="s">
        <v>16631</v>
      </c>
      <c r="D2599" s="163">
        <v>1000</v>
      </c>
      <c r="E2599" s="163">
        <f>D2599*100</f>
        <v>100000</v>
      </c>
    </row>
    <row r="2600" ht="16.5" spans="1:5">
      <c r="A2600" s="151">
        <v>2599</v>
      </c>
      <c r="B2600" s="152" t="s">
        <v>8712</v>
      </c>
      <c r="C2600" s="156" t="s">
        <v>16629</v>
      </c>
      <c r="D2600" s="159">
        <v>10</v>
      </c>
      <c r="E2600" s="155">
        <f t="shared" ref="E2600:E2607" si="91">+D2600*100</f>
        <v>1000</v>
      </c>
    </row>
    <row r="2601" ht="16.5" spans="1:5">
      <c r="A2601" s="151">
        <v>2600</v>
      </c>
      <c r="B2601" s="152" t="s">
        <v>8716</v>
      </c>
      <c r="C2601" s="156" t="s">
        <v>16629</v>
      </c>
      <c r="D2601" s="159">
        <v>10</v>
      </c>
      <c r="E2601" s="155">
        <f t="shared" si="91"/>
        <v>1000</v>
      </c>
    </row>
    <row r="2602" ht="16.5" spans="1:5">
      <c r="A2602" s="151">
        <v>2601</v>
      </c>
      <c r="B2602" s="152" t="s">
        <v>8720</v>
      </c>
      <c r="C2602" s="153" t="s">
        <v>16629</v>
      </c>
      <c r="D2602" s="154">
        <v>10</v>
      </c>
      <c r="E2602" s="155">
        <f t="shared" si="91"/>
        <v>1000</v>
      </c>
    </row>
    <row r="2603" ht="16.5" spans="1:5">
      <c r="A2603" s="151">
        <v>2602</v>
      </c>
      <c r="B2603" s="152" t="s">
        <v>8723</v>
      </c>
      <c r="C2603" s="156" t="s">
        <v>16629</v>
      </c>
      <c r="D2603" s="159">
        <v>10</v>
      </c>
      <c r="E2603" s="155">
        <f t="shared" si="91"/>
        <v>1000</v>
      </c>
    </row>
    <row r="2604" ht="16.5" spans="1:5">
      <c r="A2604" s="151">
        <v>2603</v>
      </c>
      <c r="B2604" s="152" t="s">
        <v>8726</v>
      </c>
      <c r="C2604" s="156" t="s">
        <v>16629</v>
      </c>
      <c r="D2604" s="157">
        <v>10</v>
      </c>
      <c r="E2604" s="155">
        <f t="shared" si="91"/>
        <v>1000</v>
      </c>
    </row>
    <row r="2605" ht="16.5" spans="1:5">
      <c r="A2605" s="151">
        <v>2604</v>
      </c>
      <c r="B2605" s="152" t="s">
        <v>8729</v>
      </c>
      <c r="C2605" s="156" t="s">
        <v>16629</v>
      </c>
      <c r="D2605" s="157">
        <v>10</v>
      </c>
      <c r="E2605" s="155">
        <f t="shared" si="91"/>
        <v>1000</v>
      </c>
    </row>
    <row r="2606" ht="16.5" spans="1:5">
      <c r="A2606" s="151">
        <v>2605</v>
      </c>
      <c r="B2606" s="152" t="s">
        <v>8732</v>
      </c>
      <c r="C2606" s="153" t="s">
        <v>16629</v>
      </c>
      <c r="D2606" s="158">
        <v>10</v>
      </c>
      <c r="E2606" s="155">
        <f t="shared" si="91"/>
        <v>1000</v>
      </c>
    </row>
    <row r="2607" ht="16.5" spans="1:5">
      <c r="A2607" s="151">
        <v>2606</v>
      </c>
      <c r="B2607" s="152" t="s">
        <v>8735</v>
      </c>
      <c r="C2607" s="153" t="s">
        <v>16629</v>
      </c>
      <c r="D2607" s="154">
        <v>10</v>
      </c>
      <c r="E2607" s="155">
        <f t="shared" si="91"/>
        <v>1000</v>
      </c>
    </row>
    <row r="2608" ht="16.5" spans="1:5">
      <c r="A2608" s="151">
        <v>2607</v>
      </c>
      <c r="B2608" s="152" t="s">
        <v>8738</v>
      </c>
      <c r="C2608" s="160" t="s">
        <v>16630</v>
      </c>
      <c r="D2608" s="160">
        <v>10</v>
      </c>
      <c r="E2608" s="161">
        <f>SUM(D2608*100)</f>
        <v>1000</v>
      </c>
    </row>
    <row r="2609" ht="16.5" spans="1:5">
      <c r="A2609" s="151">
        <v>2608</v>
      </c>
      <c r="B2609" s="152" t="s">
        <v>8741</v>
      </c>
      <c r="C2609" s="156" t="s">
        <v>16629</v>
      </c>
      <c r="D2609" s="159">
        <v>10</v>
      </c>
      <c r="E2609" s="155">
        <f>+D2609*100</f>
        <v>1000</v>
      </c>
    </row>
    <row r="2610" ht="16.5" spans="1:5">
      <c r="A2610" s="151">
        <v>2609</v>
      </c>
      <c r="B2610" s="152" t="s">
        <v>8744</v>
      </c>
      <c r="C2610" s="153" t="s">
        <v>16629</v>
      </c>
      <c r="D2610" s="154">
        <v>10</v>
      </c>
      <c r="E2610" s="155">
        <f>+D2610*100</f>
        <v>1000</v>
      </c>
    </row>
    <row r="2611" ht="16.5" spans="1:5">
      <c r="A2611" s="151">
        <v>2610</v>
      </c>
      <c r="B2611" s="152" t="s">
        <v>8748</v>
      </c>
      <c r="C2611" s="156" t="s">
        <v>16629</v>
      </c>
      <c r="D2611" s="159">
        <v>20</v>
      </c>
      <c r="E2611" s="155">
        <f>+D2611*100</f>
        <v>2000</v>
      </c>
    </row>
    <row r="2612" ht="16.5" spans="1:5">
      <c r="A2612" s="151">
        <v>2611</v>
      </c>
      <c r="B2612" s="152" t="s">
        <v>8752</v>
      </c>
      <c r="C2612" s="160" t="s">
        <v>16630</v>
      </c>
      <c r="D2612" s="160">
        <v>100</v>
      </c>
      <c r="E2612" s="161">
        <f>SUM(D2612*100)</f>
        <v>10000</v>
      </c>
    </row>
    <row r="2613" ht="16.5" spans="1:5">
      <c r="A2613" s="151">
        <v>2612</v>
      </c>
      <c r="B2613" s="152" t="s">
        <v>8756</v>
      </c>
      <c r="C2613" s="162" t="s">
        <v>16631</v>
      </c>
      <c r="D2613" s="163">
        <v>2000</v>
      </c>
      <c r="E2613" s="163">
        <f>D2613*100</f>
        <v>200000</v>
      </c>
    </row>
    <row r="2614" ht="16.5" spans="1:5">
      <c r="A2614" s="151">
        <v>2613</v>
      </c>
      <c r="B2614" s="152" t="s">
        <v>8760</v>
      </c>
      <c r="C2614" s="153" t="s">
        <v>16629</v>
      </c>
      <c r="D2614" s="154">
        <v>10</v>
      </c>
      <c r="E2614" s="155">
        <f>+D2614*100</f>
        <v>1000</v>
      </c>
    </row>
    <row r="2615" ht="16.5" spans="1:5">
      <c r="A2615" s="151">
        <v>2614</v>
      </c>
      <c r="B2615" s="152" t="s">
        <v>8763</v>
      </c>
      <c r="C2615" s="153" t="s">
        <v>16629</v>
      </c>
      <c r="D2615" s="180">
        <v>10</v>
      </c>
      <c r="E2615" s="155">
        <f>+D2615*100</f>
        <v>1000</v>
      </c>
    </row>
    <row r="2616" ht="16.5" spans="1:5">
      <c r="A2616" s="151">
        <v>2615</v>
      </c>
      <c r="B2616" s="152" t="s">
        <v>8766</v>
      </c>
      <c r="C2616" s="153" t="s">
        <v>16629</v>
      </c>
      <c r="D2616" s="154">
        <v>10</v>
      </c>
      <c r="E2616" s="155">
        <f>+D2616*100</f>
        <v>1000</v>
      </c>
    </row>
    <row r="2617" ht="16.5" spans="1:5">
      <c r="A2617" s="151">
        <v>2616</v>
      </c>
      <c r="B2617" s="152" t="s">
        <v>8769</v>
      </c>
      <c r="C2617" s="160" t="s">
        <v>16630</v>
      </c>
      <c r="D2617" s="160">
        <v>10</v>
      </c>
      <c r="E2617" s="161">
        <f>SUM(D2617*100)</f>
        <v>1000</v>
      </c>
    </row>
    <row r="2618" ht="16.5" spans="1:5">
      <c r="A2618" s="151">
        <v>2617</v>
      </c>
      <c r="B2618" s="152" t="s">
        <v>8774</v>
      </c>
      <c r="C2618" s="162" t="s">
        <v>16631</v>
      </c>
      <c r="D2618" s="163">
        <v>1000</v>
      </c>
      <c r="E2618" s="163">
        <f>D2618*100</f>
        <v>100000</v>
      </c>
    </row>
    <row r="2619" ht="16.5" spans="1:5">
      <c r="A2619" s="151">
        <v>2618</v>
      </c>
      <c r="B2619" s="152" t="s">
        <v>8779</v>
      </c>
      <c r="C2619" s="162" t="s">
        <v>16633</v>
      </c>
      <c r="D2619" s="171">
        <f>G2619/100</f>
        <v>0</v>
      </c>
      <c r="E2619" s="171">
        <f>G2619</f>
        <v>0</v>
      </c>
    </row>
    <row r="2620" ht="16.5" spans="1:5">
      <c r="A2620" s="151">
        <v>2619</v>
      </c>
      <c r="B2620" s="152" t="s">
        <v>8780</v>
      </c>
      <c r="C2620" s="162" t="s">
        <v>16633</v>
      </c>
      <c r="D2620" s="171">
        <f>G2620/100</f>
        <v>0</v>
      </c>
      <c r="E2620" s="171">
        <f>G2620</f>
        <v>0</v>
      </c>
    </row>
    <row r="2621" ht="16.5" spans="1:5">
      <c r="A2621" s="151">
        <v>2620</v>
      </c>
      <c r="B2621" s="152" t="s">
        <v>8785</v>
      </c>
      <c r="C2621" s="162" t="s">
        <v>16631</v>
      </c>
      <c r="D2621" s="163">
        <v>2000</v>
      </c>
      <c r="E2621" s="163">
        <f>D2621*100</f>
        <v>200000</v>
      </c>
    </row>
    <row r="2622" ht="16.5" spans="1:5">
      <c r="A2622" s="151">
        <v>2621</v>
      </c>
      <c r="B2622" s="152" t="s">
        <v>8790</v>
      </c>
      <c r="C2622" s="156" t="s">
        <v>16629</v>
      </c>
      <c r="D2622" s="159">
        <v>10</v>
      </c>
      <c r="E2622" s="155">
        <f>+D2622*100</f>
        <v>1000</v>
      </c>
    </row>
    <row r="2623" ht="16.5" spans="1:5">
      <c r="A2623" s="151">
        <v>2622</v>
      </c>
      <c r="B2623" s="152" t="s">
        <v>8794</v>
      </c>
      <c r="C2623" s="162" t="s">
        <v>16631</v>
      </c>
      <c r="D2623" s="163">
        <v>1000</v>
      </c>
      <c r="E2623" s="163">
        <f>D2623*100</f>
        <v>100000</v>
      </c>
    </row>
    <row r="2624" ht="16.5" spans="1:5">
      <c r="A2624" s="151">
        <v>2623</v>
      </c>
      <c r="B2624" s="152" t="s">
        <v>8799</v>
      </c>
      <c r="C2624" s="153" t="s">
        <v>16629</v>
      </c>
      <c r="D2624" s="154">
        <v>10</v>
      </c>
      <c r="E2624" s="155">
        <f>+D2624*100</f>
        <v>1000</v>
      </c>
    </row>
    <row r="2625" ht="16.5" spans="1:5">
      <c r="A2625" s="151">
        <v>2624</v>
      </c>
      <c r="B2625" s="152" t="s">
        <v>8803</v>
      </c>
      <c r="C2625" s="160" t="s">
        <v>16630</v>
      </c>
      <c r="D2625" s="160">
        <v>10</v>
      </c>
      <c r="E2625" s="161">
        <f>SUM(D2625*100)</f>
        <v>1000</v>
      </c>
    </row>
    <row r="2626" ht="16.5" spans="1:5">
      <c r="A2626" s="151">
        <v>2625</v>
      </c>
      <c r="B2626" s="152" t="s">
        <v>8807</v>
      </c>
      <c r="C2626" s="153" t="s">
        <v>16629</v>
      </c>
      <c r="D2626" s="158">
        <v>60</v>
      </c>
      <c r="E2626" s="155">
        <f>+D2626*100</f>
        <v>6000</v>
      </c>
    </row>
    <row r="2627" ht="16.5" spans="1:5">
      <c r="A2627" s="151">
        <v>2626</v>
      </c>
      <c r="B2627" s="152" t="s">
        <v>8810</v>
      </c>
      <c r="C2627" s="153" t="s">
        <v>16629</v>
      </c>
      <c r="D2627" s="154">
        <v>10</v>
      </c>
      <c r="E2627" s="155">
        <f>+D2627*100</f>
        <v>1000</v>
      </c>
    </row>
    <row r="2628" ht="16.5" spans="1:5">
      <c r="A2628" s="151">
        <v>2627</v>
      </c>
      <c r="B2628" s="152" t="s">
        <v>8813</v>
      </c>
      <c r="C2628" s="160" t="s">
        <v>16630</v>
      </c>
      <c r="D2628" s="160">
        <v>200</v>
      </c>
      <c r="E2628" s="161">
        <f>SUM(D2628*100)</f>
        <v>20000</v>
      </c>
    </row>
    <row r="2629" ht="16.5" spans="1:5">
      <c r="A2629" s="151">
        <v>2628</v>
      </c>
      <c r="B2629" s="152" t="s">
        <v>8817</v>
      </c>
      <c r="C2629" s="153" t="s">
        <v>16629</v>
      </c>
      <c r="D2629" s="158">
        <v>10</v>
      </c>
      <c r="E2629" s="155">
        <f>+D2629*100</f>
        <v>1000</v>
      </c>
    </row>
    <row r="2630" ht="16.5" spans="1:5">
      <c r="A2630" s="151">
        <v>2629</v>
      </c>
      <c r="B2630" s="152" t="s">
        <v>8821</v>
      </c>
      <c r="C2630" s="156" t="s">
        <v>16629</v>
      </c>
      <c r="D2630" s="159">
        <v>10</v>
      </c>
      <c r="E2630" s="155">
        <f>+D2630*100</f>
        <v>1000</v>
      </c>
    </row>
    <row r="2631" ht="16.5" spans="1:5">
      <c r="A2631" s="151">
        <v>2630</v>
      </c>
      <c r="B2631" s="152" t="s">
        <v>8824</v>
      </c>
      <c r="C2631" s="156" t="s">
        <v>16629</v>
      </c>
      <c r="D2631" s="159">
        <v>10</v>
      </c>
      <c r="E2631" s="155">
        <f>+D2631*100</f>
        <v>1000</v>
      </c>
    </row>
    <row r="2632" ht="16.5" spans="1:5">
      <c r="A2632" s="151">
        <v>2631</v>
      </c>
      <c r="B2632" s="152" t="s">
        <v>8827</v>
      </c>
      <c r="C2632" s="162" t="s">
        <v>16631</v>
      </c>
      <c r="D2632" s="163">
        <v>1000</v>
      </c>
      <c r="E2632" s="163">
        <f>D2632*100</f>
        <v>100000</v>
      </c>
    </row>
    <row r="2633" ht="16.5" spans="1:5">
      <c r="A2633" s="151">
        <v>2632</v>
      </c>
      <c r="B2633" s="152" t="s">
        <v>8832</v>
      </c>
      <c r="C2633" s="162" t="s">
        <v>16633</v>
      </c>
      <c r="D2633" s="171">
        <f>G2633/100</f>
        <v>0</v>
      </c>
      <c r="E2633" s="171">
        <f>G2633</f>
        <v>0</v>
      </c>
    </row>
    <row r="2634" ht="16.5" spans="1:5">
      <c r="A2634" s="151">
        <v>2633</v>
      </c>
      <c r="B2634" s="152" t="s">
        <v>8835</v>
      </c>
      <c r="C2634" s="156" t="s">
        <v>16629</v>
      </c>
      <c r="D2634" s="157">
        <v>10</v>
      </c>
      <c r="E2634" s="155">
        <f t="shared" ref="E2634:E2650" si="92">+D2634*100</f>
        <v>1000</v>
      </c>
    </row>
    <row r="2635" ht="16.5" spans="1:5">
      <c r="A2635" s="151">
        <v>2634</v>
      </c>
      <c r="B2635" s="152" t="s">
        <v>8839</v>
      </c>
      <c r="C2635" s="153" t="s">
        <v>16629</v>
      </c>
      <c r="D2635" s="154">
        <v>10</v>
      </c>
      <c r="E2635" s="155">
        <f t="shared" si="92"/>
        <v>1000</v>
      </c>
    </row>
    <row r="2636" ht="16.5" spans="1:5">
      <c r="A2636" s="151">
        <v>2635</v>
      </c>
      <c r="B2636" s="152" t="s">
        <v>8842</v>
      </c>
      <c r="C2636" s="156" t="s">
        <v>16629</v>
      </c>
      <c r="D2636" s="157">
        <v>10</v>
      </c>
      <c r="E2636" s="155">
        <f t="shared" si="92"/>
        <v>1000</v>
      </c>
    </row>
    <row r="2637" ht="16.5" spans="1:5">
      <c r="A2637" s="151">
        <v>2636</v>
      </c>
      <c r="B2637" s="152" t="s">
        <v>8845</v>
      </c>
      <c r="C2637" s="156" t="s">
        <v>16629</v>
      </c>
      <c r="D2637" s="154">
        <v>10</v>
      </c>
      <c r="E2637" s="155">
        <f t="shared" si="92"/>
        <v>1000</v>
      </c>
    </row>
    <row r="2638" ht="16.5" spans="1:5">
      <c r="A2638" s="151">
        <v>2637</v>
      </c>
      <c r="B2638" s="152" t="s">
        <v>8848</v>
      </c>
      <c r="C2638" s="153" t="s">
        <v>16629</v>
      </c>
      <c r="D2638" s="154">
        <v>10</v>
      </c>
      <c r="E2638" s="155">
        <f t="shared" si="92"/>
        <v>1000</v>
      </c>
    </row>
    <row r="2639" ht="16.5" spans="1:5">
      <c r="A2639" s="151">
        <v>2638</v>
      </c>
      <c r="B2639" s="152" t="s">
        <v>8851</v>
      </c>
      <c r="C2639" s="153" t="s">
        <v>16629</v>
      </c>
      <c r="D2639" s="158">
        <v>10</v>
      </c>
      <c r="E2639" s="155">
        <f t="shared" si="92"/>
        <v>1000</v>
      </c>
    </row>
    <row r="2640" ht="16.5" spans="1:5">
      <c r="A2640" s="151">
        <v>2639</v>
      </c>
      <c r="B2640" s="152" t="s">
        <v>8855</v>
      </c>
      <c r="C2640" s="153" t="s">
        <v>16629</v>
      </c>
      <c r="D2640" s="154">
        <v>10</v>
      </c>
      <c r="E2640" s="155">
        <f t="shared" si="92"/>
        <v>1000</v>
      </c>
    </row>
    <row r="2641" ht="16.5" spans="1:5">
      <c r="A2641" s="151">
        <v>2640</v>
      </c>
      <c r="B2641" s="152" t="s">
        <v>8858</v>
      </c>
      <c r="C2641" s="156" t="s">
        <v>16629</v>
      </c>
      <c r="D2641" s="154">
        <v>10</v>
      </c>
      <c r="E2641" s="155">
        <f t="shared" si="92"/>
        <v>1000</v>
      </c>
    </row>
    <row r="2642" ht="16.5" spans="1:5">
      <c r="A2642" s="151">
        <v>2641</v>
      </c>
      <c r="B2642" s="152" t="s">
        <v>8861</v>
      </c>
      <c r="C2642" s="156" t="s">
        <v>16629</v>
      </c>
      <c r="D2642" s="159">
        <v>10</v>
      </c>
      <c r="E2642" s="155">
        <f t="shared" si="92"/>
        <v>1000</v>
      </c>
    </row>
    <row r="2643" ht="16.5" spans="1:5">
      <c r="A2643" s="151">
        <v>2642</v>
      </c>
      <c r="B2643" s="152" t="s">
        <v>8864</v>
      </c>
      <c r="C2643" s="156" t="s">
        <v>16629</v>
      </c>
      <c r="D2643" s="157">
        <v>10</v>
      </c>
      <c r="E2643" s="155">
        <f t="shared" si="92"/>
        <v>1000</v>
      </c>
    </row>
    <row r="2644" ht="16.5" spans="1:5">
      <c r="A2644" s="151">
        <v>2643</v>
      </c>
      <c r="B2644" s="152" t="s">
        <v>8867</v>
      </c>
      <c r="C2644" s="156" t="s">
        <v>16629</v>
      </c>
      <c r="D2644" s="159">
        <v>10</v>
      </c>
      <c r="E2644" s="155">
        <f t="shared" si="92"/>
        <v>1000</v>
      </c>
    </row>
    <row r="2645" ht="16.5" spans="1:5">
      <c r="A2645" s="151">
        <v>2644</v>
      </c>
      <c r="B2645" s="152" t="s">
        <v>8871</v>
      </c>
      <c r="C2645" s="156" t="s">
        <v>16629</v>
      </c>
      <c r="D2645" s="157">
        <v>10</v>
      </c>
      <c r="E2645" s="155">
        <f t="shared" si="92"/>
        <v>1000</v>
      </c>
    </row>
    <row r="2646" ht="16.5" spans="1:5">
      <c r="A2646" s="151">
        <v>2645</v>
      </c>
      <c r="B2646" s="152" t="s">
        <v>8875</v>
      </c>
      <c r="C2646" s="156" t="s">
        <v>16629</v>
      </c>
      <c r="D2646" s="159">
        <v>10</v>
      </c>
      <c r="E2646" s="155">
        <f t="shared" si="92"/>
        <v>1000</v>
      </c>
    </row>
    <row r="2647" ht="16.5" spans="1:5">
      <c r="A2647" s="151">
        <v>2646</v>
      </c>
      <c r="B2647" s="152" t="s">
        <v>8878</v>
      </c>
      <c r="C2647" s="153" t="s">
        <v>16629</v>
      </c>
      <c r="D2647" s="154">
        <v>10</v>
      </c>
      <c r="E2647" s="155">
        <f t="shared" si="92"/>
        <v>1000</v>
      </c>
    </row>
    <row r="2648" ht="16.5" spans="1:5">
      <c r="A2648" s="151">
        <v>2647</v>
      </c>
      <c r="B2648" s="152" t="s">
        <v>8881</v>
      </c>
      <c r="C2648" s="156" t="s">
        <v>16629</v>
      </c>
      <c r="D2648" s="159">
        <v>10</v>
      </c>
      <c r="E2648" s="155">
        <f t="shared" si="92"/>
        <v>1000</v>
      </c>
    </row>
    <row r="2649" ht="16.5" spans="1:5">
      <c r="A2649" s="151">
        <v>2648</v>
      </c>
      <c r="B2649" s="152" t="s">
        <v>8884</v>
      </c>
      <c r="C2649" s="153" t="s">
        <v>16629</v>
      </c>
      <c r="D2649" s="154">
        <v>10</v>
      </c>
      <c r="E2649" s="155">
        <f t="shared" si="92"/>
        <v>1000</v>
      </c>
    </row>
    <row r="2650" ht="16.5" spans="1:5">
      <c r="A2650" s="151">
        <v>2649</v>
      </c>
      <c r="B2650" s="152" t="s">
        <v>8887</v>
      </c>
      <c r="C2650" s="156" t="s">
        <v>16629</v>
      </c>
      <c r="D2650" s="159">
        <v>10</v>
      </c>
      <c r="E2650" s="155">
        <f t="shared" si="92"/>
        <v>1000</v>
      </c>
    </row>
    <row r="2651" ht="16.5" spans="1:5">
      <c r="A2651" s="151">
        <v>2650</v>
      </c>
      <c r="B2651" s="152" t="s">
        <v>8890</v>
      </c>
      <c r="C2651" s="160" t="s">
        <v>16630</v>
      </c>
      <c r="D2651" s="41">
        <v>50</v>
      </c>
      <c r="E2651" s="161">
        <f>SUM(D2651*100)</f>
        <v>5000</v>
      </c>
    </row>
    <row r="2652" ht="16.5" spans="1:5">
      <c r="A2652" s="151">
        <v>2651</v>
      </c>
      <c r="B2652" s="152" t="s">
        <v>8893</v>
      </c>
      <c r="C2652" s="156" t="s">
        <v>16629</v>
      </c>
      <c r="D2652" s="159">
        <v>10</v>
      </c>
      <c r="E2652" s="155">
        <f>+D2652*100</f>
        <v>1000</v>
      </c>
    </row>
    <row r="2653" ht="16.5" spans="1:5">
      <c r="A2653" s="151">
        <v>2652</v>
      </c>
      <c r="B2653" s="152" t="s">
        <v>8897</v>
      </c>
      <c r="C2653" s="156" t="s">
        <v>16629</v>
      </c>
      <c r="D2653" s="159">
        <v>10</v>
      </c>
      <c r="E2653" s="155">
        <f>+D2653*100</f>
        <v>1000</v>
      </c>
    </row>
    <row r="2654" ht="16.5" spans="1:5">
      <c r="A2654" s="151">
        <v>2653</v>
      </c>
      <c r="B2654" s="152" t="s">
        <v>8900</v>
      </c>
      <c r="C2654" s="160" t="s">
        <v>16630</v>
      </c>
      <c r="D2654" s="160">
        <v>30</v>
      </c>
      <c r="E2654" s="161">
        <f>SUM(D2654*100)</f>
        <v>3000</v>
      </c>
    </row>
    <row r="2655" ht="16.5" spans="1:5">
      <c r="A2655" s="151">
        <v>2654</v>
      </c>
      <c r="B2655" s="152" t="s">
        <v>8903</v>
      </c>
      <c r="C2655" s="156" t="s">
        <v>16629</v>
      </c>
      <c r="D2655" s="159">
        <v>10</v>
      </c>
      <c r="E2655" s="155">
        <f>+D2655*100</f>
        <v>1000</v>
      </c>
    </row>
    <row r="2656" ht="16.5" spans="1:5">
      <c r="A2656" s="151">
        <v>2655</v>
      </c>
      <c r="B2656" s="152" t="s">
        <v>8906</v>
      </c>
      <c r="C2656" s="156" t="s">
        <v>16629</v>
      </c>
      <c r="D2656" s="157">
        <v>10</v>
      </c>
      <c r="E2656" s="155">
        <f>+D2656*100</f>
        <v>1000</v>
      </c>
    </row>
    <row r="2657" ht="16.5" spans="1:5">
      <c r="A2657" s="151">
        <v>2656</v>
      </c>
      <c r="B2657" s="152" t="s">
        <v>8909</v>
      </c>
      <c r="C2657" s="160" t="s">
        <v>16630</v>
      </c>
      <c r="D2657" s="160">
        <v>10</v>
      </c>
      <c r="E2657" s="161">
        <f>SUM(D2657*100)</f>
        <v>1000</v>
      </c>
    </row>
    <row r="2658" ht="16.5" spans="1:5">
      <c r="A2658" s="151">
        <v>2657</v>
      </c>
      <c r="B2658" s="152" t="s">
        <v>8913</v>
      </c>
      <c r="C2658" s="153" t="s">
        <v>16629</v>
      </c>
      <c r="D2658" s="158">
        <v>10</v>
      </c>
      <c r="E2658" s="155">
        <f>+D2658*100</f>
        <v>1000</v>
      </c>
    </row>
    <row r="2659" ht="16.5" spans="1:5">
      <c r="A2659" s="151">
        <v>2658</v>
      </c>
      <c r="B2659" s="152" t="s">
        <v>8916</v>
      </c>
      <c r="C2659" s="156" t="s">
        <v>16629</v>
      </c>
      <c r="D2659" s="159">
        <v>10</v>
      </c>
      <c r="E2659" s="155">
        <f>+D2659*100</f>
        <v>1000</v>
      </c>
    </row>
    <row r="2660" ht="16.5" spans="1:5">
      <c r="A2660" s="151">
        <v>2659</v>
      </c>
      <c r="B2660" s="152" t="s">
        <v>8919</v>
      </c>
      <c r="C2660" s="156" t="s">
        <v>16629</v>
      </c>
      <c r="D2660" s="159">
        <v>10</v>
      </c>
      <c r="E2660" s="155">
        <f>+D2660*100</f>
        <v>1000</v>
      </c>
    </row>
    <row r="2661" ht="16.5" spans="1:5">
      <c r="A2661" s="151">
        <v>2660</v>
      </c>
      <c r="B2661" s="152" t="s">
        <v>8922</v>
      </c>
      <c r="C2661" s="160" t="s">
        <v>16630</v>
      </c>
      <c r="D2661" s="160">
        <v>1500</v>
      </c>
      <c r="E2661" s="161">
        <f>SUM(D2661*100)</f>
        <v>150000</v>
      </c>
    </row>
    <row r="2662" ht="16.5" spans="1:5">
      <c r="A2662" s="151">
        <v>2661</v>
      </c>
      <c r="B2662" s="152" t="s">
        <v>8926</v>
      </c>
      <c r="C2662" s="153" t="s">
        <v>16629</v>
      </c>
      <c r="D2662" s="158">
        <v>10</v>
      </c>
      <c r="E2662" s="155">
        <f>+D2662*100</f>
        <v>1000</v>
      </c>
    </row>
    <row r="2663" ht="16.5" spans="1:5">
      <c r="A2663" s="151">
        <v>2662</v>
      </c>
      <c r="B2663" s="152" t="s">
        <v>8929</v>
      </c>
      <c r="C2663" s="166" t="s">
        <v>16632</v>
      </c>
      <c r="D2663" s="166">
        <f>IFERROR(__xludf.DUMMYFUNCTION("""COMPUTED_VALUE"""),10000)</f>
        <v>10000</v>
      </c>
      <c r="E2663" s="168">
        <f>IFERROR(__xludf.DUMMYFUNCTION("""COMPUTED_VALUE"""),1500000)</f>
        <v>1500000</v>
      </c>
    </row>
    <row r="2664" ht="16.5" spans="1:5">
      <c r="A2664" s="151">
        <v>2663</v>
      </c>
      <c r="B2664" s="152" t="s">
        <v>8930</v>
      </c>
      <c r="C2664" s="153" t="s">
        <v>16629</v>
      </c>
      <c r="D2664" s="154">
        <v>10</v>
      </c>
      <c r="E2664" s="155">
        <f>+D2664*100</f>
        <v>1000</v>
      </c>
    </row>
    <row r="2665" ht="16.5" spans="1:5">
      <c r="A2665" s="151">
        <v>2664</v>
      </c>
      <c r="B2665" s="152" t="s">
        <v>8933</v>
      </c>
      <c r="C2665" s="160" t="s">
        <v>16630</v>
      </c>
      <c r="D2665" s="160">
        <v>10</v>
      </c>
      <c r="E2665" s="161">
        <f>SUM(D2665*100)</f>
        <v>1000</v>
      </c>
    </row>
    <row r="2666" ht="16.5" spans="1:5">
      <c r="A2666" s="151">
        <v>2665</v>
      </c>
      <c r="B2666" s="152" t="s">
        <v>8937</v>
      </c>
      <c r="C2666" s="156" t="s">
        <v>16629</v>
      </c>
      <c r="D2666" s="159">
        <v>10</v>
      </c>
      <c r="E2666" s="155">
        <f>+D2666*100</f>
        <v>1000</v>
      </c>
    </row>
    <row r="2667" ht="16.5" spans="1:5">
      <c r="A2667" s="151">
        <v>2666</v>
      </c>
      <c r="B2667" s="152" t="s">
        <v>8940</v>
      </c>
      <c r="C2667" s="156" t="s">
        <v>16629</v>
      </c>
      <c r="D2667" s="159">
        <v>10</v>
      </c>
      <c r="E2667" s="155">
        <f>+D2667*100</f>
        <v>1000</v>
      </c>
    </row>
    <row r="2668" ht="16.5" spans="1:5">
      <c r="A2668" s="151">
        <v>2667</v>
      </c>
      <c r="B2668" s="152" t="s">
        <v>8944</v>
      </c>
      <c r="C2668" s="153" t="s">
        <v>16629</v>
      </c>
      <c r="D2668" s="154">
        <v>10</v>
      </c>
      <c r="E2668" s="155">
        <f>+D2668*100</f>
        <v>1000</v>
      </c>
    </row>
    <row r="2669" ht="16.5" spans="1:5">
      <c r="A2669" s="151">
        <v>2668</v>
      </c>
      <c r="B2669" s="152" t="s">
        <v>8947</v>
      </c>
      <c r="C2669" s="162" t="s">
        <v>16631</v>
      </c>
      <c r="D2669" s="163">
        <v>2000</v>
      </c>
      <c r="E2669" s="163">
        <f>D2669*100</f>
        <v>200000</v>
      </c>
    </row>
    <row r="2670" ht="16.5" spans="1:5">
      <c r="A2670" s="151">
        <v>2669</v>
      </c>
      <c r="B2670" s="152" t="s">
        <v>8952</v>
      </c>
      <c r="C2670" s="160" t="s">
        <v>16630</v>
      </c>
      <c r="D2670" s="160">
        <v>20</v>
      </c>
      <c r="E2670" s="161">
        <f>SUM(D2670*100)</f>
        <v>2000</v>
      </c>
    </row>
    <row r="2671" ht="16.5" spans="1:5">
      <c r="A2671" s="151">
        <v>2670</v>
      </c>
      <c r="B2671" s="152" t="s">
        <v>8955</v>
      </c>
      <c r="C2671" s="162" t="s">
        <v>16631</v>
      </c>
      <c r="D2671" s="163">
        <v>2000</v>
      </c>
      <c r="E2671" s="163">
        <f>D2671*100</f>
        <v>200000</v>
      </c>
    </row>
    <row r="2672" ht="16.5" spans="1:5">
      <c r="A2672" s="151">
        <v>2671</v>
      </c>
      <c r="B2672" s="152" t="s">
        <v>8958</v>
      </c>
      <c r="C2672" s="153" t="s">
        <v>16629</v>
      </c>
      <c r="D2672" s="154">
        <v>10</v>
      </c>
      <c r="E2672" s="155">
        <f>+D2672*100</f>
        <v>1000</v>
      </c>
    </row>
    <row r="2673" ht="16.5" spans="1:5">
      <c r="A2673" s="151">
        <v>2672</v>
      </c>
      <c r="B2673" s="152" t="s">
        <v>8961</v>
      </c>
      <c r="C2673" s="153" t="s">
        <v>16629</v>
      </c>
      <c r="D2673" s="154">
        <v>10</v>
      </c>
      <c r="E2673" s="155">
        <f>+D2673*100</f>
        <v>1000</v>
      </c>
    </row>
    <row r="2674" ht="16.5" spans="1:5">
      <c r="A2674" s="151">
        <v>2673</v>
      </c>
      <c r="B2674" s="152" t="s">
        <v>8964</v>
      </c>
      <c r="C2674" s="160" t="s">
        <v>16630</v>
      </c>
      <c r="D2674" s="160">
        <v>20</v>
      </c>
      <c r="E2674" s="161">
        <f>SUM(D2674*100)</f>
        <v>2000</v>
      </c>
    </row>
    <row r="2675" ht="16.5" spans="1:5">
      <c r="A2675" s="151">
        <v>2674</v>
      </c>
      <c r="B2675" s="152" t="s">
        <v>8967</v>
      </c>
      <c r="C2675" s="153" t="s">
        <v>16629</v>
      </c>
      <c r="D2675" s="154">
        <v>10</v>
      </c>
      <c r="E2675" s="155">
        <f>+D2675*100</f>
        <v>1000</v>
      </c>
    </row>
    <row r="2676" ht="16.5" spans="1:5">
      <c r="A2676" s="151">
        <v>2675</v>
      </c>
      <c r="B2676" s="152" t="s">
        <v>8971</v>
      </c>
      <c r="C2676" s="166" t="s">
        <v>16632</v>
      </c>
      <c r="D2676" s="151">
        <f>IFERROR(__xludf.DUMMYFUNCTION("""COMPUTED_VALUE"""),10000)</f>
        <v>10000</v>
      </c>
      <c r="E2676" s="167">
        <f>IFERROR(__xludf.DUMMYFUNCTION("""COMPUTED_VALUE"""),1500000)</f>
        <v>1500000</v>
      </c>
    </row>
    <row r="2677" ht="16.5" spans="1:5">
      <c r="A2677" s="151">
        <v>2676</v>
      </c>
      <c r="B2677" s="152" t="s">
        <v>8972</v>
      </c>
      <c r="C2677" s="156" t="s">
        <v>16629</v>
      </c>
      <c r="D2677" s="159">
        <v>10</v>
      </c>
      <c r="E2677" s="155">
        <f>+D2677*100</f>
        <v>1000</v>
      </c>
    </row>
    <row r="2678" ht="16.5" spans="1:5">
      <c r="A2678" s="151">
        <v>2677</v>
      </c>
      <c r="B2678" s="152" t="s">
        <v>8975</v>
      </c>
      <c r="C2678" s="156" t="s">
        <v>16629</v>
      </c>
      <c r="D2678" s="159">
        <v>10</v>
      </c>
      <c r="E2678" s="155">
        <f>+D2678*100</f>
        <v>1000</v>
      </c>
    </row>
    <row r="2679" ht="16.5" spans="1:5">
      <c r="A2679" s="151">
        <v>2678</v>
      </c>
      <c r="B2679" s="152" t="s">
        <v>8979</v>
      </c>
      <c r="C2679" s="160" t="s">
        <v>16630</v>
      </c>
      <c r="D2679" s="160">
        <v>800</v>
      </c>
      <c r="E2679" s="161">
        <f>SUM(D2679*100)</f>
        <v>80000</v>
      </c>
    </row>
    <row r="2680" ht="16.5" spans="1:5">
      <c r="A2680" s="151">
        <v>2679</v>
      </c>
      <c r="B2680" s="152" t="s">
        <v>8982</v>
      </c>
      <c r="C2680" s="156" t="s">
        <v>16629</v>
      </c>
      <c r="D2680" s="154">
        <v>10</v>
      </c>
      <c r="E2680" s="155">
        <f>+D2680*100</f>
        <v>1000</v>
      </c>
    </row>
    <row r="2681" ht="16.5" spans="1:5">
      <c r="A2681" s="151">
        <v>2680</v>
      </c>
      <c r="B2681" s="152" t="s">
        <v>8985</v>
      </c>
      <c r="C2681" s="156" t="s">
        <v>16629</v>
      </c>
      <c r="D2681" s="157">
        <v>10</v>
      </c>
      <c r="E2681" s="155">
        <f>+D2681*100</f>
        <v>1000</v>
      </c>
    </row>
    <row r="2682" ht="16.5" spans="1:5">
      <c r="A2682" s="151">
        <v>2681</v>
      </c>
      <c r="B2682" s="152" t="s">
        <v>8988</v>
      </c>
      <c r="C2682" s="153" t="s">
        <v>16629</v>
      </c>
      <c r="D2682" s="158">
        <v>10</v>
      </c>
      <c r="E2682" s="155">
        <f>+D2682*100</f>
        <v>1000</v>
      </c>
    </row>
    <row r="2683" ht="16.5" spans="1:5">
      <c r="A2683" s="151">
        <v>2682</v>
      </c>
      <c r="B2683" s="152" t="s">
        <v>8991</v>
      </c>
      <c r="C2683" s="156" t="s">
        <v>16629</v>
      </c>
      <c r="D2683" s="159">
        <v>10</v>
      </c>
      <c r="E2683" s="155">
        <f>+D2683*100</f>
        <v>1000</v>
      </c>
    </row>
    <row r="2684" ht="16.5" spans="1:5">
      <c r="A2684" s="151">
        <v>2683</v>
      </c>
      <c r="B2684" s="152" t="s">
        <v>8994</v>
      </c>
      <c r="C2684" s="160" t="s">
        <v>16630</v>
      </c>
      <c r="D2684" s="160">
        <v>1000</v>
      </c>
      <c r="E2684" s="161">
        <f>SUM(D2684*100)</f>
        <v>100000</v>
      </c>
    </row>
    <row r="2685" ht="16.5" spans="1:5">
      <c r="A2685" s="151">
        <v>2684</v>
      </c>
      <c r="B2685" s="152" t="s">
        <v>8997</v>
      </c>
      <c r="C2685" s="166" t="s">
        <v>16632</v>
      </c>
      <c r="D2685" s="166">
        <f>IFERROR(__xludf.DUMMYFUNCTION("""COMPUTED_VALUE"""),10000)</f>
        <v>10000</v>
      </c>
      <c r="E2685" s="168">
        <f>IFERROR(__xludf.DUMMYFUNCTION("""COMPUTED_VALUE"""),1500000)</f>
        <v>1500000</v>
      </c>
    </row>
    <row r="2686" ht="16.5" spans="1:5">
      <c r="A2686" s="151">
        <v>2685</v>
      </c>
      <c r="B2686" s="152" t="s">
        <v>8998</v>
      </c>
      <c r="C2686" s="162" t="s">
        <v>16631</v>
      </c>
      <c r="D2686" s="163">
        <v>1000</v>
      </c>
      <c r="E2686" s="163">
        <f>D2686*100</f>
        <v>100000</v>
      </c>
    </row>
    <row r="2687" ht="16.5" spans="1:5">
      <c r="A2687" s="151">
        <v>2686</v>
      </c>
      <c r="B2687" s="152" t="s">
        <v>8998</v>
      </c>
      <c r="C2687" s="162" t="s">
        <v>16633</v>
      </c>
      <c r="D2687" s="171">
        <f>G2687/100</f>
        <v>0</v>
      </c>
      <c r="E2687" s="171">
        <f>G2687</f>
        <v>0</v>
      </c>
    </row>
    <row r="2688" ht="16.5" spans="1:5">
      <c r="A2688" s="151">
        <v>2687</v>
      </c>
      <c r="B2688" s="152" t="s">
        <v>9002</v>
      </c>
      <c r="C2688" s="162" t="s">
        <v>16631</v>
      </c>
      <c r="D2688" s="163">
        <v>1000</v>
      </c>
      <c r="E2688" s="163">
        <f>D2688*100</f>
        <v>100000</v>
      </c>
    </row>
    <row r="2689" ht="16.5" spans="1:5">
      <c r="A2689" s="151">
        <v>2688</v>
      </c>
      <c r="B2689" s="152" t="s">
        <v>9007</v>
      </c>
      <c r="C2689" s="156" t="s">
        <v>16629</v>
      </c>
      <c r="D2689" s="159">
        <v>10</v>
      </c>
      <c r="E2689" s="155">
        <f>+D2689*100</f>
        <v>1000</v>
      </c>
    </row>
    <row r="2690" ht="16.5" spans="1:5">
      <c r="A2690" s="151">
        <v>2689</v>
      </c>
      <c r="B2690" s="152" t="s">
        <v>9010</v>
      </c>
      <c r="C2690" s="156" t="s">
        <v>16629</v>
      </c>
      <c r="D2690" s="157">
        <v>10</v>
      </c>
      <c r="E2690" s="155">
        <f>+D2690*100</f>
        <v>1000</v>
      </c>
    </row>
    <row r="2691" ht="16.5" spans="1:5">
      <c r="A2691" s="151">
        <v>2690</v>
      </c>
      <c r="B2691" s="152" t="s">
        <v>9013</v>
      </c>
      <c r="C2691" s="156" t="s">
        <v>16629</v>
      </c>
      <c r="D2691" s="157">
        <v>10</v>
      </c>
      <c r="E2691" s="155">
        <f>+D2691*100</f>
        <v>1000</v>
      </c>
    </row>
    <row r="2692" ht="16.5" spans="1:5">
      <c r="A2692" s="151">
        <v>2691</v>
      </c>
      <c r="B2692" s="152" t="s">
        <v>9016</v>
      </c>
      <c r="C2692" s="160" t="s">
        <v>16630</v>
      </c>
      <c r="D2692" s="160">
        <v>100</v>
      </c>
      <c r="E2692" s="161">
        <f>SUM(D2692*100)</f>
        <v>10000</v>
      </c>
    </row>
    <row r="2693" ht="16.5" spans="1:5">
      <c r="A2693" s="151">
        <v>2692</v>
      </c>
      <c r="B2693" s="152" t="s">
        <v>9020</v>
      </c>
      <c r="C2693" s="162" t="s">
        <v>16633</v>
      </c>
      <c r="D2693" s="171">
        <f>G2693/100</f>
        <v>0</v>
      </c>
      <c r="E2693" s="171">
        <f>G2693</f>
        <v>0</v>
      </c>
    </row>
    <row r="2694" ht="16.5" spans="1:5">
      <c r="A2694" s="151">
        <v>2693</v>
      </c>
      <c r="B2694" s="152" t="s">
        <v>9025</v>
      </c>
      <c r="C2694" s="166" t="s">
        <v>16632</v>
      </c>
      <c r="D2694" s="166">
        <f>IFERROR(__xludf.DUMMYFUNCTION("""COMPUTED_VALUE"""),10000)</f>
        <v>10000</v>
      </c>
      <c r="E2694" s="168">
        <f>IFERROR(__xludf.DUMMYFUNCTION("""COMPUTED_VALUE"""),1500000)</f>
        <v>1500000</v>
      </c>
    </row>
    <row r="2695" ht="16.5" spans="1:5">
      <c r="A2695" s="151">
        <v>2694</v>
      </c>
      <c r="B2695" s="152" t="s">
        <v>9025</v>
      </c>
      <c r="C2695" s="162" t="s">
        <v>16631</v>
      </c>
      <c r="D2695" s="163">
        <v>1000</v>
      </c>
      <c r="E2695" s="163">
        <f>D2695*100</f>
        <v>100000</v>
      </c>
    </row>
    <row r="2696" ht="16.5" spans="1:5">
      <c r="A2696" s="151">
        <v>2695</v>
      </c>
      <c r="B2696" s="152" t="s">
        <v>9025</v>
      </c>
      <c r="C2696" s="162" t="s">
        <v>16633</v>
      </c>
      <c r="D2696" s="171">
        <f>G2696/100</f>
        <v>0</v>
      </c>
      <c r="E2696" s="171">
        <f>G2696</f>
        <v>0</v>
      </c>
    </row>
    <row r="2697" ht="16.5" spans="1:5">
      <c r="A2697" s="151">
        <v>2696</v>
      </c>
      <c r="B2697" s="152" t="s">
        <v>9026</v>
      </c>
      <c r="C2697" s="153" t="s">
        <v>16629</v>
      </c>
      <c r="D2697" s="154">
        <v>10</v>
      </c>
      <c r="E2697" s="155">
        <f>+D2697*100</f>
        <v>1000</v>
      </c>
    </row>
    <row r="2698" ht="16.5" spans="1:5">
      <c r="A2698" s="151">
        <v>2697</v>
      </c>
      <c r="B2698" s="152" t="s">
        <v>9029</v>
      </c>
      <c r="C2698" s="160" t="s">
        <v>16630</v>
      </c>
      <c r="D2698" s="175">
        <v>10</v>
      </c>
      <c r="E2698" s="161">
        <f>SUM(D2698*100)</f>
        <v>1000</v>
      </c>
    </row>
    <row r="2699" ht="16.5" spans="1:5">
      <c r="A2699" s="151">
        <v>2698</v>
      </c>
      <c r="B2699" s="152" t="s">
        <v>9032</v>
      </c>
      <c r="C2699" s="156" t="s">
        <v>16629</v>
      </c>
      <c r="D2699" s="159">
        <v>10</v>
      </c>
      <c r="E2699" s="155">
        <f>+D2699*100</f>
        <v>1000</v>
      </c>
    </row>
    <row r="2700" ht="16.5" spans="1:5">
      <c r="A2700" s="151">
        <v>2699</v>
      </c>
      <c r="B2700" s="152" t="s">
        <v>9035</v>
      </c>
      <c r="C2700" s="153" t="s">
        <v>16629</v>
      </c>
      <c r="D2700" s="154">
        <v>10</v>
      </c>
      <c r="E2700" s="155">
        <f>+D2700*100</f>
        <v>1000</v>
      </c>
    </row>
    <row r="2701" ht="16.5" spans="1:5">
      <c r="A2701" s="151">
        <v>2700</v>
      </c>
      <c r="B2701" s="152" t="s">
        <v>9039</v>
      </c>
      <c r="C2701" s="156" t="s">
        <v>16629</v>
      </c>
      <c r="D2701" s="157">
        <v>10</v>
      </c>
      <c r="E2701" s="155">
        <f>+D2701*100</f>
        <v>1000</v>
      </c>
    </row>
    <row r="2702" ht="16.5" spans="1:5">
      <c r="A2702" s="151">
        <v>2701</v>
      </c>
      <c r="B2702" s="152" t="s">
        <v>9042</v>
      </c>
      <c r="C2702" s="160" t="s">
        <v>16630</v>
      </c>
      <c r="D2702" s="160">
        <v>400</v>
      </c>
      <c r="E2702" s="161">
        <f>SUM(D2702*100)</f>
        <v>40000</v>
      </c>
    </row>
    <row r="2703" ht="16.5" spans="1:5">
      <c r="A2703" s="151">
        <v>2702</v>
      </c>
      <c r="B2703" s="152" t="s">
        <v>9045</v>
      </c>
      <c r="C2703" s="162" t="s">
        <v>16631</v>
      </c>
      <c r="D2703" s="163">
        <v>1000</v>
      </c>
      <c r="E2703" s="163">
        <f>D2703*100</f>
        <v>100000</v>
      </c>
    </row>
    <row r="2704" ht="16.5" spans="1:5">
      <c r="A2704" s="151">
        <v>2703</v>
      </c>
      <c r="B2704" s="152" t="s">
        <v>9049</v>
      </c>
      <c r="C2704" s="153" t="s">
        <v>16629</v>
      </c>
      <c r="D2704" s="158">
        <v>10</v>
      </c>
      <c r="E2704" s="155">
        <f>+D2704*100</f>
        <v>1000</v>
      </c>
    </row>
    <row r="2705" ht="16.5" spans="1:5">
      <c r="A2705" s="151">
        <v>2704</v>
      </c>
      <c r="B2705" s="152" t="s">
        <v>9052</v>
      </c>
      <c r="C2705" s="160" t="s">
        <v>16630</v>
      </c>
      <c r="D2705" s="160">
        <v>100</v>
      </c>
      <c r="E2705" s="161">
        <f>SUM(D2705*100)</f>
        <v>10000</v>
      </c>
    </row>
    <row r="2706" ht="16.5" spans="1:5">
      <c r="A2706" s="151">
        <v>2705</v>
      </c>
      <c r="B2706" s="152" t="s">
        <v>9055</v>
      </c>
      <c r="C2706" s="160" t="s">
        <v>16630</v>
      </c>
      <c r="D2706" s="160">
        <v>250</v>
      </c>
      <c r="E2706" s="161">
        <f>SUM(D2706*100)</f>
        <v>25000</v>
      </c>
    </row>
    <row r="2707" ht="16.5" spans="1:5">
      <c r="A2707" s="151">
        <v>2706</v>
      </c>
      <c r="B2707" s="152" t="s">
        <v>9059</v>
      </c>
      <c r="C2707" s="166" t="s">
        <v>16632</v>
      </c>
      <c r="D2707" s="166">
        <f>IFERROR(__xludf.DUMMYFUNCTION("""COMPUTED_VALUE"""),10000)</f>
        <v>10000</v>
      </c>
      <c r="E2707" s="168">
        <f>IFERROR(__xludf.DUMMYFUNCTION("""COMPUTED_VALUE"""),1500000)</f>
        <v>1500000</v>
      </c>
    </row>
    <row r="2708" ht="16.5" spans="1:5">
      <c r="A2708" s="151">
        <v>2707</v>
      </c>
      <c r="B2708" s="152" t="s">
        <v>9060</v>
      </c>
      <c r="C2708" s="160" t="s">
        <v>16630</v>
      </c>
      <c r="D2708" s="160">
        <v>100</v>
      </c>
      <c r="E2708" s="161">
        <f>SUM(D2708*100)</f>
        <v>10000</v>
      </c>
    </row>
    <row r="2709" ht="16.5" spans="1:5">
      <c r="A2709" s="151">
        <v>2708</v>
      </c>
      <c r="B2709" s="152" t="s">
        <v>9064</v>
      </c>
      <c r="C2709" s="156" t="s">
        <v>16629</v>
      </c>
      <c r="D2709" s="159">
        <v>50</v>
      </c>
      <c r="E2709" s="155">
        <f>+D2709*100</f>
        <v>5000</v>
      </c>
    </row>
    <row r="2710" ht="16.5" spans="1:5">
      <c r="A2710" s="151">
        <v>2709</v>
      </c>
      <c r="B2710" s="152" t="s">
        <v>9068</v>
      </c>
      <c r="C2710" s="160" t="s">
        <v>16630</v>
      </c>
      <c r="D2710" s="160">
        <v>200</v>
      </c>
      <c r="E2710" s="161">
        <f>SUM(D2710*100)</f>
        <v>20000</v>
      </c>
    </row>
    <row r="2711" ht="16.5" spans="1:5">
      <c r="A2711" s="151">
        <v>2710</v>
      </c>
      <c r="B2711" s="152" t="s">
        <v>9071</v>
      </c>
      <c r="C2711" s="160" t="s">
        <v>16630</v>
      </c>
      <c r="D2711" s="160">
        <v>1000</v>
      </c>
      <c r="E2711" s="161">
        <f>SUM(D2711*100)</f>
        <v>100000</v>
      </c>
    </row>
    <row r="2712" ht="16.5" spans="1:5">
      <c r="A2712" s="151">
        <v>2711</v>
      </c>
      <c r="B2712" s="152" t="s">
        <v>9075</v>
      </c>
      <c r="C2712" s="162" t="s">
        <v>16631</v>
      </c>
      <c r="D2712" s="169">
        <v>2000</v>
      </c>
      <c r="E2712" s="170">
        <f>D2712*100</f>
        <v>200000</v>
      </c>
    </row>
    <row r="2713" ht="16.5" spans="1:5">
      <c r="A2713" s="151">
        <v>2712</v>
      </c>
      <c r="B2713" s="152" t="s">
        <v>9080</v>
      </c>
      <c r="C2713" s="162" t="s">
        <v>16631</v>
      </c>
      <c r="D2713" s="163">
        <v>2000</v>
      </c>
      <c r="E2713" s="163">
        <f>D2713*100</f>
        <v>200000</v>
      </c>
    </row>
    <row r="2714" ht="16.5" spans="1:5">
      <c r="A2714" s="151">
        <v>2713</v>
      </c>
      <c r="B2714" s="152" t="s">
        <v>9084</v>
      </c>
      <c r="C2714" s="160" t="s">
        <v>16630</v>
      </c>
      <c r="D2714" s="160">
        <v>500</v>
      </c>
      <c r="E2714" s="161">
        <f>SUM(D2714*100)</f>
        <v>50000</v>
      </c>
    </row>
    <row r="2715" ht="16.5" spans="1:5">
      <c r="A2715" s="151">
        <v>2714</v>
      </c>
      <c r="B2715" s="152" t="s">
        <v>9088</v>
      </c>
      <c r="C2715" s="160" t="s">
        <v>16630</v>
      </c>
      <c r="D2715" s="172">
        <v>10000</v>
      </c>
      <c r="E2715" s="161">
        <f>SUM(D2715*100)</f>
        <v>1000000</v>
      </c>
    </row>
    <row r="2716" ht="16.5" spans="1:5">
      <c r="A2716" s="151">
        <v>2715</v>
      </c>
      <c r="B2716" s="152" t="s">
        <v>9091</v>
      </c>
      <c r="C2716" s="160" t="s">
        <v>16630</v>
      </c>
      <c r="D2716" s="160">
        <v>10</v>
      </c>
      <c r="E2716" s="161">
        <f>SUM(D2716*100)</f>
        <v>1000</v>
      </c>
    </row>
    <row r="2717" ht="16.5" spans="1:5">
      <c r="A2717" s="151">
        <v>2716</v>
      </c>
      <c r="B2717" s="152" t="s">
        <v>9095</v>
      </c>
      <c r="C2717" s="153" t="s">
        <v>16629</v>
      </c>
      <c r="D2717" s="154">
        <v>10</v>
      </c>
      <c r="E2717" s="155">
        <f>+D2717*100</f>
        <v>1000</v>
      </c>
    </row>
    <row r="2718" ht="16.5" spans="1:5">
      <c r="A2718" s="151">
        <v>2717</v>
      </c>
      <c r="B2718" s="152" t="s">
        <v>9099</v>
      </c>
      <c r="C2718" s="160" t="s">
        <v>16630</v>
      </c>
      <c r="D2718" s="160">
        <v>20</v>
      </c>
      <c r="E2718" s="161">
        <f>SUM(D2718*100)</f>
        <v>2000</v>
      </c>
    </row>
    <row r="2719" ht="16.5" spans="1:5">
      <c r="A2719" s="151">
        <v>2718</v>
      </c>
      <c r="B2719" s="152" t="s">
        <v>9103</v>
      </c>
      <c r="C2719" s="160" t="s">
        <v>16630</v>
      </c>
      <c r="D2719" s="160">
        <v>1000</v>
      </c>
      <c r="E2719" s="161">
        <f>SUM(D2719*100)</f>
        <v>100000</v>
      </c>
    </row>
    <row r="2720" ht="16.5" spans="1:5">
      <c r="A2720" s="151">
        <v>2719</v>
      </c>
      <c r="B2720" s="152" t="s">
        <v>9108</v>
      </c>
      <c r="C2720" s="156" t="s">
        <v>16629</v>
      </c>
      <c r="D2720" s="159">
        <v>10</v>
      </c>
      <c r="E2720" s="155">
        <f>+D2720*100</f>
        <v>1000</v>
      </c>
    </row>
    <row r="2721" ht="16.5" spans="1:5">
      <c r="A2721" s="151">
        <v>2720</v>
      </c>
      <c r="B2721" s="152" t="s">
        <v>9111</v>
      </c>
      <c r="C2721" s="156" t="s">
        <v>16629</v>
      </c>
      <c r="D2721" s="159">
        <v>10</v>
      </c>
      <c r="E2721" s="155">
        <f>+D2721*100</f>
        <v>1000</v>
      </c>
    </row>
    <row r="2722" ht="16.5" spans="1:5">
      <c r="A2722" s="151">
        <v>2721</v>
      </c>
      <c r="B2722" s="152" t="s">
        <v>9115</v>
      </c>
      <c r="C2722" s="153" t="s">
        <v>16629</v>
      </c>
      <c r="D2722" s="154">
        <v>10</v>
      </c>
      <c r="E2722" s="155">
        <f>+D2722*100</f>
        <v>1000</v>
      </c>
    </row>
    <row r="2723" ht="16.5" spans="1:5">
      <c r="A2723" s="151">
        <v>2722</v>
      </c>
      <c r="B2723" s="152" t="s">
        <v>9118</v>
      </c>
      <c r="C2723" s="160" t="s">
        <v>16630</v>
      </c>
      <c r="D2723" s="160">
        <v>10</v>
      </c>
      <c r="E2723" s="161">
        <f>SUM(D2723*100)</f>
        <v>1000</v>
      </c>
    </row>
    <row r="2724" ht="16.5" spans="1:5">
      <c r="A2724" s="151">
        <v>2723</v>
      </c>
      <c r="B2724" s="152" t="s">
        <v>9122</v>
      </c>
      <c r="C2724" s="162" t="s">
        <v>16631</v>
      </c>
      <c r="D2724" s="163">
        <v>1000</v>
      </c>
      <c r="E2724" s="163">
        <f>D2724*100</f>
        <v>100000</v>
      </c>
    </row>
    <row r="2725" ht="16.5" spans="1:5">
      <c r="A2725" s="151">
        <v>2724</v>
      </c>
      <c r="B2725" s="152" t="s">
        <v>9126</v>
      </c>
      <c r="C2725" s="156" t="s">
        <v>16629</v>
      </c>
      <c r="D2725" s="157">
        <v>10</v>
      </c>
      <c r="E2725" s="155">
        <f>+D2725*100</f>
        <v>1000</v>
      </c>
    </row>
    <row r="2726" ht="16.5" spans="1:5">
      <c r="A2726" s="151">
        <v>2725</v>
      </c>
      <c r="B2726" s="152" t="s">
        <v>9130</v>
      </c>
      <c r="C2726" s="156" t="s">
        <v>16629</v>
      </c>
      <c r="D2726" s="159">
        <v>10</v>
      </c>
      <c r="E2726" s="155">
        <f>+D2726*100</f>
        <v>1000</v>
      </c>
    </row>
    <row r="2727" ht="16.5" spans="1:5">
      <c r="A2727" s="151">
        <v>2726</v>
      </c>
      <c r="B2727" s="152" t="s">
        <v>9133</v>
      </c>
      <c r="C2727" s="166" t="s">
        <v>16632</v>
      </c>
      <c r="D2727" s="151">
        <f>IFERROR(__xludf.DUMMYFUNCTION("""COMPUTED_VALUE"""),10000)</f>
        <v>10000</v>
      </c>
      <c r="E2727" s="167">
        <f>IFERROR(__xludf.DUMMYFUNCTION("""COMPUTED_VALUE"""),1500000)</f>
        <v>1500000</v>
      </c>
    </row>
    <row r="2728" ht="16.5" spans="1:5">
      <c r="A2728" s="151">
        <v>2727</v>
      </c>
      <c r="B2728" s="152" t="s">
        <v>9134</v>
      </c>
      <c r="C2728" s="160" t="s">
        <v>16630</v>
      </c>
      <c r="D2728" s="160">
        <v>50</v>
      </c>
      <c r="E2728" s="161">
        <f>SUM(D2728*100)</f>
        <v>5000</v>
      </c>
    </row>
    <row r="2729" ht="16.5" spans="1:5">
      <c r="A2729" s="151">
        <v>2728</v>
      </c>
      <c r="B2729" s="152" t="s">
        <v>9138</v>
      </c>
      <c r="C2729" s="160" t="s">
        <v>16630</v>
      </c>
      <c r="D2729" s="160">
        <v>500</v>
      </c>
      <c r="E2729" s="161">
        <f>SUM(D2729*100)</f>
        <v>50000</v>
      </c>
    </row>
    <row r="2730" ht="16.5" spans="1:5">
      <c r="A2730" s="151">
        <v>2729</v>
      </c>
      <c r="B2730" s="152" t="s">
        <v>9142</v>
      </c>
      <c r="C2730" s="153" t="s">
        <v>16629</v>
      </c>
      <c r="D2730" s="158">
        <v>30</v>
      </c>
      <c r="E2730" s="155">
        <f>+D2730*100</f>
        <v>3000</v>
      </c>
    </row>
    <row r="2731" ht="16.5" spans="1:5">
      <c r="A2731" s="151">
        <v>2730</v>
      </c>
      <c r="B2731" s="152" t="s">
        <v>9145</v>
      </c>
      <c r="C2731" s="160" t="s">
        <v>16630</v>
      </c>
      <c r="D2731" s="160">
        <v>53000</v>
      </c>
      <c r="E2731" s="161">
        <f>SUM(D2731*10)</f>
        <v>530000</v>
      </c>
    </row>
    <row r="2732" ht="16.5" spans="1:5">
      <c r="A2732" s="151">
        <v>2731</v>
      </c>
      <c r="B2732" s="152" t="s">
        <v>9145</v>
      </c>
      <c r="C2732" s="166" t="s">
        <v>16632</v>
      </c>
      <c r="D2732" s="151">
        <v>10000</v>
      </c>
      <c r="E2732" s="168">
        <f>IFERROR(__xludf.DUMMYFUNCTION("""COMPUTED_VALUE"""),1500000)</f>
        <v>1500000</v>
      </c>
    </row>
    <row r="2733" ht="16.5" spans="1:5">
      <c r="A2733" s="151">
        <v>2732</v>
      </c>
      <c r="B2733" s="152" t="s">
        <v>9145</v>
      </c>
      <c r="C2733" s="166" t="s">
        <v>16632</v>
      </c>
      <c r="D2733" s="173">
        <v>30000</v>
      </c>
      <c r="E2733" s="45">
        <v>3500000</v>
      </c>
    </row>
    <row r="2734" ht="16.5" spans="1:5">
      <c r="A2734" s="151">
        <v>2733</v>
      </c>
      <c r="B2734" s="152" t="s">
        <v>9149</v>
      </c>
      <c r="C2734" s="153" t="s">
        <v>16629</v>
      </c>
      <c r="D2734" s="154">
        <v>10</v>
      </c>
      <c r="E2734" s="155">
        <f>+D2734*100</f>
        <v>1000</v>
      </c>
    </row>
    <row r="2735" ht="16.5" spans="1:5">
      <c r="A2735" s="151">
        <v>2734</v>
      </c>
      <c r="B2735" s="152" t="s">
        <v>9152</v>
      </c>
      <c r="C2735" s="160" t="s">
        <v>16630</v>
      </c>
      <c r="D2735" s="165">
        <v>200</v>
      </c>
      <c r="E2735" s="161">
        <f>SUM(D2735*100)</f>
        <v>20000</v>
      </c>
    </row>
    <row r="2736" ht="16.5" spans="1:5">
      <c r="A2736" s="151">
        <v>2735</v>
      </c>
      <c r="B2736" s="152" t="s">
        <v>9155</v>
      </c>
      <c r="C2736" s="156" t="s">
        <v>16629</v>
      </c>
      <c r="D2736" s="159">
        <v>10</v>
      </c>
      <c r="E2736" s="155">
        <f>+D2736*100</f>
        <v>1000</v>
      </c>
    </row>
    <row r="2737" ht="16.5" spans="1:5">
      <c r="A2737" s="151">
        <v>2736</v>
      </c>
      <c r="B2737" s="152" t="s">
        <v>9159</v>
      </c>
      <c r="C2737" s="156" t="s">
        <v>16629</v>
      </c>
      <c r="D2737" s="157">
        <v>10</v>
      </c>
      <c r="E2737" s="155">
        <f>+D2737*100</f>
        <v>1000</v>
      </c>
    </row>
    <row r="2738" ht="16.5" spans="1:5">
      <c r="A2738" s="151">
        <v>2737</v>
      </c>
      <c r="B2738" s="152" t="s">
        <v>9162</v>
      </c>
      <c r="C2738" s="160" t="s">
        <v>16630</v>
      </c>
      <c r="D2738" s="160">
        <v>500</v>
      </c>
      <c r="E2738" s="161">
        <f>SUM(D2738*100)</f>
        <v>50000</v>
      </c>
    </row>
    <row r="2739" ht="16.5" spans="1:5">
      <c r="A2739" s="151">
        <v>2738</v>
      </c>
      <c r="B2739" s="152" t="s">
        <v>9165</v>
      </c>
      <c r="C2739" s="160" t="s">
        <v>16630</v>
      </c>
      <c r="D2739" s="160">
        <v>100</v>
      </c>
      <c r="E2739" s="161">
        <f>SUM(D2739*100)</f>
        <v>10000</v>
      </c>
    </row>
    <row r="2740" ht="16.5" spans="1:5">
      <c r="A2740" s="151">
        <v>2739</v>
      </c>
      <c r="B2740" s="152" t="s">
        <v>9168</v>
      </c>
      <c r="C2740" s="160" t="s">
        <v>16630</v>
      </c>
      <c r="D2740" s="160">
        <v>20</v>
      </c>
      <c r="E2740" s="161">
        <f>SUM(D2740*100)</f>
        <v>2000</v>
      </c>
    </row>
    <row r="2741" ht="16.5" spans="1:5">
      <c r="A2741" s="151">
        <v>2740</v>
      </c>
      <c r="B2741" s="152" t="s">
        <v>9171</v>
      </c>
      <c r="C2741" s="162" t="s">
        <v>16631</v>
      </c>
      <c r="D2741" s="163">
        <v>1000</v>
      </c>
      <c r="E2741" s="163">
        <f>D2741*100</f>
        <v>100000</v>
      </c>
    </row>
    <row r="2742" ht="16.5" spans="1:5">
      <c r="A2742" s="151">
        <v>2741</v>
      </c>
      <c r="B2742" s="152" t="s">
        <v>9176</v>
      </c>
      <c r="C2742" s="153" t="s">
        <v>16629</v>
      </c>
      <c r="D2742" s="154">
        <v>10</v>
      </c>
      <c r="E2742" s="155">
        <f t="shared" ref="E2742:E2771" si="93">+D2742*100</f>
        <v>1000</v>
      </c>
    </row>
    <row r="2743" ht="16.5" spans="1:5">
      <c r="A2743" s="151">
        <v>2742</v>
      </c>
      <c r="B2743" s="152" t="s">
        <v>9180</v>
      </c>
      <c r="C2743" s="156" t="s">
        <v>16629</v>
      </c>
      <c r="D2743" s="159">
        <v>10</v>
      </c>
      <c r="E2743" s="155">
        <f t="shared" si="93"/>
        <v>1000</v>
      </c>
    </row>
    <row r="2744" ht="16.5" spans="1:5">
      <c r="A2744" s="151">
        <v>2743</v>
      </c>
      <c r="B2744" s="152" t="s">
        <v>9184</v>
      </c>
      <c r="C2744" s="153" t="s">
        <v>16629</v>
      </c>
      <c r="D2744" s="158">
        <v>10</v>
      </c>
      <c r="E2744" s="155">
        <f t="shared" si="93"/>
        <v>1000</v>
      </c>
    </row>
    <row r="2745" ht="16.5" spans="1:5">
      <c r="A2745" s="151">
        <v>2744</v>
      </c>
      <c r="B2745" s="152" t="s">
        <v>9187</v>
      </c>
      <c r="C2745" s="156" t="s">
        <v>16629</v>
      </c>
      <c r="D2745" s="157">
        <v>10</v>
      </c>
      <c r="E2745" s="155">
        <f t="shared" si="93"/>
        <v>1000</v>
      </c>
    </row>
    <row r="2746" ht="16.5" spans="1:5">
      <c r="A2746" s="151">
        <v>2745</v>
      </c>
      <c r="B2746" s="152" t="s">
        <v>9190</v>
      </c>
      <c r="C2746" s="156" t="s">
        <v>16629</v>
      </c>
      <c r="D2746" s="154">
        <v>10</v>
      </c>
      <c r="E2746" s="155">
        <f t="shared" si="93"/>
        <v>1000</v>
      </c>
    </row>
    <row r="2747" ht="16.5" spans="1:5">
      <c r="A2747" s="151">
        <v>2746</v>
      </c>
      <c r="B2747" s="152" t="s">
        <v>9193</v>
      </c>
      <c r="C2747" s="156" t="s">
        <v>16629</v>
      </c>
      <c r="D2747" s="159">
        <v>10</v>
      </c>
      <c r="E2747" s="155">
        <f t="shared" si="93"/>
        <v>1000</v>
      </c>
    </row>
    <row r="2748" ht="16.5" spans="1:5">
      <c r="A2748" s="151">
        <v>2747</v>
      </c>
      <c r="B2748" s="152" t="s">
        <v>9196</v>
      </c>
      <c r="C2748" s="153" t="s">
        <v>16629</v>
      </c>
      <c r="D2748" s="154">
        <v>10</v>
      </c>
      <c r="E2748" s="155">
        <f t="shared" si="93"/>
        <v>1000</v>
      </c>
    </row>
    <row r="2749" ht="16.5" spans="1:5">
      <c r="A2749" s="151">
        <v>2748</v>
      </c>
      <c r="B2749" s="152" t="s">
        <v>9199</v>
      </c>
      <c r="C2749" s="156" t="s">
        <v>16629</v>
      </c>
      <c r="D2749" s="159">
        <v>10</v>
      </c>
      <c r="E2749" s="155">
        <f t="shared" si="93"/>
        <v>1000</v>
      </c>
    </row>
    <row r="2750" ht="16.5" spans="1:5">
      <c r="A2750" s="151">
        <v>2749</v>
      </c>
      <c r="B2750" s="152" t="s">
        <v>9203</v>
      </c>
      <c r="C2750" s="156" t="s">
        <v>16629</v>
      </c>
      <c r="D2750" s="159">
        <v>10</v>
      </c>
      <c r="E2750" s="155">
        <f t="shared" si="93"/>
        <v>1000</v>
      </c>
    </row>
    <row r="2751" ht="16.5" spans="1:5">
      <c r="A2751" s="151">
        <v>2750</v>
      </c>
      <c r="B2751" s="152" t="s">
        <v>9206</v>
      </c>
      <c r="C2751" s="153" t="s">
        <v>16629</v>
      </c>
      <c r="D2751" s="154">
        <v>10</v>
      </c>
      <c r="E2751" s="155">
        <f t="shared" si="93"/>
        <v>1000</v>
      </c>
    </row>
    <row r="2752" ht="16.5" spans="1:5">
      <c r="A2752" s="151">
        <v>2751</v>
      </c>
      <c r="B2752" s="152" t="s">
        <v>9209</v>
      </c>
      <c r="C2752" s="153" t="s">
        <v>16629</v>
      </c>
      <c r="D2752" s="154">
        <v>10</v>
      </c>
      <c r="E2752" s="155">
        <f t="shared" si="93"/>
        <v>1000</v>
      </c>
    </row>
    <row r="2753" ht="16.5" spans="1:5">
      <c r="A2753" s="151">
        <v>2752</v>
      </c>
      <c r="B2753" s="152" t="s">
        <v>9213</v>
      </c>
      <c r="C2753" s="153" t="s">
        <v>16629</v>
      </c>
      <c r="D2753" s="158">
        <v>10</v>
      </c>
      <c r="E2753" s="155">
        <f t="shared" si="93"/>
        <v>1000</v>
      </c>
    </row>
    <row r="2754" ht="16.5" spans="1:5">
      <c r="A2754" s="151">
        <v>2753</v>
      </c>
      <c r="B2754" s="152" t="s">
        <v>9216</v>
      </c>
      <c r="C2754" s="153" t="s">
        <v>16629</v>
      </c>
      <c r="D2754" s="154">
        <v>10</v>
      </c>
      <c r="E2754" s="155">
        <f t="shared" si="93"/>
        <v>1000</v>
      </c>
    </row>
    <row r="2755" ht="16.5" spans="1:5">
      <c r="A2755" s="151">
        <v>2754</v>
      </c>
      <c r="B2755" s="152" t="s">
        <v>9220</v>
      </c>
      <c r="C2755" s="156" t="s">
        <v>16629</v>
      </c>
      <c r="D2755" s="159">
        <v>10</v>
      </c>
      <c r="E2755" s="155">
        <f t="shared" si="93"/>
        <v>1000</v>
      </c>
    </row>
    <row r="2756" ht="16.5" spans="1:5">
      <c r="A2756" s="151">
        <v>2755</v>
      </c>
      <c r="B2756" s="152" t="s">
        <v>9223</v>
      </c>
      <c r="C2756" s="153" t="s">
        <v>16629</v>
      </c>
      <c r="D2756" s="158">
        <v>10</v>
      </c>
      <c r="E2756" s="155">
        <f t="shared" si="93"/>
        <v>1000</v>
      </c>
    </row>
    <row r="2757" ht="16.5" spans="1:5">
      <c r="A2757" s="151">
        <v>2756</v>
      </c>
      <c r="B2757" s="152" t="s">
        <v>9227</v>
      </c>
      <c r="C2757" s="153" t="s">
        <v>16629</v>
      </c>
      <c r="D2757" s="154">
        <v>10</v>
      </c>
      <c r="E2757" s="155">
        <f t="shared" si="93"/>
        <v>1000</v>
      </c>
    </row>
    <row r="2758" ht="16.5" spans="1:5">
      <c r="A2758" s="151">
        <v>2757</v>
      </c>
      <c r="B2758" s="152" t="s">
        <v>9230</v>
      </c>
      <c r="C2758" s="156" t="s">
        <v>16629</v>
      </c>
      <c r="D2758" s="159">
        <v>10</v>
      </c>
      <c r="E2758" s="155">
        <f t="shared" si="93"/>
        <v>1000</v>
      </c>
    </row>
    <row r="2759" ht="16.5" spans="1:5">
      <c r="A2759" s="151">
        <v>2758</v>
      </c>
      <c r="B2759" s="152" t="s">
        <v>9234</v>
      </c>
      <c r="C2759" s="153" t="s">
        <v>16629</v>
      </c>
      <c r="D2759" s="154">
        <v>10</v>
      </c>
      <c r="E2759" s="155">
        <f t="shared" si="93"/>
        <v>1000</v>
      </c>
    </row>
    <row r="2760" ht="16.5" spans="1:5">
      <c r="A2760" s="151">
        <v>2759</v>
      </c>
      <c r="B2760" s="152" t="s">
        <v>9237</v>
      </c>
      <c r="C2760" s="156" t="s">
        <v>16629</v>
      </c>
      <c r="D2760" s="159">
        <v>10</v>
      </c>
      <c r="E2760" s="155">
        <f t="shared" si="93"/>
        <v>1000</v>
      </c>
    </row>
    <row r="2761" ht="16.5" spans="1:5">
      <c r="A2761" s="151">
        <v>2760</v>
      </c>
      <c r="B2761" s="152" t="s">
        <v>9240</v>
      </c>
      <c r="C2761" s="153" t="s">
        <v>16629</v>
      </c>
      <c r="D2761" s="154">
        <v>10</v>
      </c>
      <c r="E2761" s="155">
        <f t="shared" si="93"/>
        <v>1000</v>
      </c>
    </row>
    <row r="2762" ht="16.5" spans="1:5">
      <c r="A2762" s="151">
        <v>2761</v>
      </c>
      <c r="B2762" s="152" t="s">
        <v>9244</v>
      </c>
      <c r="C2762" s="156" t="s">
        <v>16629</v>
      </c>
      <c r="D2762" s="159">
        <v>10</v>
      </c>
      <c r="E2762" s="155">
        <f t="shared" si="93"/>
        <v>1000</v>
      </c>
    </row>
    <row r="2763" ht="16.5" spans="1:5">
      <c r="A2763" s="151">
        <v>2762</v>
      </c>
      <c r="B2763" s="152" t="s">
        <v>9247</v>
      </c>
      <c r="C2763" s="153" t="s">
        <v>16629</v>
      </c>
      <c r="D2763" s="154">
        <v>10</v>
      </c>
      <c r="E2763" s="155">
        <f t="shared" si="93"/>
        <v>1000</v>
      </c>
    </row>
    <row r="2764" ht="16.5" spans="1:5">
      <c r="A2764" s="151">
        <v>2763</v>
      </c>
      <c r="B2764" s="152" t="s">
        <v>9251</v>
      </c>
      <c r="C2764" s="156" t="s">
        <v>16629</v>
      </c>
      <c r="D2764" s="159">
        <v>10</v>
      </c>
      <c r="E2764" s="155">
        <f t="shared" si="93"/>
        <v>1000</v>
      </c>
    </row>
    <row r="2765" ht="16.5" spans="1:5">
      <c r="A2765" s="151">
        <v>2764</v>
      </c>
      <c r="B2765" s="152" t="s">
        <v>9255</v>
      </c>
      <c r="C2765" s="153" t="s">
        <v>16629</v>
      </c>
      <c r="D2765" s="154">
        <v>10</v>
      </c>
      <c r="E2765" s="155">
        <f t="shared" si="93"/>
        <v>1000</v>
      </c>
    </row>
    <row r="2766" ht="16.5" spans="1:5">
      <c r="A2766" s="151">
        <v>2765</v>
      </c>
      <c r="B2766" s="152" t="s">
        <v>9258</v>
      </c>
      <c r="C2766" s="153" t="s">
        <v>16629</v>
      </c>
      <c r="D2766" s="154">
        <v>10</v>
      </c>
      <c r="E2766" s="155">
        <f t="shared" si="93"/>
        <v>1000</v>
      </c>
    </row>
    <row r="2767" ht="16.5" spans="1:5">
      <c r="A2767" s="151">
        <v>2766</v>
      </c>
      <c r="B2767" s="152" t="s">
        <v>9262</v>
      </c>
      <c r="C2767" s="153" t="s">
        <v>16629</v>
      </c>
      <c r="D2767" s="158">
        <v>10</v>
      </c>
      <c r="E2767" s="155">
        <f t="shared" si="93"/>
        <v>1000</v>
      </c>
    </row>
    <row r="2768" ht="16.5" spans="1:5">
      <c r="A2768" s="151">
        <v>2767</v>
      </c>
      <c r="B2768" s="152" t="s">
        <v>9265</v>
      </c>
      <c r="C2768" s="153" t="s">
        <v>16629</v>
      </c>
      <c r="D2768" s="158">
        <v>10</v>
      </c>
      <c r="E2768" s="155">
        <f t="shared" si="93"/>
        <v>1000</v>
      </c>
    </row>
    <row r="2769" ht="16.5" spans="1:5">
      <c r="A2769" s="151">
        <v>2768</v>
      </c>
      <c r="B2769" s="152" t="s">
        <v>9269</v>
      </c>
      <c r="C2769" s="156" t="s">
        <v>16629</v>
      </c>
      <c r="D2769" s="159">
        <v>10</v>
      </c>
      <c r="E2769" s="155">
        <f t="shared" si="93"/>
        <v>1000</v>
      </c>
    </row>
    <row r="2770" ht="16.5" spans="1:5">
      <c r="A2770" s="151">
        <v>2769</v>
      </c>
      <c r="B2770" s="152" t="s">
        <v>9272</v>
      </c>
      <c r="C2770" s="156" t="s">
        <v>16629</v>
      </c>
      <c r="D2770" s="159">
        <v>10</v>
      </c>
      <c r="E2770" s="155">
        <f t="shared" si="93"/>
        <v>1000</v>
      </c>
    </row>
    <row r="2771" ht="16.5" spans="1:5">
      <c r="A2771" s="151">
        <v>2770</v>
      </c>
      <c r="B2771" s="152" t="s">
        <v>9275</v>
      </c>
      <c r="C2771" s="153" t="s">
        <v>16629</v>
      </c>
      <c r="D2771" s="154">
        <v>10</v>
      </c>
      <c r="E2771" s="155">
        <f t="shared" si="93"/>
        <v>1000</v>
      </c>
    </row>
    <row r="2772" ht="16.5" spans="1:5">
      <c r="A2772" s="151">
        <v>2771</v>
      </c>
      <c r="B2772" s="152" t="s">
        <v>9278</v>
      </c>
      <c r="C2772" s="160" t="s">
        <v>16630</v>
      </c>
      <c r="D2772" s="175">
        <v>10</v>
      </c>
      <c r="E2772" s="161">
        <f>SUM(D2772*100)</f>
        <v>1000</v>
      </c>
    </row>
    <row r="2773" ht="16.5" spans="1:5">
      <c r="A2773" s="151">
        <v>2772</v>
      </c>
      <c r="B2773" s="152" t="s">
        <v>9281</v>
      </c>
      <c r="C2773" s="160" t="s">
        <v>16630</v>
      </c>
      <c r="D2773" s="164">
        <v>200</v>
      </c>
      <c r="E2773" s="161">
        <f>SUM(D2773*100)</f>
        <v>20000</v>
      </c>
    </row>
    <row r="2774" ht="16.5" spans="1:5">
      <c r="A2774" s="151">
        <v>2773</v>
      </c>
      <c r="B2774" s="152" t="s">
        <v>9284</v>
      </c>
      <c r="C2774" s="153" t="s">
        <v>16629</v>
      </c>
      <c r="D2774" s="154">
        <v>10</v>
      </c>
      <c r="E2774" s="155">
        <f>+D2774*100</f>
        <v>1000</v>
      </c>
    </row>
    <row r="2775" ht="16.5" spans="1:5">
      <c r="A2775" s="151">
        <v>2774</v>
      </c>
      <c r="B2775" s="152" t="s">
        <v>9287</v>
      </c>
      <c r="C2775" s="160" t="s">
        <v>16630</v>
      </c>
      <c r="D2775" s="160">
        <v>10</v>
      </c>
      <c r="E2775" s="161">
        <f>SUM(D2775*100)</f>
        <v>1000</v>
      </c>
    </row>
    <row r="2776" ht="16.5" spans="1:5">
      <c r="A2776" s="151">
        <v>2775</v>
      </c>
      <c r="B2776" s="152" t="s">
        <v>9290</v>
      </c>
      <c r="C2776" s="153" t="s">
        <v>16629</v>
      </c>
      <c r="D2776" s="158">
        <v>10</v>
      </c>
      <c r="E2776" s="155">
        <f t="shared" ref="E2776:E2781" si="94">+D2776*100</f>
        <v>1000</v>
      </c>
    </row>
    <row r="2777" ht="16.5" spans="1:5">
      <c r="A2777" s="151">
        <v>2776</v>
      </c>
      <c r="B2777" s="152" t="s">
        <v>9293</v>
      </c>
      <c r="C2777" s="156" t="s">
        <v>16629</v>
      </c>
      <c r="D2777" s="154">
        <v>10</v>
      </c>
      <c r="E2777" s="155">
        <f t="shared" si="94"/>
        <v>1000</v>
      </c>
    </row>
    <row r="2778" ht="16.5" spans="1:5">
      <c r="A2778" s="151">
        <v>2777</v>
      </c>
      <c r="B2778" s="152" t="s">
        <v>9296</v>
      </c>
      <c r="C2778" s="153" t="s">
        <v>16629</v>
      </c>
      <c r="D2778" s="158">
        <v>10</v>
      </c>
      <c r="E2778" s="155">
        <f t="shared" si="94"/>
        <v>1000</v>
      </c>
    </row>
    <row r="2779" ht="16.5" spans="1:5">
      <c r="A2779" s="151">
        <v>2778</v>
      </c>
      <c r="B2779" s="152" t="s">
        <v>9299</v>
      </c>
      <c r="C2779" s="153" t="s">
        <v>16629</v>
      </c>
      <c r="D2779" s="158">
        <v>10</v>
      </c>
      <c r="E2779" s="155">
        <f t="shared" si="94"/>
        <v>1000</v>
      </c>
    </row>
    <row r="2780" ht="16.5" spans="1:5">
      <c r="A2780" s="151">
        <v>2779</v>
      </c>
      <c r="B2780" s="152" t="s">
        <v>9303</v>
      </c>
      <c r="C2780" s="156" t="s">
        <v>16629</v>
      </c>
      <c r="D2780" s="157">
        <v>10</v>
      </c>
      <c r="E2780" s="155">
        <f t="shared" si="94"/>
        <v>1000</v>
      </c>
    </row>
    <row r="2781" ht="16.5" spans="1:5">
      <c r="A2781" s="151">
        <v>2780</v>
      </c>
      <c r="B2781" s="152" t="s">
        <v>9306</v>
      </c>
      <c r="C2781" s="156" t="s">
        <v>16629</v>
      </c>
      <c r="D2781" s="159">
        <v>10</v>
      </c>
      <c r="E2781" s="155">
        <f t="shared" si="94"/>
        <v>1000</v>
      </c>
    </row>
    <row r="2782" ht="16.5" spans="1:5">
      <c r="A2782" s="151">
        <v>2781</v>
      </c>
      <c r="B2782" s="152" t="s">
        <v>9309</v>
      </c>
      <c r="C2782" s="162" t="s">
        <v>16631</v>
      </c>
      <c r="D2782" s="163">
        <v>1000</v>
      </c>
      <c r="E2782" s="163">
        <f>D2782*100</f>
        <v>100000</v>
      </c>
    </row>
    <row r="2783" ht="16.5" spans="1:5">
      <c r="A2783" s="151">
        <v>2782</v>
      </c>
      <c r="B2783" s="152" t="s">
        <v>9314</v>
      </c>
      <c r="C2783" s="153" t="s">
        <v>16629</v>
      </c>
      <c r="D2783" s="154">
        <v>10</v>
      </c>
      <c r="E2783" s="155">
        <f t="shared" ref="E2783:E2797" si="95">+D2783*100</f>
        <v>1000</v>
      </c>
    </row>
    <row r="2784" ht="16.5" spans="1:5">
      <c r="A2784" s="151">
        <v>2783</v>
      </c>
      <c r="B2784" s="152" t="s">
        <v>9317</v>
      </c>
      <c r="C2784" s="156" t="s">
        <v>16629</v>
      </c>
      <c r="D2784" s="159">
        <v>10</v>
      </c>
      <c r="E2784" s="155">
        <f t="shared" si="95"/>
        <v>1000</v>
      </c>
    </row>
    <row r="2785" ht="16.5" spans="1:5">
      <c r="A2785" s="151">
        <v>2784</v>
      </c>
      <c r="B2785" s="152" t="s">
        <v>9320</v>
      </c>
      <c r="C2785" s="156" t="s">
        <v>16629</v>
      </c>
      <c r="D2785" s="159">
        <v>10</v>
      </c>
      <c r="E2785" s="155">
        <f t="shared" si="95"/>
        <v>1000</v>
      </c>
    </row>
    <row r="2786" ht="16.5" spans="1:5">
      <c r="A2786" s="151">
        <v>2785</v>
      </c>
      <c r="B2786" s="152" t="s">
        <v>9323</v>
      </c>
      <c r="C2786" s="153" t="s">
        <v>16629</v>
      </c>
      <c r="D2786" s="154">
        <v>10</v>
      </c>
      <c r="E2786" s="155">
        <f t="shared" si="95"/>
        <v>1000</v>
      </c>
    </row>
    <row r="2787" ht="16.5" spans="1:5">
      <c r="A2787" s="151">
        <v>2786</v>
      </c>
      <c r="B2787" s="152" t="s">
        <v>9326</v>
      </c>
      <c r="C2787" s="156" t="s">
        <v>16629</v>
      </c>
      <c r="D2787" s="159">
        <v>10</v>
      </c>
      <c r="E2787" s="155">
        <f t="shared" si="95"/>
        <v>1000</v>
      </c>
    </row>
    <row r="2788" ht="16.5" spans="1:5">
      <c r="A2788" s="151">
        <v>2787</v>
      </c>
      <c r="B2788" s="152" t="s">
        <v>9329</v>
      </c>
      <c r="C2788" s="156" t="s">
        <v>16629</v>
      </c>
      <c r="D2788" s="159">
        <v>10</v>
      </c>
      <c r="E2788" s="155">
        <f t="shared" si="95"/>
        <v>1000</v>
      </c>
    </row>
    <row r="2789" ht="16.5" spans="1:5">
      <c r="A2789" s="151">
        <v>2788</v>
      </c>
      <c r="B2789" s="152" t="s">
        <v>9332</v>
      </c>
      <c r="C2789" s="156" t="s">
        <v>16629</v>
      </c>
      <c r="D2789" s="159">
        <v>10</v>
      </c>
      <c r="E2789" s="155">
        <f t="shared" si="95"/>
        <v>1000</v>
      </c>
    </row>
    <row r="2790" ht="16.5" spans="1:5">
      <c r="A2790" s="151">
        <v>2789</v>
      </c>
      <c r="B2790" s="152" t="s">
        <v>9335</v>
      </c>
      <c r="C2790" s="156" t="s">
        <v>16629</v>
      </c>
      <c r="D2790" s="157">
        <v>10</v>
      </c>
      <c r="E2790" s="155">
        <f t="shared" si="95"/>
        <v>1000</v>
      </c>
    </row>
    <row r="2791" ht="16.5" spans="1:5">
      <c r="A2791" s="151">
        <v>2790</v>
      </c>
      <c r="B2791" s="152" t="s">
        <v>9338</v>
      </c>
      <c r="C2791" s="153" t="s">
        <v>16629</v>
      </c>
      <c r="D2791" s="154">
        <v>10</v>
      </c>
      <c r="E2791" s="155">
        <f t="shared" si="95"/>
        <v>1000</v>
      </c>
    </row>
    <row r="2792" ht="16.5" spans="1:5">
      <c r="A2792" s="151">
        <v>2791</v>
      </c>
      <c r="B2792" s="152" t="s">
        <v>9341</v>
      </c>
      <c r="C2792" s="156" t="s">
        <v>16629</v>
      </c>
      <c r="D2792" s="159">
        <v>10</v>
      </c>
      <c r="E2792" s="155">
        <f t="shared" si="95"/>
        <v>1000</v>
      </c>
    </row>
    <row r="2793" ht="16.5" spans="1:5">
      <c r="A2793" s="151">
        <v>2792</v>
      </c>
      <c r="B2793" s="152" t="s">
        <v>9344</v>
      </c>
      <c r="C2793" s="153" t="s">
        <v>16629</v>
      </c>
      <c r="D2793" s="154">
        <v>10</v>
      </c>
      <c r="E2793" s="155">
        <f t="shared" si="95"/>
        <v>1000</v>
      </c>
    </row>
    <row r="2794" ht="16.5" spans="1:5">
      <c r="A2794" s="151">
        <v>2793</v>
      </c>
      <c r="B2794" s="152" t="s">
        <v>9347</v>
      </c>
      <c r="C2794" s="156" t="s">
        <v>16629</v>
      </c>
      <c r="D2794" s="154">
        <v>10</v>
      </c>
      <c r="E2794" s="155">
        <f t="shared" si="95"/>
        <v>1000</v>
      </c>
    </row>
    <row r="2795" ht="16.5" spans="1:5">
      <c r="A2795" s="151">
        <v>2794</v>
      </c>
      <c r="B2795" s="152" t="s">
        <v>9350</v>
      </c>
      <c r="C2795" s="156" t="s">
        <v>16629</v>
      </c>
      <c r="D2795" s="159">
        <v>10</v>
      </c>
      <c r="E2795" s="155">
        <f t="shared" si="95"/>
        <v>1000</v>
      </c>
    </row>
    <row r="2796" ht="16.5" spans="1:5">
      <c r="A2796" s="151">
        <v>2795</v>
      </c>
      <c r="B2796" s="152" t="s">
        <v>9353</v>
      </c>
      <c r="C2796" s="156" t="s">
        <v>16629</v>
      </c>
      <c r="D2796" s="157">
        <v>10</v>
      </c>
      <c r="E2796" s="155">
        <f t="shared" si="95"/>
        <v>1000</v>
      </c>
    </row>
    <row r="2797" ht="16.5" spans="1:5">
      <c r="A2797" s="151">
        <v>2796</v>
      </c>
      <c r="B2797" s="152" t="s">
        <v>9357</v>
      </c>
      <c r="C2797" s="156" t="s">
        <v>16629</v>
      </c>
      <c r="D2797" s="159">
        <v>10</v>
      </c>
      <c r="E2797" s="155">
        <f t="shared" si="95"/>
        <v>1000</v>
      </c>
    </row>
    <row r="2798" ht="16.5" spans="1:5">
      <c r="A2798" s="151">
        <v>2797</v>
      </c>
      <c r="B2798" s="152" t="s">
        <v>9360</v>
      </c>
      <c r="C2798" s="162" t="s">
        <v>16631</v>
      </c>
      <c r="D2798" s="163">
        <v>1000</v>
      </c>
      <c r="E2798" s="163">
        <f>D2798*100</f>
        <v>100000</v>
      </c>
    </row>
    <row r="2799" ht="16.5" spans="1:5">
      <c r="A2799" s="151">
        <v>2798</v>
      </c>
      <c r="B2799" s="152" t="s">
        <v>9364</v>
      </c>
      <c r="C2799" s="160" t="s">
        <v>16630</v>
      </c>
      <c r="D2799" s="164">
        <v>100</v>
      </c>
      <c r="E2799" s="161">
        <f>SUM(D2799*100)</f>
        <v>10000</v>
      </c>
    </row>
    <row r="2800" ht="16.5" spans="1:5">
      <c r="A2800" s="151">
        <v>2799</v>
      </c>
      <c r="B2800" s="152" t="s">
        <v>9367</v>
      </c>
      <c r="C2800" s="160" t="s">
        <v>16630</v>
      </c>
      <c r="D2800" s="164">
        <v>10</v>
      </c>
      <c r="E2800" s="161">
        <f>SUM(D2800*100)</f>
        <v>1000</v>
      </c>
    </row>
    <row r="2801" ht="16.5" spans="1:5">
      <c r="A2801" s="151">
        <v>2800</v>
      </c>
      <c r="B2801" s="152" t="s">
        <v>9370</v>
      </c>
      <c r="C2801" s="166" t="s">
        <v>16632</v>
      </c>
      <c r="D2801" s="166">
        <f>IFERROR(__xludf.DUMMYFUNCTION("""COMPUTED_VALUE"""),15000)</f>
        <v>15000</v>
      </c>
      <c r="E2801" s="168">
        <f>IFERROR(__xludf.DUMMYFUNCTION("""COMPUTED_VALUE"""),1500000)</f>
        <v>1500000</v>
      </c>
    </row>
    <row r="2802" ht="16.5" spans="1:5">
      <c r="A2802" s="151">
        <v>2801</v>
      </c>
      <c r="B2802" s="152" t="s">
        <v>9371</v>
      </c>
      <c r="C2802" s="156" t="s">
        <v>16629</v>
      </c>
      <c r="D2802" s="158">
        <v>10</v>
      </c>
      <c r="E2802" s="155">
        <f>+D2802*100</f>
        <v>1000</v>
      </c>
    </row>
    <row r="2803" ht="16.5" spans="1:5">
      <c r="A2803" s="151">
        <v>2802</v>
      </c>
      <c r="B2803" s="152" t="s">
        <v>9375</v>
      </c>
      <c r="C2803" s="153" t="s">
        <v>16629</v>
      </c>
      <c r="D2803" s="158">
        <v>10</v>
      </c>
      <c r="E2803" s="155">
        <f>+D2803*100</f>
        <v>1000</v>
      </c>
    </row>
    <row r="2804" ht="16.5" spans="1:5">
      <c r="A2804" s="151">
        <v>2803</v>
      </c>
      <c r="B2804" s="152" t="s">
        <v>9378</v>
      </c>
      <c r="C2804" s="160" t="s">
        <v>16630</v>
      </c>
      <c r="D2804" s="160">
        <v>100</v>
      </c>
      <c r="E2804" s="161">
        <f>SUM(D2804*100)</f>
        <v>10000</v>
      </c>
    </row>
    <row r="2805" ht="16.5" spans="1:5">
      <c r="A2805" s="151">
        <v>2804</v>
      </c>
      <c r="B2805" s="152" t="s">
        <v>9382</v>
      </c>
      <c r="C2805" s="156" t="s">
        <v>16629</v>
      </c>
      <c r="D2805" s="159">
        <v>10</v>
      </c>
      <c r="E2805" s="155">
        <f>+D2805*100</f>
        <v>1000</v>
      </c>
    </row>
    <row r="2806" ht="16.5" spans="1:5">
      <c r="A2806" s="151">
        <v>2805</v>
      </c>
      <c r="B2806" s="152" t="s">
        <v>9386</v>
      </c>
      <c r="C2806" s="153" t="s">
        <v>16629</v>
      </c>
      <c r="D2806" s="154">
        <v>10</v>
      </c>
      <c r="E2806" s="155">
        <f>+D2806*100</f>
        <v>1000</v>
      </c>
    </row>
    <row r="2807" ht="16.5" spans="1:5">
      <c r="A2807" s="151">
        <v>2806</v>
      </c>
      <c r="B2807" s="152" t="s">
        <v>9390</v>
      </c>
      <c r="C2807" s="153" t="s">
        <v>16629</v>
      </c>
      <c r="D2807" s="154">
        <v>10</v>
      </c>
      <c r="E2807" s="155">
        <f>+D2807*100</f>
        <v>1000</v>
      </c>
    </row>
    <row r="2808" ht="16.5" spans="1:5">
      <c r="A2808" s="151">
        <v>2807</v>
      </c>
      <c r="B2808" s="152" t="s">
        <v>9394</v>
      </c>
      <c r="C2808" s="156" t="s">
        <v>16629</v>
      </c>
      <c r="D2808" s="157">
        <v>10</v>
      </c>
      <c r="E2808" s="155">
        <f>+D2808*100</f>
        <v>1000</v>
      </c>
    </row>
    <row r="2809" ht="16.5" spans="1:5">
      <c r="A2809" s="151">
        <v>2808</v>
      </c>
      <c r="B2809" s="152" t="s">
        <v>9397</v>
      </c>
      <c r="C2809" s="160" t="s">
        <v>16630</v>
      </c>
      <c r="D2809" s="160">
        <v>100</v>
      </c>
      <c r="E2809" s="161">
        <f>SUM(D2809*100)</f>
        <v>10000</v>
      </c>
    </row>
    <row r="2810" ht="16.5" spans="1:5">
      <c r="A2810" s="151">
        <v>2809</v>
      </c>
      <c r="B2810" s="152" t="s">
        <v>9401</v>
      </c>
      <c r="C2810" s="160" t="s">
        <v>16630</v>
      </c>
      <c r="D2810" s="160">
        <v>10</v>
      </c>
      <c r="E2810" s="161">
        <f>SUM(D2810*100)</f>
        <v>1000</v>
      </c>
    </row>
    <row r="2811" ht="16.5" spans="1:5">
      <c r="A2811" s="151">
        <v>2810</v>
      </c>
      <c r="B2811" s="152" t="s">
        <v>9404</v>
      </c>
      <c r="C2811" s="153" t="s">
        <v>16629</v>
      </c>
      <c r="D2811" s="154">
        <v>10</v>
      </c>
      <c r="E2811" s="155">
        <f>+D2811*100</f>
        <v>1000</v>
      </c>
    </row>
    <row r="2812" ht="16.5" spans="1:5">
      <c r="A2812" s="151">
        <v>2811</v>
      </c>
      <c r="B2812" s="152" t="s">
        <v>9407</v>
      </c>
      <c r="C2812" s="166" t="s">
        <v>16632</v>
      </c>
      <c r="D2812" s="166">
        <f>IFERROR(__xludf.DUMMYFUNCTION("""COMPUTED_VALUE"""),10000)</f>
        <v>10000</v>
      </c>
      <c r="E2812" s="168">
        <f>IFERROR(__xludf.DUMMYFUNCTION("""COMPUTED_VALUE"""),1500000)</f>
        <v>1500000</v>
      </c>
    </row>
    <row r="2813" ht="16.5" spans="1:5">
      <c r="A2813" s="151">
        <v>2812</v>
      </c>
      <c r="B2813" s="152" t="s">
        <v>9407</v>
      </c>
      <c r="C2813" s="166" t="s">
        <v>16632</v>
      </c>
      <c r="D2813" s="166">
        <f>IFERROR(__xludf.DUMMYFUNCTION("""COMPUTED_VALUE"""),10000)</f>
        <v>10000</v>
      </c>
      <c r="E2813" s="168">
        <f>IFERROR(__xludf.DUMMYFUNCTION("""COMPUTED_VALUE"""),1500000)</f>
        <v>1500000</v>
      </c>
    </row>
    <row r="2814" ht="16.5" spans="1:5">
      <c r="A2814" s="151">
        <v>2813</v>
      </c>
      <c r="B2814" s="152" t="s">
        <v>9407</v>
      </c>
      <c r="C2814" s="166" t="s">
        <v>16632</v>
      </c>
      <c r="D2814" s="166">
        <f>IFERROR(__xludf.DUMMYFUNCTION("""COMPUTED_VALUE"""),10000)</f>
        <v>10000</v>
      </c>
      <c r="E2814" s="168">
        <f>IFERROR(__xludf.DUMMYFUNCTION("""COMPUTED_VALUE"""),1500000)</f>
        <v>1500000</v>
      </c>
    </row>
    <row r="2815" ht="16.5" spans="1:5">
      <c r="A2815" s="151">
        <v>2814</v>
      </c>
      <c r="B2815" s="152" t="s">
        <v>9408</v>
      </c>
      <c r="C2815" s="166" t="s">
        <v>16632</v>
      </c>
      <c r="D2815" s="166">
        <f>IFERROR(__xludf.DUMMYFUNCTION("""COMPUTED_VALUE"""),15000)</f>
        <v>15000</v>
      </c>
      <c r="E2815" s="168">
        <f>IFERROR(__xludf.DUMMYFUNCTION("""COMPUTED_VALUE"""),1500000)</f>
        <v>1500000</v>
      </c>
    </row>
    <row r="2816" ht="16.5" spans="1:5">
      <c r="A2816" s="151">
        <v>2815</v>
      </c>
      <c r="B2816" s="152" t="s">
        <v>9409</v>
      </c>
      <c r="C2816" s="153" t="s">
        <v>16629</v>
      </c>
      <c r="D2816" s="154">
        <v>10</v>
      </c>
      <c r="E2816" s="155">
        <f>+D2816*100</f>
        <v>1000</v>
      </c>
    </row>
    <row r="2817" ht="16.5" spans="1:5">
      <c r="A2817" s="151">
        <v>2816</v>
      </c>
      <c r="B2817" s="152" t="s">
        <v>9412</v>
      </c>
      <c r="C2817" s="160" t="s">
        <v>16630</v>
      </c>
      <c r="D2817" s="164">
        <v>20</v>
      </c>
      <c r="E2817" s="161">
        <f>SUM(D2817*100)</f>
        <v>2000</v>
      </c>
    </row>
    <row r="2818" ht="16.5" spans="1:5">
      <c r="A2818" s="151">
        <v>2817</v>
      </c>
      <c r="B2818" s="152" t="s">
        <v>9415</v>
      </c>
      <c r="C2818" s="153" t="s">
        <v>16629</v>
      </c>
      <c r="D2818" s="154">
        <v>10</v>
      </c>
      <c r="E2818" s="155">
        <f t="shared" ref="E2818:E2830" si="96">+D2818*100</f>
        <v>1000</v>
      </c>
    </row>
    <row r="2819" ht="16.5" spans="1:5">
      <c r="A2819" s="151">
        <v>2818</v>
      </c>
      <c r="B2819" s="152" t="s">
        <v>9419</v>
      </c>
      <c r="C2819" s="153" t="s">
        <v>16629</v>
      </c>
      <c r="D2819" s="154">
        <v>10</v>
      </c>
      <c r="E2819" s="155">
        <f t="shared" si="96"/>
        <v>1000</v>
      </c>
    </row>
    <row r="2820" ht="16.5" spans="1:5">
      <c r="A2820" s="151">
        <v>2819</v>
      </c>
      <c r="B2820" s="152" t="s">
        <v>9422</v>
      </c>
      <c r="C2820" s="156" t="s">
        <v>16629</v>
      </c>
      <c r="D2820" s="159">
        <v>10</v>
      </c>
      <c r="E2820" s="155">
        <f t="shared" si="96"/>
        <v>1000</v>
      </c>
    </row>
    <row r="2821" ht="16.5" spans="1:5">
      <c r="A2821" s="151">
        <v>2820</v>
      </c>
      <c r="B2821" s="152" t="s">
        <v>9425</v>
      </c>
      <c r="C2821" s="153" t="s">
        <v>16629</v>
      </c>
      <c r="D2821" s="154">
        <v>10</v>
      </c>
      <c r="E2821" s="155">
        <f t="shared" si="96"/>
        <v>1000</v>
      </c>
    </row>
    <row r="2822" ht="16.5" spans="1:5">
      <c r="A2822" s="151">
        <v>2821</v>
      </c>
      <c r="B2822" s="152" t="s">
        <v>9428</v>
      </c>
      <c r="C2822" s="153" t="s">
        <v>16629</v>
      </c>
      <c r="D2822" s="154">
        <v>10</v>
      </c>
      <c r="E2822" s="155">
        <f t="shared" si="96"/>
        <v>1000</v>
      </c>
    </row>
    <row r="2823" ht="16.5" spans="1:5">
      <c r="A2823" s="151">
        <v>2822</v>
      </c>
      <c r="B2823" s="152" t="s">
        <v>9431</v>
      </c>
      <c r="C2823" s="153" t="s">
        <v>16629</v>
      </c>
      <c r="D2823" s="158">
        <v>10</v>
      </c>
      <c r="E2823" s="155">
        <f t="shared" si="96"/>
        <v>1000</v>
      </c>
    </row>
    <row r="2824" ht="16.5" spans="1:5">
      <c r="A2824" s="151">
        <v>2823</v>
      </c>
      <c r="B2824" s="152" t="s">
        <v>9435</v>
      </c>
      <c r="C2824" s="153" t="s">
        <v>16629</v>
      </c>
      <c r="D2824" s="154">
        <v>10</v>
      </c>
      <c r="E2824" s="155">
        <f t="shared" si="96"/>
        <v>1000</v>
      </c>
    </row>
    <row r="2825" ht="16.5" spans="1:5">
      <c r="A2825" s="151">
        <v>2824</v>
      </c>
      <c r="B2825" s="152" t="s">
        <v>9439</v>
      </c>
      <c r="C2825" s="156" t="s">
        <v>16629</v>
      </c>
      <c r="D2825" s="154">
        <v>10</v>
      </c>
      <c r="E2825" s="155">
        <f t="shared" si="96"/>
        <v>1000</v>
      </c>
    </row>
    <row r="2826" ht="16.5" spans="1:5">
      <c r="A2826" s="151">
        <v>2825</v>
      </c>
      <c r="B2826" s="152" t="s">
        <v>9442</v>
      </c>
      <c r="C2826" s="153" t="s">
        <v>16629</v>
      </c>
      <c r="D2826" s="154">
        <v>10</v>
      </c>
      <c r="E2826" s="155">
        <f t="shared" si="96"/>
        <v>1000</v>
      </c>
    </row>
    <row r="2827" ht="16.5" spans="1:5">
      <c r="A2827" s="151">
        <v>2826</v>
      </c>
      <c r="B2827" s="152" t="s">
        <v>9445</v>
      </c>
      <c r="C2827" s="156" t="s">
        <v>16629</v>
      </c>
      <c r="D2827" s="159">
        <v>10</v>
      </c>
      <c r="E2827" s="155">
        <f t="shared" si="96"/>
        <v>1000</v>
      </c>
    </row>
    <row r="2828" ht="16.5" spans="1:5">
      <c r="A2828" s="151">
        <v>2827</v>
      </c>
      <c r="B2828" s="152" t="s">
        <v>9448</v>
      </c>
      <c r="C2828" s="153" t="s">
        <v>16629</v>
      </c>
      <c r="D2828" s="158">
        <v>10</v>
      </c>
      <c r="E2828" s="155">
        <f t="shared" si="96"/>
        <v>1000</v>
      </c>
    </row>
    <row r="2829" ht="16.5" spans="1:5">
      <c r="A2829" s="151">
        <v>2828</v>
      </c>
      <c r="B2829" s="152" t="s">
        <v>9451</v>
      </c>
      <c r="C2829" s="156" t="s">
        <v>16629</v>
      </c>
      <c r="D2829" s="154">
        <v>10</v>
      </c>
      <c r="E2829" s="155">
        <f t="shared" si="96"/>
        <v>1000</v>
      </c>
    </row>
    <row r="2830" ht="16.5" spans="1:5">
      <c r="A2830" s="151">
        <v>2829</v>
      </c>
      <c r="B2830" s="152" t="s">
        <v>9454</v>
      </c>
      <c r="C2830" s="156" t="s">
        <v>16629</v>
      </c>
      <c r="D2830" s="159">
        <v>10</v>
      </c>
      <c r="E2830" s="155">
        <f t="shared" si="96"/>
        <v>1000</v>
      </c>
    </row>
    <row r="2831" ht="16.5" spans="1:5">
      <c r="A2831" s="151">
        <v>2830</v>
      </c>
      <c r="B2831" s="152" t="s">
        <v>9457</v>
      </c>
      <c r="C2831" s="162" t="s">
        <v>16631</v>
      </c>
      <c r="D2831" s="163">
        <v>1000</v>
      </c>
      <c r="E2831" s="163">
        <f>D2831*100</f>
        <v>100000</v>
      </c>
    </row>
    <row r="2832" ht="16.5" spans="1:5">
      <c r="A2832" s="151">
        <v>2831</v>
      </c>
      <c r="B2832" s="152" t="s">
        <v>9462</v>
      </c>
      <c r="C2832" s="153" t="s">
        <v>16629</v>
      </c>
      <c r="D2832" s="154">
        <v>10</v>
      </c>
      <c r="E2832" s="155">
        <f t="shared" ref="E2832:E2839" si="97">+D2832*100</f>
        <v>1000</v>
      </c>
    </row>
    <row r="2833" ht="16.5" spans="1:5">
      <c r="A2833" s="151">
        <v>2832</v>
      </c>
      <c r="B2833" s="152" t="s">
        <v>9465</v>
      </c>
      <c r="C2833" s="156" t="s">
        <v>16629</v>
      </c>
      <c r="D2833" s="159">
        <v>10</v>
      </c>
      <c r="E2833" s="155">
        <f t="shared" si="97"/>
        <v>1000</v>
      </c>
    </row>
    <row r="2834" ht="16.5" spans="1:5">
      <c r="A2834" s="151">
        <v>2833</v>
      </c>
      <c r="B2834" s="152" t="s">
        <v>9468</v>
      </c>
      <c r="C2834" s="153" t="s">
        <v>16629</v>
      </c>
      <c r="D2834" s="154">
        <v>10</v>
      </c>
      <c r="E2834" s="155">
        <f t="shared" si="97"/>
        <v>1000</v>
      </c>
    </row>
    <row r="2835" ht="16.5" spans="1:5">
      <c r="A2835" s="151">
        <v>2834</v>
      </c>
      <c r="B2835" s="152" t="s">
        <v>9472</v>
      </c>
      <c r="C2835" s="156" t="s">
        <v>16629</v>
      </c>
      <c r="D2835" s="157">
        <v>10</v>
      </c>
      <c r="E2835" s="155">
        <f t="shared" si="97"/>
        <v>1000</v>
      </c>
    </row>
    <row r="2836" ht="16.5" spans="1:5">
      <c r="A2836" s="151">
        <v>2835</v>
      </c>
      <c r="B2836" s="152" t="s">
        <v>9475</v>
      </c>
      <c r="C2836" s="153" t="s">
        <v>16629</v>
      </c>
      <c r="D2836" s="154">
        <v>10</v>
      </c>
      <c r="E2836" s="155">
        <f t="shared" si="97"/>
        <v>1000</v>
      </c>
    </row>
    <row r="2837" ht="16.5" spans="1:5">
      <c r="A2837" s="151">
        <v>2836</v>
      </c>
      <c r="B2837" s="152" t="s">
        <v>9478</v>
      </c>
      <c r="C2837" s="153" t="s">
        <v>16629</v>
      </c>
      <c r="D2837" s="154">
        <v>10</v>
      </c>
      <c r="E2837" s="155">
        <f t="shared" si="97"/>
        <v>1000</v>
      </c>
    </row>
    <row r="2838" ht="16.5" spans="1:5">
      <c r="A2838" s="151">
        <v>2837</v>
      </c>
      <c r="B2838" s="152" t="s">
        <v>9482</v>
      </c>
      <c r="C2838" s="156" t="s">
        <v>16629</v>
      </c>
      <c r="D2838" s="154">
        <v>10</v>
      </c>
      <c r="E2838" s="155">
        <f t="shared" si="97"/>
        <v>1000</v>
      </c>
    </row>
    <row r="2839" ht="16.5" spans="1:5">
      <c r="A2839" s="151">
        <v>2838</v>
      </c>
      <c r="B2839" s="152" t="s">
        <v>9485</v>
      </c>
      <c r="C2839" s="156" t="s">
        <v>16629</v>
      </c>
      <c r="D2839" s="159">
        <v>10</v>
      </c>
      <c r="E2839" s="155">
        <f t="shared" si="97"/>
        <v>1000</v>
      </c>
    </row>
    <row r="2840" ht="16.5" spans="1:5">
      <c r="A2840" s="151">
        <v>2839</v>
      </c>
      <c r="B2840" s="152" t="s">
        <v>9488</v>
      </c>
      <c r="C2840" s="160" t="s">
        <v>16630</v>
      </c>
      <c r="D2840" s="160">
        <v>200</v>
      </c>
      <c r="E2840" s="161">
        <f>SUM(D2840*100)</f>
        <v>20000</v>
      </c>
    </row>
    <row r="2841" ht="16.5" spans="1:5">
      <c r="A2841" s="151">
        <v>2840</v>
      </c>
      <c r="B2841" s="152" t="s">
        <v>9492</v>
      </c>
      <c r="C2841" s="166" t="s">
        <v>16632</v>
      </c>
      <c r="D2841" s="166">
        <f>IFERROR(__xludf.DUMMYFUNCTION("""COMPUTED_VALUE"""),10000)</f>
        <v>10000</v>
      </c>
      <c r="E2841" s="168">
        <f>IFERROR(__xludf.DUMMYFUNCTION("""COMPUTED_VALUE"""),1500000)</f>
        <v>1500000</v>
      </c>
    </row>
    <row r="2842" ht="16.5" spans="1:5">
      <c r="A2842" s="151">
        <v>2841</v>
      </c>
      <c r="B2842" s="152" t="s">
        <v>9493</v>
      </c>
      <c r="C2842" s="153" t="s">
        <v>16629</v>
      </c>
      <c r="D2842" s="154">
        <v>10</v>
      </c>
      <c r="E2842" s="155">
        <f>+D2842*100</f>
        <v>1000</v>
      </c>
    </row>
    <row r="2843" ht="16.5" spans="1:5">
      <c r="A2843" s="151">
        <v>2842</v>
      </c>
      <c r="B2843" s="152" t="s">
        <v>9497</v>
      </c>
      <c r="C2843" s="166" t="s">
        <v>16632</v>
      </c>
      <c r="D2843" s="151">
        <f>IFERROR(__xludf.DUMMYFUNCTION("""COMPUTED_VALUE"""),10000)</f>
        <v>10000</v>
      </c>
      <c r="E2843" s="167">
        <f>IFERROR(__xludf.DUMMYFUNCTION("""COMPUTED_VALUE"""),1500000)</f>
        <v>1500000</v>
      </c>
    </row>
    <row r="2844" ht="16.5" spans="1:5">
      <c r="A2844" s="151">
        <v>2843</v>
      </c>
      <c r="B2844" s="152" t="s">
        <v>9498</v>
      </c>
      <c r="C2844" s="156" t="s">
        <v>16629</v>
      </c>
      <c r="D2844" s="159">
        <v>10</v>
      </c>
      <c r="E2844" s="155">
        <f>+D2844*100</f>
        <v>1000</v>
      </c>
    </row>
    <row r="2845" ht="16.5" spans="1:5">
      <c r="A2845" s="151">
        <v>2844</v>
      </c>
      <c r="B2845" s="152" t="s">
        <v>9501</v>
      </c>
      <c r="C2845" s="156" t="s">
        <v>16629</v>
      </c>
      <c r="D2845" s="159">
        <v>10</v>
      </c>
      <c r="E2845" s="155">
        <f>+D2845*100</f>
        <v>1000</v>
      </c>
    </row>
    <row r="2846" ht="16.5" spans="1:5">
      <c r="A2846" s="151">
        <v>2845</v>
      </c>
      <c r="B2846" s="152" t="s">
        <v>9504</v>
      </c>
      <c r="C2846" s="156" t="s">
        <v>16629</v>
      </c>
      <c r="D2846" s="159">
        <v>10</v>
      </c>
      <c r="E2846" s="155">
        <f>+D2846*100</f>
        <v>1000</v>
      </c>
    </row>
    <row r="2847" ht="16.5" spans="1:5">
      <c r="A2847" s="151">
        <v>2846</v>
      </c>
      <c r="B2847" s="152" t="s">
        <v>9507</v>
      </c>
      <c r="C2847" s="153" t="s">
        <v>16629</v>
      </c>
      <c r="D2847" s="154">
        <v>10</v>
      </c>
      <c r="E2847" s="155">
        <f>+D2847*100</f>
        <v>1000</v>
      </c>
    </row>
    <row r="2848" ht="16.5" spans="1:5">
      <c r="A2848" s="151">
        <v>2847</v>
      </c>
      <c r="B2848" s="152" t="s">
        <v>9510</v>
      </c>
      <c r="C2848" s="160" t="s">
        <v>16630</v>
      </c>
      <c r="D2848" s="160">
        <v>230</v>
      </c>
      <c r="E2848" s="161">
        <f>SUM(D2848*100)</f>
        <v>23000</v>
      </c>
    </row>
    <row r="2849" ht="16.5" spans="1:5">
      <c r="A2849" s="151">
        <v>2848</v>
      </c>
      <c r="B2849" s="152" t="s">
        <v>9515</v>
      </c>
      <c r="C2849" s="153" t="s">
        <v>16629</v>
      </c>
      <c r="D2849" s="154">
        <v>10</v>
      </c>
      <c r="E2849" s="155">
        <f>+D2849*100</f>
        <v>1000</v>
      </c>
    </row>
    <row r="2850" ht="16.5" spans="1:5">
      <c r="A2850" s="151">
        <v>2849</v>
      </c>
      <c r="B2850" s="152" t="s">
        <v>9519</v>
      </c>
      <c r="C2850" s="153" t="s">
        <v>16629</v>
      </c>
      <c r="D2850" s="154">
        <v>10</v>
      </c>
      <c r="E2850" s="155">
        <f>+D2850*100</f>
        <v>1000</v>
      </c>
    </row>
    <row r="2851" ht="16.5" spans="1:5">
      <c r="A2851" s="151">
        <v>2850</v>
      </c>
      <c r="B2851" s="152" t="s">
        <v>9522</v>
      </c>
      <c r="C2851" s="160" t="s">
        <v>16630</v>
      </c>
      <c r="D2851" s="41">
        <v>40</v>
      </c>
      <c r="E2851" s="161">
        <f>SUM(D2851*100)</f>
        <v>4000</v>
      </c>
    </row>
    <row r="2852" ht="16.5" spans="1:5">
      <c r="A2852" s="151">
        <v>2851</v>
      </c>
      <c r="B2852" s="152" t="s">
        <v>9525</v>
      </c>
      <c r="C2852" s="156" t="s">
        <v>16629</v>
      </c>
      <c r="D2852" s="159">
        <v>10</v>
      </c>
      <c r="E2852" s="155">
        <f>+D2852*100</f>
        <v>1000</v>
      </c>
    </row>
    <row r="2853" ht="16.5" spans="1:5">
      <c r="A2853" s="151">
        <v>2852</v>
      </c>
      <c r="B2853" s="152" t="s">
        <v>9529</v>
      </c>
      <c r="C2853" s="162" t="s">
        <v>16631</v>
      </c>
      <c r="D2853" s="163">
        <v>1000</v>
      </c>
      <c r="E2853" s="163">
        <f>D2853*100</f>
        <v>100000</v>
      </c>
    </row>
    <row r="2854" ht="16.5" spans="1:5">
      <c r="A2854" s="151">
        <v>2853</v>
      </c>
      <c r="B2854" s="152" t="s">
        <v>9533</v>
      </c>
      <c r="C2854" s="160" t="s">
        <v>16630</v>
      </c>
      <c r="D2854" s="160">
        <v>1000</v>
      </c>
      <c r="E2854" s="161">
        <f>SUM(D2854*100)</f>
        <v>100000</v>
      </c>
    </row>
    <row r="2855" ht="16.5" spans="1:5">
      <c r="A2855" s="151">
        <v>2854</v>
      </c>
      <c r="B2855" s="152" t="s">
        <v>9536</v>
      </c>
      <c r="C2855" s="160" t="s">
        <v>16630</v>
      </c>
      <c r="D2855" s="164">
        <v>100</v>
      </c>
      <c r="E2855" s="161">
        <f>SUM(D2855*100)</f>
        <v>10000</v>
      </c>
    </row>
    <row r="2856" ht="16.5" spans="1:5">
      <c r="A2856" s="151">
        <v>2855</v>
      </c>
      <c r="B2856" s="152" t="s">
        <v>9539</v>
      </c>
      <c r="C2856" s="156" t="s">
        <v>16629</v>
      </c>
      <c r="D2856" s="159">
        <v>10</v>
      </c>
      <c r="E2856" s="155">
        <f>+D2856*100</f>
        <v>1000</v>
      </c>
    </row>
    <row r="2857" ht="16.5" spans="1:5">
      <c r="A2857" s="151">
        <v>2856</v>
      </c>
      <c r="B2857" s="152" t="s">
        <v>9543</v>
      </c>
      <c r="C2857" s="153" t="s">
        <v>16629</v>
      </c>
      <c r="D2857" s="154">
        <v>10</v>
      </c>
      <c r="E2857" s="155">
        <f>+D2857*100</f>
        <v>1000</v>
      </c>
    </row>
    <row r="2858" ht="16.5" spans="1:5">
      <c r="A2858" s="151">
        <v>2857</v>
      </c>
      <c r="B2858" s="152" t="s">
        <v>9546</v>
      </c>
      <c r="C2858" s="160" t="s">
        <v>16630</v>
      </c>
      <c r="D2858" s="160">
        <v>100</v>
      </c>
      <c r="E2858" s="161">
        <f>SUM(D2858*100)</f>
        <v>10000</v>
      </c>
    </row>
    <row r="2859" ht="16.5" spans="1:5">
      <c r="A2859" s="151">
        <v>2858</v>
      </c>
      <c r="B2859" s="152" t="s">
        <v>9549</v>
      </c>
      <c r="C2859" s="153" t="s">
        <v>16629</v>
      </c>
      <c r="D2859" s="154">
        <v>10</v>
      </c>
      <c r="E2859" s="155">
        <f>+D2859*100</f>
        <v>1000</v>
      </c>
    </row>
    <row r="2860" ht="16.5" spans="1:5">
      <c r="A2860" s="151">
        <v>2859</v>
      </c>
      <c r="B2860" s="152" t="s">
        <v>9552</v>
      </c>
      <c r="C2860" s="153" t="s">
        <v>16629</v>
      </c>
      <c r="D2860" s="154">
        <v>10</v>
      </c>
      <c r="E2860" s="155">
        <f>+D2860*100</f>
        <v>1000</v>
      </c>
    </row>
    <row r="2861" ht="16.5" spans="1:5">
      <c r="A2861" s="151">
        <v>2860</v>
      </c>
      <c r="B2861" s="152" t="s">
        <v>9555</v>
      </c>
      <c r="C2861" s="160" t="s">
        <v>16630</v>
      </c>
      <c r="D2861" s="160">
        <v>30</v>
      </c>
      <c r="E2861" s="161">
        <f>SUM(D2861*100)</f>
        <v>3000</v>
      </c>
    </row>
    <row r="2862" ht="16.5" spans="1:5">
      <c r="A2862" s="151">
        <v>2861</v>
      </c>
      <c r="B2862" s="152" t="s">
        <v>9558</v>
      </c>
      <c r="C2862" s="156" t="s">
        <v>16629</v>
      </c>
      <c r="D2862" s="159">
        <v>10</v>
      </c>
      <c r="E2862" s="155">
        <f>+D2862*100</f>
        <v>1000</v>
      </c>
    </row>
    <row r="2863" ht="16.5" spans="1:5">
      <c r="A2863" s="151">
        <v>2862</v>
      </c>
      <c r="B2863" s="152" t="s">
        <v>9561</v>
      </c>
      <c r="C2863" s="156" t="s">
        <v>16629</v>
      </c>
      <c r="D2863" s="154">
        <v>10</v>
      </c>
      <c r="E2863" s="155">
        <f>+D2863*100</f>
        <v>1000</v>
      </c>
    </row>
    <row r="2864" ht="16.5" spans="1:5">
      <c r="A2864" s="151">
        <v>2863</v>
      </c>
      <c r="B2864" s="152" t="s">
        <v>9564</v>
      </c>
      <c r="C2864" s="166" t="s">
        <v>16632</v>
      </c>
      <c r="D2864" s="173">
        <v>35000</v>
      </c>
      <c r="E2864" s="45">
        <v>3500000</v>
      </c>
    </row>
    <row r="2865" ht="16.5" spans="1:5">
      <c r="A2865" s="151">
        <v>2864</v>
      </c>
      <c r="B2865" s="152" t="s">
        <v>9569</v>
      </c>
      <c r="C2865" s="160" t="s">
        <v>16630</v>
      </c>
      <c r="D2865" s="160">
        <v>50</v>
      </c>
      <c r="E2865" s="161">
        <f>SUM(D2865*100)</f>
        <v>5000</v>
      </c>
    </row>
    <row r="2866" ht="16.5" spans="1:5">
      <c r="A2866" s="151">
        <v>2865</v>
      </c>
      <c r="B2866" s="152" t="s">
        <v>9573</v>
      </c>
      <c r="C2866" s="153" t="s">
        <v>16629</v>
      </c>
      <c r="D2866" s="158">
        <v>10</v>
      </c>
      <c r="E2866" s="155">
        <f>+D2866*100</f>
        <v>1000</v>
      </c>
    </row>
    <row r="2867" ht="16.5" spans="1:5">
      <c r="A2867" s="151">
        <v>2866</v>
      </c>
      <c r="B2867" s="152" t="s">
        <v>9577</v>
      </c>
      <c r="C2867" s="156" t="s">
        <v>16629</v>
      </c>
      <c r="D2867" s="157">
        <v>10</v>
      </c>
      <c r="E2867" s="155">
        <f>+D2867*100</f>
        <v>1000</v>
      </c>
    </row>
    <row r="2868" ht="16.5" spans="1:5">
      <c r="A2868" s="151">
        <v>2867</v>
      </c>
      <c r="B2868" s="152" t="s">
        <v>9580</v>
      </c>
      <c r="C2868" s="160" t="s">
        <v>16630</v>
      </c>
      <c r="D2868" s="160">
        <v>5000</v>
      </c>
      <c r="E2868" s="161">
        <f>SUM(D2868*10)</f>
        <v>50000</v>
      </c>
    </row>
    <row r="2869" ht="16.5" spans="1:5">
      <c r="A2869" s="151">
        <v>2868</v>
      </c>
      <c r="B2869" s="152" t="s">
        <v>9584</v>
      </c>
      <c r="C2869" s="160" t="s">
        <v>16630</v>
      </c>
      <c r="D2869" s="160">
        <v>200</v>
      </c>
      <c r="E2869" s="161">
        <f>SUM(D2869*100)</f>
        <v>20000</v>
      </c>
    </row>
    <row r="2870" ht="16.5" spans="1:5">
      <c r="A2870" s="151">
        <v>2869</v>
      </c>
      <c r="B2870" s="152" t="s">
        <v>9588</v>
      </c>
      <c r="C2870" s="160" t="s">
        <v>16630</v>
      </c>
      <c r="D2870" s="160">
        <v>100</v>
      </c>
      <c r="E2870" s="161">
        <f>SUM(D2870*100)</f>
        <v>10000</v>
      </c>
    </row>
    <row r="2871" ht="16.5" spans="1:5">
      <c r="A2871" s="151">
        <v>2870</v>
      </c>
      <c r="B2871" s="152" t="s">
        <v>9591</v>
      </c>
      <c r="C2871" s="153" t="s">
        <v>16629</v>
      </c>
      <c r="D2871" s="154">
        <v>10</v>
      </c>
      <c r="E2871" s="155">
        <f>+D2871*100</f>
        <v>1000</v>
      </c>
    </row>
    <row r="2872" ht="16.5" spans="1:5">
      <c r="A2872" s="151">
        <v>2871</v>
      </c>
      <c r="B2872" s="152" t="s">
        <v>9594</v>
      </c>
      <c r="C2872" s="162" t="s">
        <v>16631</v>
      </c>
      <c r="D2872" s="163">
        <v>1000</v>
      </c>
      <c r="E2872" s="163">
        <f>D2872*100</f>
        <v>100000</v>
      </c>
    </row>
    <row r="2873" ht="16.5" spans="1:5">
      <c r="A2873" s="151">
        <v>2872</v>
      </c>
      <c r="B2873" s="152" t="s">
        <v>9598</v>
      </c>
      <c r="C2873" s="153" t="s">
        <v>16629</v>
      </c>
      <c r="D2873" s="154">
        <v>10</v>
      </c>
      <c r="E2873" s="155">
        <f>+D2873*100</f>
        <v>1000</v>
      </c>
    </row>
    <row r="2874" ht="16.5" spans="1:5">
      <c r="A2874" s="151">
        <v>2873</v>
      </c>
      <c r="B2874" s="152" t="s">
        <v>9602</v>
      </c>
      <c r="C2874" s="160" t="s">
        <v>16630</v>
      </c>
      <c r="D2874" s="160">
        <v>10</v>
      </c>
      <c r="E2874" s="161">
        <f>SUM(D2874*100)</f>
        <v>1000</v>
      </c>
    </row>
    <row r="2875" ht="16.5" spans="1:5">
      <c r="A2875" s="151">
        <v>2874</v>
      </c>
      <c r="B2875" s="152" t="s">
        <v>9606</v>
      </c>
      <c r="C2875" s="160" t="s">
        <v>16630</v>
      </c>
      <c r="D2875" s="160">
        <v>10</v>
      </c>
      <c r="E2875" s="161">
        <f>SUM(D2875*100)</f>
        <v>1000</v>
      </c>
    </row>
    <row r="2876" ht="16.5" spans="1:5">
      <c r="A2876" s="151">
        <v>2875</v>
      </c>
      <c r="B2876" s="152" t="s">
        <v>9610</v>
      </c>
      <c r="C2876" s="160" t="s">
        <v>16630</v>
      </c>
      <c r="D2876" s="160">
        <v>10</v>
      </c>
      <c r="E2876" s="161">
        <f>SUM(D2876*100)</f>
        <v>1000</v>
      </c>
    </row>
    <row r="2877" ht="16.5" spans="1:5">
      <c r="A2877" s="151">
        <v>2876</v>
      </c>
      <c r="B2877" s="152" t="s">
        <v>9614</v>
      </c>
      <c r="C2877" s="160" t="s">
        <v>16630</v>
      </c>
      <c r="D2877" s="160">
        <v>10</v>
      </c>
      <c r="E2877" s="161">
        <f>SUM(D2877*100)</f>
        <v>1000</v>
      </c>
    </row>
    <row r="2878" ht="16.5" spans="1:5">
      <c r="A2878" s="151">
        <v>2877</v>
      </c>
      <c r="B2878" s="152" t="s">
        <v>9618</v>
      </c>
      <c r="C2878" s="160" t="s">
        <v>16630</v>
      </c>
      <c r="D2878" s="160">
        <v>20</v>
      </c>
      <c r="E2878" s="161">
        <f>SUM(D2878*100)</f>
        <v>2000</v>
      </c>
    </row>
    <row r="2879" ht="16.5" spans="1:5">
      <c r="A2879" s="151">
        <v>2878</v>
      </c>
      <c r="B2879" s="152" t="s">
        <v>9622</v>
      </c>
      <c r="C2879" s="156" t="s">
        <v>16629</v>
      </c>
      <c r="D2879" s="159">
        <v>10</v>
      </c>
      <c r="E2879" s="155">
        <f>+D2879*100</f>
        <v>1000</v>
      </c>
    </row>
    <row r="2880" ht="16.5" spans="1:5">
      <c r="A2880" s="151">
        <v>2879</v>
      </c>
      <c r="B2880" s="152" t="s">
        <v>9626</v>
      </c>
      <c r="C2880" s="160" t="s">
        <v>16630</v>
      </c>
      <c r="D2880" s="160">
        <v>22</v>
      </c>
      <c r="E2880" s="161">
        <f t="shared" ref="E2880:E2885" si="98">SUM(D2880*100)</f>
        <v>2200</v>
      </c>
    </row>
    <row r="2881" ht="16.5" spans="1:5">
      <c r="A2881" s="151">
        <v>2880</v>
      </c>
      <c r="B2881" s="152" t="s">
        <v>9630</v>
      </c>
      <c r="C2881" s="160" t="s">
        <v>16630</v>
      </c>
      <c r="D2881" s="164">
        <v>20</v>
      </c>
      <c r="E2881" s="161">
        <f t="shared" si="98"/>
        <v>2000</v>
      </c>
    </row>
    <row r="2882" ht="16.5" spans="1:5">
      <c r="A2882" s="151">
        <v>2881</v>
      </c>
      <c r="B2882" s="152" t="s">
        <v>9633</v>
      </c>
      <c r="C2882" s="160" t="s">
        <v>16630</v>
      </c>
      <c r="D2882" s="160">
        <v>80</v>
      </c>
      <c r="E2882" s="161">
        <f t="shared" si="98"/>
        <v>8000</v>
      </c>
    </row>
    <row r="2883" ht="16.5" spans="1:5">
      <c r="A2883" s="151">
        <v>2882</v>
      </c>
      <c r="B2883" s="152" t="s">
        <v>9636</v>
      </c>
      <c r="C2883" s="160" t="s">
        <v>16630</v>
      </c>
      <c r="D2883" s="160">
        <v>100</v>
      </c>
      <c r="E2883" s="161">
        <f t="shared" si="98"/>
        <v>10000</v>
      </c>
    </row>
    <row r="2884" ht="16.5" spans="1:5">
      <c r="A2884" s="151">
        <v>2883</v>
      </c>
      <c r="B2884" s="152" t="s">
        <v>9639</v>
      </c>
      <c r="C2884" s="160" t="s">
        <v>16630</v>
      </c>
      <c r="D2884" s="160">
        <v>10</v>
      </c>
      <c r="E2884" s="161">
        <f t="shared" si="98"/>
        <v>1000</v>
      </c>
    </row>
    <row r="2885" ht="16.5" spans="1:5">
      <c r="A2885" s="151">
        <v>2884</v>
      </c>
      <c r="B2885" s="152" t="s">
        <v>9644</v>
      </c>
      <c r="C2885" s="160" t="s">
        <v>16630</v>
      </c>
      <c r="D2885" s="160">
        <v>1000</v>
      </c>
      <c r="E2885" s="161">
        <f t="shared" si="98"/>
        <v>100000</v>
      </c>
    </row>
    <row r="2886" ht="16.5" spans="1:5">
      <c r="A2886" s="151">
        <v>2885</v>
      </c>
      <c r="B2886" s="152" t="s">
        <v>9648</v>
      </c>
      <c r="C2886" s="153" t="s">
        <v>16629</v>
      </c>
      <c r="D2886" s="154">
        <v>10</v>
      </c>
      <c r="E2886" s="155">
        <f>+D2886*100</f>
        <v>1000</v>
      </c>
    </row>
    <row r="2887" ht="16.5" spans="1:5">
      <c r="A2887" s="151">
        <v>2886</v>
      </c>
      <c r="B2887" s="152" t="s">
        <v>9651</v>
      </c>
      <c r="C2887" s="153" t="s">
        <v>16629</v>
      </c>
      <c r="D2887" s="154">
        <v>10</v>
      </c>
      <c r="E2887" s="155">
        <f>+D2887*100</f>
        <v>1000</v>
      </c>
    </row>
    <row r="2888" ht="16.5" spans="1:5">
      <c r="A2888" s="151">
        <v>2887</v>
      </c>
      <c r="B2888" s="152" t="s">
        <v>9654</v>
      </c>
      <c r="C2888" s="156" t="s">
        <v>16629</v>
      </c>
      <c r="D2888" s="159">
        <v>10</v>
      </c>
      <c r="E2888" s="155">
        <f>+D2888*100</f>
        <v>1000</v>
      </c>
    </row>
    <row r="2889" ht="16.5" spans="1:5">
      <c r="A2889" s="151">
        <v>2888</v>
      </c>
      <c r="B2889" s="152" t="s">
        <v>9657</v>
      </c>
      <c r="C2889" s="156" t="s">
        <v>16629</v>
      </c>
      <c r="D2889" s="159">
        <v>10</v>
      </c>
      <c r="E2889" s="155">
        <f>+D2889*100</f>
        <v>1000</v>
      </c>
    </row>
    <row r="2890" ht="16.5" spans="1:5">
      <c r="A2890" s="151">
        <v>2889</v>
      </c>
      <c r="B2890" s="152" t="s">
        <v>9660</v>
      </c>
      <c r="C2890" s="162" t="s">
        <v>16631</v>
      </c>
      <c r="D2890" s="163">
        <v>1000</v>
      </c>
      <c r="E2890" s="163">
        <f>D2890*100</f>
        <v>100000</v>
      </c>
    </row>
    <row r="2891" ht="16.5" spans="1:5">
      <c r="A2891" s="151">
        <v>2890</v>
      </c>
      <c r="B2891" s="152" t="s">
        <v>9664</v>
      </c>
      <c r="C2891" s="166" t="s">
        <v>16632</v>
      </c>
      <c r="D2891" s="166">
        <f>IFERROR(__xludf.DUMMYFUNCTION("""COMPUTED_VALUE"""),10000)</f>
        <v>10000</v>
      </c>
      <c r="E2891" s="168">
        <f>IFERROR(__xludf.DUMMYFUNCTION("""COMPUTED_VALUE"""),1500000)</f>
        <v>1500000</v>
      </c>
    </row>
    <row r="2892" ht="16.5" spans="1:5">
      <c r="A2892" s="151">
        <v>2891</v>
      </c>
      <c r="B2892" s="152" t="s">
        <v>9664</v>
      </c>
      <c r="C2892" s="166" t="s">
        <v>16632</v>
      </c>
      <c r="D2892" s="166">
        <f>IFERROR(__xludf.DUMMYFUNCTION("""COMPUTED_VALUE"""),10000)</f>
        <v>10000</v>
      </c>
      <c r="E2892" s="168">
        <f>IFERROR(__xludf.DUMMYFUNCTION("""COMPUTED_VALUE"""),1500000)</f>
        <v>1500000</v>
      </c>
    </row>
    <row r="2893" ht="16.5" spans="1:5">
      <c r="A2893" s="151">
        <v>2892</v>
      </c>
      <c r="B2893" s="152" t="s">
        <v>9664</v>
      </c>
      <c r="C2893" s="166" t="s">
        <v>16632</v>
      </c>
      <c r="D2893" s="166">
        <f>IFERROR(__xludf.DUMMYFUNCTION("""COMPUTED_VALUE"""),10000)</f>
        <v>10000</v>
      </c>
      <c r="E2893" s="168">
        <f>IFERROR(__xludf.DUMMYFUNCTION("""COMPUTED_VALUE"""),1500000)</f>
        <v>1500000</v>
      </c>
    </row>
    <row r="2894" ht="16.5" spans="1:5">
      <c r="A2894" s="151">
        <v>2893</v>
      </c>
      <c r="B2894" s="152" t="s">
        <v>9665</v>
      </c>
      <c r="C2894" s="162" t="s">
        <v>16631</v>
      </c>
      <c r="D2894" s="163">
        <v>2000</v>
      </c>
      <c r="E2894" s="163">
        <f>D2894*100</f>
        <v>200000</v>
      </c>
    </row>
    <row r="2895" ht="16.5" spans="1:5">
      <c r="A2895" s="151">
        <v>2894</v>
      </c>
      <c r="B2895" s="152" t="s">
        <v>9670</v>
      </c>
      <c r="C2895" s="160" t="s">
        <v>16630</v>
      </c>
      <c r="D2895" s="160">
        <v>80</v>
      </c>
      <c r="E2895" s="161">
        <f>SUM(D2895*100)</f>
        <v>8000</v>
      </c>
    </row>
    <row r="2896" ht="16.5" spans="1:5">
      <c r="A2896" s="151">
        <v>2895</v>
      </c>
      <c r="B2896" s="152" t="s">
        <v>9673</v>
      </c>
      <c r="C2896" s="160" t="s">
        <v>16630</v>
      </c>
      <c r="D2896" s="160">
        <v>100</v>
      </c>
      <c r="E2896" s="161">
        <f>SUM(D2896*100)</f>
        <v>10000</v>
      </c>
    </row>
    <row r="2897" ht="16.5" spans="1:5">
      <c r="A2897" s="151">
        <v>2896</v>
      </c>
      <c r="B2897" s="152" t="s">
        <v>9677</v>
      </c>
      <c r="C2897" s="160" t="s">
        <v>16630</v>
      </c>
      <c r="D2897" s="160">
        <v>200</v>
      </c>
      <c r="E2897" s="161">
        <f>SUM(D2897*100)</f>
        <v>20000</v>
      </c>
    </row>
    <row r="2898" ht="16.5" spans="1:5">
      <c r="A2898" s="151">
        <v>2897</v>
      </c>
      <c r="B2898" s="152" t="s">
        <v>9681</v>
      </c>
      <c r="C2898" s="156" t="s">
        <v>16629</v>
      </c>
      <c r="D2898" s="157">
        <v>10</v>
      </c>
      <c r="E2898" s="155">
        <f>+D2898*100</f>
        <v>1000</v>
      </c>
    </row>
    <row r="2899" ht="16.5" spans="1:5">
      <c r="A2899" s="151">
        <v>2898</v>
      </c>
      <c r="B2899" s="152" t="s">
        <v>9684</v>
      </c>
      <c r="C2899" s="156" t="s">
        <v>16629</v>
      </c>
      <c r="D2899" s="159">
        <v>10</v>
      </c>
      <c r="E2899" s="155">
        <f>+D2899*100</f>
        <v>1000</v>
      </c>
    </row>
    <row r="2900" ht="16.5" spans="1:5">
      <c r="A2900" s="151">
        <v>2899</v>
      </c>
      <c r="B2900" s="152" t="s">
        <v>9688</v>
      </c>
      <c r="C2900" s="160" t="s">
        <v>16630</v>
      </c>
      <c r="D2900" s="41">
        <v>100</v>
      </c>
      <c r="E2900" s="161">
        <f>SUM(D2900*100)</f>
        <v>10000</v>
      </c>
    </row>
    <row r="2901" ht="16.5" spans="1:5">
      <c r="A2901" s="151">
        <v>2900</v>
      </c>
      <c r="B2901" s="152" t="s">
        <v>9691</v>
      </c>
      <c r="C2901" s="156" t="s">
        <v>16629</v>
      </c>
      <c r="D2901" s="159">
        <v>20</v>
      </c>
      <c r="E2901" s="155">
        <f>+D2901*100</f>
        <v>2000</v>
      </c>
    </row>
    <row r="2902" ht="16.5" spans="1:5">
      <c r="A2902" s="151">
        <v>2901</v>
      </c>
      <c r="B2902" s="152" t="s">
        <v>9695</v>
      </c>
      <c r="C2902" s="160" t="s">
        <v>16630</v>
      </c>
      <c r="D2902" s="160">
        <v>20</v>
      </c>
      <c r="E2902" s="161">
        <f>SUM(D2902*100)</f>
        <v>2000</v>
      </c>
    </row>
    <row r="2903" ht="16.5" spans="1:5">
      <c r="A2903" s="151">
        <v>2902</v>
      </c>
      <c r="B2903" s="152" t="s">
        <v>9699</v>
      </c>
      <c r="C2903" s="156" t="s">
        <v>16629</v>
      </c>
      <c r="D2903" s="159">
        <v>10</v>
      </c>
      <c r="E2903" s="155">
        <f t="shared" ref="E2903:E2908" si="99">+D2903*100</f>
        <v>1000</v>
      </c>
    </row>
    <row r="2904" ht="16.5" spans="1:5">
      <c r="A2904" s="151">
        <v>2903</v>
      </c>
      <c r="B2904" s="152" t="s">
        <v>9703</v>
      </c>
      <c r="C2904" s="153" t="s">
        <v>16629</v>
      </c>
      <c r="D2904" s="158">
        <v>10</v>
      </c>
      <c r="E2904" s="155">
        <f t="shared" si="99"/>
        <v>1000</v>
      </c>
    </row>
    <row r="2905" ht="16.5" spans="1:5">
      <c r="A2905" s="151">
        <v>2904</v>
      </c>
      <c r="B2905" s="152" t="s">
        <v>9706</v>
      </c>
      <c r="C2905" s="156" t="s">
        <v>16629</v>
      </c>
      <c r="D2905" s="159">
        <v>10</v>
      </c>
      <c r="E2905" s="155">
        <f t="shared" si="99"/>
        <v>1000</v>
      </c>
    </row>
    <row r="2906" ht="16.5" spans="1:5">
      <c r="A2906" s="151">
        <v>2905</v>
      </c>
      <c r="B2906" s="152" t="s">
        <v>9709</v>
      </c>
      <c r="C2906" s="153" t="s">
        <v>16629</v>
      </c>
      <c r="D2906" s="154">
        <v>10</v>
      </c>
      <c r="E2906" s="155">
        <f t="shared" si="99"/>
        <v>1000</v>
      </c>
    </row>
    <row r="2907" ht="16.5" spans="1:5">
      <c r="A2907" s="151">
        <v>2906</v>
      </c>
      <c r="B2907" s="152" t="s">
        <v>9713</v>
      </c>
      <c r="C2907" s="156" t="s">
        <v>16629</v>
      </c>
      <c r="D2907" s="159">
        <v>10</v>
      </c>
      <c r="E2907" s="155">
        <f t="shared" si="99"/>
        <v>1000</v>
      </c>
    </row>
    <row r="2908" ht="16.5" spans="1:5">
      <c r="A2908" s="151">
        <v>2907</v>
      </c>
      <c r="B2908" s="152" t="s">
        <v>9717</v>
      </c>
      <c r="C2908" s="156" t="s">
        <v>16629</v>
      </c>
      <c r="D2908" s="159">
        <v>10</v>
      </c>
      <c r="E2908" s="155">
        <f t="shared" si="99"/>
        <v>1000</v>
      </c>
    </row>
    <row r="2909" ht="16.5" spans="1:5">
      <c r="A2909" s="151">
        <v>2908</v>
      </c>
      <c r="B2909" s="152" t="s">
        <v>9721</v>
      </c>
      <c r="C2909" s="160" t="s">
        <v>16630</v>
      </c>
      <c r="D2909" s="160">
        <v>100</v>
      </c>
      <c r="E2909" s="161">
        <f>SUM(D2909*100)</f>
        <v>10000</v>
      </c>
    </row>
    <row r="2910" ht="16.5" spans="1:5">
      <c r="A2910" s="151">
        <v>2909</v>
      </c>
      <c r="B2910" s="152" t="s">
        <v>9725</v>
      </c>
      <c r="C2910" s="166" t="s">
        <v>16632</v>
      </c>
      <c r="D2910" s="166">
        <f>IFERROR(__xludf.DUMMYFUNCTION("""COMPUTED_VALUE"""),10000)</f>
        <v>10000</v>
      </c>
      <c r="E2910" s="168">
        <f>IFERROR(__xludf.DUMMYFUNCTION("""COMPUTED_VALUE"""),1500000)</f>
        <v>1500000</v>
      </c>
    </row>
    <row r="2911" ht="16.5" spans="1:5">
      <c r="A2911" s="151">
        <v>2910</v>
      </c>
      <c r="B2911" s="152" t="s">
        <v>9726</v>
      </c>
      <c r="C2911" s="160" t="s">
        <v>16630</v>
      </c>
      <c r="D2911" s="160">
        <v>100</v>
      </c>
      <c r="E2911" s="161">
        <f>SUM(D2911*100)</f>
        <v>10000</v>
      </c>
    </row>
    <row r="2912" ht="16.5" spans="1:5">
      <c r="A2912" s="151">
        <v>2911</v>
      </c>
      <c r="B2912" s="152" t="s">
        <v>9730</v>
      </c>
      <c r="C2912" s="160" t="s">
        <v>16630</v>
      </c>
      <c r="D2912" s="160">
        <v>10</v>
      </c>
      <c r="E2912" s="161">
        <f>SUM(D2912*100)</f>
        <v>1000</v>
      </c>
    </row>
    <row r="2913" ht="16.5" spans="1:5">
      <c r="A2913" s="151">
        <v>2912</v>
      </c>
      <c r="B2913" s="152" t="s">
        <v>9733</v>
      </c>
      <c r="C2913" s="153" t="s">
        <v>16629</v>
      </c>
      <c r="D2913" s="154">
        <v>10</v>
      </c>
      <c r="E2913" s="155">
        <f>+D2913*100</f>
        <v>1000</v>
      </c>
    </row>
    <row r="2914" ht="16.5" spans="1:5">
      <c r="A2914" s="151">
        <v>2913</v>
      </c>
      <c r="B2914" s="152" t="s">
        <v>9736</v>
      </c>
      <c r="C2914" s="160" t="s">
        <v>16630</v>
      </c>
      <c r="D2914" s="160">
        <v>300</v>
      </c>
      <c r="E2914" s="161">
        <f>SUM(D2914*100)</f>
        <v>30000</v>
      </c>
    </row>
    <row r="2915" ht="16.5" spans="1:5">
      <c r="A2915" s="151">
        <v>2914</v>
      </c>
      <c r="B2915" s="152" t="s">
        <v>9740</v>
      </c>
      <c r="C2915" s="156" t="s">
        <v>16629</v>
      </c>
      <c r="D2915" s="158">
        <v>10</v>
      </c>
      <c r="E2915" s="155">
        <f>+D2915*100</f>
        <v>1000</v>
      </c>
    </row>
    <row r="2916" ht="16.5" spans="1:5">
      <c r="A2916" s="151">
        <v>2915</v>
      </c>
      <c r="B2916" s="152" t="s">
        <v>9743</v>
      </c>
      <c r="C2916" s="166" t="s">
        <v>16632</v>
      </c>
      <c r="D2916" s="166">
        <f>IFERROR(__xludf.DUMMYFUNCTION("""COMPUTED_VALUE"""),10000)</f>
        <v>10000</v>
      </c>
      <c r="E2916" s="168">
        <f>IFERROR(__xludf.DUMMYFUNCTION("""COMPUTED_VALUE"""),1500000)</f>
        <v>1500000</v>
      </c>
    </row>
    <row r="2917" ht="16.5" spans="1:5">
      <c r="A2917" s="151">
        <v>2916</v>
      </c>
      <c r="B2917" s="152" t="s">
        <v>9744</v>
      </c>
      <c r="C2917" s="160" t="s">
        <v>16630</v>
      </c>
      <c r="D2917" s="160">
        <v>50</v>
      </c>
      <c r="E2917" s="161">
        <f>SUM(D2917*100)</f>
        <v>5000</v>
      </c>
    </row>
    <row r="2918" ht="16.5" spans="1:5">
      <c r="A2918" s="151">
        <v>2917</v>
      </c>
      <c r="B2918" s="152" t="s">
        <v>9748</v>
      </c>
      <c r="C2918" s="160" t="s">
        <v>16630</v>
      </c>
      <c r="D2918" s="160">
        <v>10</v>
      </c>
      <c r="E2918" s="161">
        <f>SUM(D2918*100)</f>
        <v>1000</v>
      </c>
    </row>
    <row r="2919" ht="16.5" spans="1:5">
      <c r="A2919" s="151">
        <v>2918</v>
      </c>
      <c r="B2919" s="152" t="s">
        <v>9751</v>
      </c>
      <c r="C2919" s="153" t="s">
        <v>16629</v>
      </c>
      <c r="D2919" s="158">
        <v>10</v>
      </c>
      <c r="E2919" s="155">
        <f t="shared" ref="E2919:E2925" si="100">+D2919*100</f>
        <v>1000</v>
      </c>
    </row>
    <row r="2920" ht="16.5" spans="1:5">
      <c r="A2920" s="151">
        <v>2919</v>
      </c>
      <c r="B2920" s="152" t="s">
        <v>9754</v>
      </c>
      <c r="C2920" s="156" t="s">
        <v>16629</v>
      </c>
      <c r="D2920" s="159">
        <v>10</v>
      </c>
      <c r="E2920" s="155">
        <f t="shared" si="100"/>
        <v>1000</v>
      </c>
    </row>
    <row r="2921" ht="16.5" spans="1:5">
      <c r="A2921" s="151">
        <v>2920</v>
      </c>
      <c r="B2921" s="152" t="s">
        <v>9757</v>
      </c>
      <c r="C2921" s="156" t="s">
        <v>16629</v>
      </c>
      <c r="D2921" s="158">
        <v>10</v>
      </c>
      <c r="E2921" s="155">
        <f t="shared" si="100"/>
        <v>1000</v>
      </c>
    </row>
    <row r="2922" ht="16.5" spans="1:5">
      <c r="A2922" s="151">
        <v>2921</v>
      </c>
      <c r="B2922" s="152" t="s">
        <v>9760</v>
      </c>
      <c r="C2922" s="153" t="s">
        <v>16629</v>
      </c>
      <c r="D2922" s="154">
        <v>10</v>
      </c>
      <c r="E2922" s="155">
        <f t="shared" si="100"/>
        <v>1000</v>
      </c>
    </row>
    <row r="2923" ht="16.5" spans="1:5">
      <c r="A2923" s="151">
        <v>2922</v>
      </c>
      <c r="B2923" s="152" t="s">
        <v>9763</v>
      </c>
      <c r="C2923" s="156" t="s">
        <v>16629</v>
      </c>
      <c r="D2923" s="157">
        <v>10</v>
      </c>
      <c r="E2923" s="155">
        <f t="shared" si="100"/>
        <v>1000</v>
      </c>
    </row>
    <row r="2924" ht="16.5" spans="1:5">
      <c r="A2924" s="151">
        <v>2923</v>
      </c>
      <c r="B2924" s="152" t="s">
        <v>9766</v>
      </c>
      <c r="C2924" s="153" t="s">
        <v>16629</v>
      </c>
      <c r="D2924" s="154">
        <v>10</v>
      </c>
      <c r="E2924" s="155">
        <f t="shared" si="100"/>
        <v>1000</v>
      </c>
    </row>
    <row r="2925" ht="16.5" spans="1:5">
      <c r="A2925" s="151">
        <v>2924</v>
      </c>
      <c r="B2925" s="152" t="s">
        <v>9769</v>
      </c>
      <c r="C2925" s="156" t="s">
        <v>16629</v>
      </c>
      <c r="D2925" s="157">
        <v>10</v>
      </c>
      <c r="E2925" s="155">
        <f t="shared" si="100"/>
        <v>1000</v>
      </c>
    </row>
    <row r="2926" ht="16.5" spans="1:5">
      <c r="A2926" s="151">
        <v>2925</v>
      </c>
      <c r="B2926" s="152" t="s">
        <v>9772</v>
      </c>
      <c r="C2926" s="160" t="s">
        <v>16630</v>
      </c>
      <c r="D2926" s="160">
        <v>30</v>
      </c>
      <c r="E2926" s="161">
        <f>SUM(D2926*100)</f>
        <v>3000</v>
      </c>
    </row>
    <row r="2927" ht="16.5" spans="1:5">
      <c r="A2927" s="151">
        <v>2926</v>
      </c>
      <c r="B2927" s="152" t="s">
        <v>9775</v>
      </c>
      <c r="C2927" s="156" t="s">
        <v>16629</v>
      </c>
      <c r="D2927" s="159">
        <v>10</v>
      </c>
      <c r="E2927" s="155">
        <f>+D2927*100</f>
        <v>1000</v>
      </c>
    </row>
    <row r="2928" ht="16.5" spans="1:5">
      <c r="A2928" s="151">
        <v>2927</v>
      </c>
      <c r="B2928" s="152" t="s">
        <v>9778</v>
      </c>
      <c r="C2928" s="153" t="s">
        <v>16629</v>
      </c>
      <c r="D2928" s="158">
        <v>10</v>
      </c>
      <c r="E2928" s="155">
        <f>+D2928*100</f>
        <v>1000</v>
      </c>
    </row>
    <row r="2929" ht="16.5" spans="1:5">
      <c r="A2929" s="151">
        <v>2928</v>
      </c>
      <c r="B2929" s="152" t="s">
        <v>9781</v>
      </c>
      <c r="C2929" s="160" t="s">
        <v>16630</v>
      </c>
      <c r="D2929" s="160">
        <v>10</v>
      </c>
      <c r="E2929" s="161">
        <f>SUM(D2929*100)</f>
        <v>1000</v>
      </c>
    </row>
    <row r="2930" ht="16.5" spans="1:5">
      <c r="A2930" s="151">
        <v>2929</v>
      </c>
      <c r="B2930" s="152" t="s">
        <v>9785</v>
      </c>
      <c r="C2930" s="160" t="s">
        <v>16630</v>
      </c>
      <c r="D2930" s="160">
        <v>185</v>
      </c>
      <c r="E2930" s="161">
        <f>SUM(D2930*100)</f>
        <v>18500</v>
      </c>
    </row>
    <row r="2931" ht="16.5" spans="1:5">
      <c r="A2931" s="151">
        <v>2930</v>
      </c>
      <c r="B2931" s="152" t="s">
        <v>9790</v>
      </c>
      <c r="C2931" s="153" t="s">
        <v>16629</v>
      </c>
      <c r="D2931" s="154">
        <v>10</v>
      </c>
      <c r="E2931" s="155">
        <f t="shared" ref="E2931:E2936" si="101">+D2931*100</f>
        <v>1000</v>
      </c>
    </row>
    <row r="2932" ht="16.5" spans="1:5">
      <c r="A2932" s="151">
        <v>2931</v>
      </c>
      <c r="B2932" s="152" t="s">
        <v>9793</v>
      </c>
      <c r="C2932" s="160" t="s">
        <v>16630</v>
      </c>
      <c r="D2932" s="172">
        <v>10</v>
      </c>
      <c r="E2932" s="161">
        <f t="shared" si="101"/>
        <v>1000</v>
      </c>
    </row>
    <row r="2933" ht="16.5" spans="1:5">
      <c r="A2933" s="151">
        <v>2932</v>
      </c>
      <c r="B2933" s="152" t="s">
        <v>9796</v>
      </c>
      <c r="C2933" s="153" t="s">
        <v>16629</v>
      </c>
      <c r="D2933" s="154">
        <v>10</v>
      </c>
      <c r="E2933" s="155">
        <f t="shared" si="101"/>
        <v>1000</v>
      </c>
    </row>
    <row r="2934" ht="16.5" spans="1:5">
      <c r="A2934" s="151">
        <v>2933</v>
      </c>
      <c r="B2934" s="152" t="s">
        <v>9800</v>
      </c>
      <c r="C2934" s="156" t="s">
        <v>16629</v>
      </c>
      <c r="D2934" s="159">
        <v>10</v>
      </c>
      <c r="E2934" s="155">
        <f t="shared" si="101"/>
        <v>1000</v>
      </c>
    </row>
    <row r="2935" ht="16.5" spans="1:5">
      <c r="A2935" s="151">
        <v>2934</v>
      </c>
      <c r="B2935" s="152" t="s">
        <v>9804</v>
      </c>
      <c r="C2935" s="153" t="s">
        <v>16629</v>
      </c>
      <c r="D2935" s="154">
        <v>10</v>
      </c>
      <c r="E2935" s="155">
        <f t="shared" si="101"/>
        <v>1000</v>
      </c>
    </row>
    <row r="2936" ht="16.5" spans="1:5">
      <c r="A2936" s="151">
        <v>2935</v>
      </c>
      <c r="B2936" s="152" t="s">
        <v>9807</v>
      </c>
      <c r="C2936" s="156" t="s">
        <v>16629</v>
      </c>
      <c r="D2936" s="157">
        <v>10</v>
      </c>
      <c r="E2936" s="155">
        <f t="shared" si="101"/>
        <v>1000</v>
      </c>
    </row>
    <row r="2937" ht="16.5" spans="1:5">
      <c r="A2937" s="151">
        <v>2936</v>
      </c>
      <c r="B2937" s="152" t="s">
        <v>9810</v>
      </c>
      <c r="C2937" s="160" t="s">
        <v>16630</v>
      </c>
      <c r="D2937" s="160">
        <v>100</v>
      </c>
      <c r="E2937" s="161">
        <f>SUM(D2937*100)</f>
        <v>10000</v>
      </c>
    </row>
    <row r="2938" ht="16.5" spans="1:5">
      <c r="A2938" s="151">
        <v>2937</v>
      </c>
      <c r="B2938" s="152" t="s">
        <v>9815</v>
      </c>
      <c r="C2938" s="153" t="s">
        <v>16629</v>
      </c>
      <c r="D2938" s="154">
        <v>10</v>
      </c>
      <c r="E2938" s="155">
        <f>+D2938*100</f>
        <v>1000</v>
      </c>
    </row>
    <row r="2939" ht="16.5" spans="1:5">
      <c r="A2939" s="151">
        <v>2938</v>
      </c>
      <c r="B2939" s="152" t="s">
        <v>9819</v>
      </c>
      <c r="C2939" s="153" t="s">
        <v>16629</v>
      </c>
      <c r="D2939" s="154">
        <v>10</v>
      </c>
      <c r="E2939" s="155">
        <f>+D2939*100</f>
        <v>1000</v>
      </c>
    </row>
    <row r="2940" ht="16.5" spans="1:5">
      <c r="A2940" s="151">
        <v>2939</v>
      </c>
      <c r="B2940" s="152" t="s">
        <v>9822</v>
      </c>
      <c r="C2940" s="153" t="s">
        <v>16629</v>
      </c>
      <c r="D2940" s="154">
        <v>10</v>
      </c>
      <c r="E2940" s="155">
        <f>+D2940*100</f>
        <v>1000</v>
      </c>
    </row>
    <row r="2941" ht="16.5" spans="1:5">
      <c r="A2941" s="151">
        <v>2940</v>
      </c>
      <c r="B2941" s="152" t="s">
        <v>9825</v>
      </c>
      <c r="C2941" s="162" t="s">
        <v>16631</v>
      </c>
      <c r="D2941" s="163">
        <v>1000</v>
      </c>
      <c r="E2941" s="163">
        <f>D2941*100</f>
        <v>100000</v>
      </c>
    </row>
    <row r="2942" ht="16.5" spans="1:5">
      <c r="A2942" s="151">
        <v>2941</v>
      </c>
      <c r="B2942" s="152" t="s">
        <v>9829</v>
      </c>
      <c r="C2942" s="156" t="s">
        <v>16629</v>
      </c>
      <c r="D2942" s="157">
        <v>10</v>
      </c>
      <c r="E2942" s="155">
        <f>+D2942*100</f>
        <v>1000</v>
      </c>
    </row>
    <row r="2943" ht="16.5" spans="1:5">
      <c r="A2943" s="151">
        <v>2942</v>
      </c>
      <c r="B2943" s="152" t="s">
        <v>9833</v>
      </c>
      <c r="C2943" s="166" t="s">
        <v>16632</v>
      </c>
      <c r="D2943" s="151">
        <f>IFERROR(__xludf.DUMMYFUNCTION("""COMPUTED_VALUE"""),10000)</f>
        <v>10000</v>
      </c>
      <c r="E2943" s="167">
        <f>IFERROR(__xludf.DUMMYFUNCTION("""COMPUTED_VALUE"""),1500000)</f>
        <v>1500000</v>
      </c>
    </row>
    <row r="2944" ht="16.5" spans="1:5">
      <c r="A2944" s="151">
        <v>2943</v>
      </c>
      <c r="B2944" s="152" t="s">
        <v>9833</v>
      </c>
      <c r="C2944" s="166" t="s">
        <v>16632</v>
      </c>
      <c r="D2944" s="151">
        <f>IFERROR(__xludf.DUMMYFUNCTION("""COMPUTED_VALUE"""),10000)</f>
        <v>10000</v>
      </c>
      <c r="E2944" s="167">
        <f>IFERROR(__xludf.DUMMYFUNCTION("""COMPUTED_VALUE"""),1500000)</f>
        <v>1500000</v>
      </c>
    </row>
    <row r="2945" ht="16.5" spans="1:5">
      <c r="A2945" s="151">
        <v>2944</v>
      </c>
      <c r="B2945" s="152" t="s">
        <v>9833</v>
      </c>
      <c r="C2945" s="166" t="s">
        <v>16632</v>
      </c>
      <c r="D2945" s="151">
        <f>IFERROR(__xludf.DUMMYFUNCTION("""COMPUTED_VALUE"""),10000)</f>
        <v>10000</v>
      </c>
      <c r="E2945" s="167">
        <f>IFERROR(__xludf.DUMMYFUNCTION("""COMPUTED_VALUE"""),1500000)</f>
        <v>1500000</v>
      </c>
    </row>
    <row r="2946" ht="16.5" spans="1:5">
      <c r="A2946" s="151">
        <v>2945</v>
      </c>
      <c r="B2946" s="152" t="s">
        <v>9833</v>
      </c>
      <c r="C2946" s="166" t="s">
        <v>16632</v>
      </c>
      <c r="D2946" s="151">
        <f>IFERROR(__xludf.DUMMYFUNCTION("""COMPUTED_VALUE"""),10000)</f>
        <v>10000</v>
      </c>
      <c r="E2946" s="167">
        <f>IFERROR(__xludf.DUMMYFUNCTION("""COMPUTED_VALUE"""),1500000)</f>
        <v>1500000</v>
      </c>
    </row>
    <row r="2947" ht="16.5" spans="1:5">
      <c r="A2947" s="151">
        <v>2946</v>
      </c>
      <c r="B2947" s="152" t="s">
        <v>9833</v>
      </c>
      <c r="C2947" s="166" t="s">
        <v>16632</v>
      </c>
      <c r="D2947" s="151">
        <f>IFERROR(__xludf.DUMMYFUNCTION("""COMPUTED_VALUE"""),10000)</f>
        <v>10000</v>
      </c>
      <c r="E2947" s="167">
        <f>IFERROR(__xludf.DUMMYFUNCTION("""COMPUTED_VALUE"""),1500000)</f>
        <v>1500000</v>
      </c>
    </row>
    <row r="2948" ht="16.5" spans="1:5">
      <c r="A2948" s="151">
        <v>2947</v>
      </c>
      <c r="B2948" s="152" t="s">
        <v>9833</v>
      </c>
      <c r="C2948" s="166" t="s">
        <v>16632</v>
      </c>
      <c r="D2948" s="151">
        <f>IFERROR(__xludf.DUMMYFUNCTION("""COMPUTED_VALUE"""),10000)</f>
        <v>10000</v>
      </c>
      <c r="E2948" s="167">
        <f>IFERROR(__xludf.DUMMYFUNCTION("""COMPUTED_VALUE"""),1500000)</f>
        <v>1500000</v>
      </c>
    </row>
    <row r="2949" ht="16.5" spans="1:5">
      <c r="A2949" s="151">
        <v>2948</v>
      </c>
      <c r="B2949" s="152" t="s">
        <v>9834</v>
      </c>
      <c r="C2949" s="156" t="s">
        <v>16629</v>
      </c>
      <c r="D2949" s="157">
        <v>10</v>
      </c>
      <c r="E2949" s="155">
        <f>+D2949*100</f>
        <v>1000</v>
      </c>
    </row>
    <row r="2950" ht="16.5" spans="1:5">
      <c r="A2950" s="151">
        <v>2949</v>
      </c>
      <c r="B2950" s="152" t="s">
        <v>9837</v>
      </c>
      <c r="C2950" s="160" t="s">
        <v>16630</v>
      </c>
      <c r="D2950" s="160">
        <v>2000</v>
      </c>
      <c r="E2950" s="161">
        <f>SUM(D2950*100)</f>
        <v>200000</v>
      </c>
    </row>
    <row r="2951" ht="16.5" spans="1:5">
      <c r="A2951" s="151">
        <v>2950</v>
      </c>
      <c r="B2951" s="152" t="s">
        <v>9842</v>
      </c>
      <c r="C2951" s="160" t="s">
        <v>16630</v>
      </c>
      <c r="D2951" s="160">
        <v>2000</v>
      </c>
      <c r="E2951" s="161">
        <f>SUM(D2951*10)</f>
        <v>20000</v>
      </c>
    </row>
    <row r="2952" ht="16.5" spans="1:5">
      <c r="A2952" s="151">
        <v>2951</v>
      </c>
      <c r="B2952" s="152" t="s">
        <v>9846</v>
      </c>
      <c r="C2952" s="160" t="s">
        <v>16630</v>
      </c>
      <c r="D2952" s="160">
        <v>10</v>
      </c>
      <c r="E2952" s="161">
        <f>SUM(D2952*100)</f>
        <v>1000</v>
      </c>
    </row>
    <row r="2953" ht="16.5" spans="1:5">
      <c r="A2953" s="151">
        <v>2952</v>
      </c>
      <c r="B2953" s="152" t="s">
        <v>9849</v>
      </c>
      <c r="C2953" s="160" t="s">
        <v>16630</v>
      </c>
      <c r="D2953" s="41">
        <v>100</v>
      </c>
      <c r="E2953" s="161">
        <f>SUM(D2953*100)</f>
        <v>10000</v>
      </c>
    </row>
    <row r="2954" ht="16.5" spans="1:5">
      <c r="A2954" s="151">
        <v>2953</v>
      </c>
      <c r="B2954" s="152" t="s">
        <v>9852</v>
      </c>
      <c r="C2954" s="153" t="s">
        <v>16629</v>
      </c>
      <c r="D2954" s="154">
        <v>10</v>
      </c>
      <c r="E2954" s="155">
        <f>+D2954*100</f>
        <v>1000</v>
      </c>
    </row>
    <row r="2955" ht="16.5" spans="1:5">
      <c r="A2955" s="151">
        <v>2954</v>
      </c>
      <c r="B2955" s="152" t="s">
        <v>9855</v>
      </c>
      <c r="C2955" s="156" t="s">
        <v>16629</v>
      </c>
      <c r="D2955" s="159">
        <v>10</v>
      </c>
      <c r="E2955" s="155">
        <f>SUM(D2955*100)</f>
        <v>1000</v>
      </c>
    </row>
    <row r="2956" ht="16.5" spans="1:5">
      <c r="A2956" s="151">
        <v>2955</v>
      </c>
      <c r="B2956" s="152" t="s">
        <v>9859</v>
      </c>
      <c r="C2956" s="160" t="s">
        <v>16630</v>
      </c>
      <c r="D2956" s="160">
        <v>1000</v>
      </c>
      <c r="E2956" s="161">
        <f>SUM(D2956*100)</f>
        <v>100000</v>
      </c>
    </row>
    <row r="2957" ht="16.5" spans="1:5">
      <c r="A2957" s="151">
        <v>2956</v>
      </c>
      <c r="B2957" s="152" t="s">
        <v>9862</v>
      </c>
      <c r="C2957" s="156" t="s">
        <v>16629</v>
      </c>
      <c r="D2957" s="154">
        <v>10</v>
      </c>
      <c r="E2957" s="155">
        <f>+D2957*100</f>
        <v>1000</v>
      </c>
    </row>
    <row r="2958" ht="16.5" spans="1:5">
      <c r="A2958" s="151">
        <v>2957</v>
      </c>
      <c r="B2958" s="152" t="s">
        <v>9865</v>
      </c>
      <c r="C2958" s="153" t="s">
        <v>16629</v>
      </c>
      <c r="D2958" s="154">
        <v>10</v>
      </c>
      <c r="E2958" s="155">
        <f>+D2958*100</f>
        <v>1000</v>
      </c>
    </row>
    <row r="2959" ht="16.5" spans="1:5">
      <c r="A2959" s="151">
        <v>2958</v>
      </c>
      <c r="B2959" s="152" t="s">
        <v>9868</v>
      </c>
      <c r="C2959" s="153" t="s">
        <v>16629</v>
      </c>
      <c r="D2959" s="154">
        <v>10</v>
      </c>
      <c r="E2959" s="155">
        <f>+D2959*100</f>
        <v>1000</v>
      </c>
    </row>
    <row r="2960" ht="16.5" spans="1:5">
      <c r="A2960" s="151">
        <v>2959</v>
      </c>
      <c r="B2960" s="152" t="s">
        <v>9872</v>
      </c>
      <c r="C2960" s="160" t="s">
        <v>16630</v>
      </c>
      <c r="D2960" s="160">
        <v>100</v>
      </c>
      <c r="E2960" s="161">
        <f>SUM(D2960*100)</f>
        <v>10000</v>
      </c>
    </row>
    <row r="2961" ht="16.5" spans="1:5">
      <c r="A2961" s="151">
        <v>2960</v>
      </c>
      <c r="B2961" s="152" t="s">
        <v>9875</v>
      </c>
      <c r="C2961" s="156" t="s">
        <v>16629</v>
      </c>
      <c r="D2961" s="159">
        <v>10</v>
      </c>
      <c r="E2961" s="155">
        <f>+D2961*100</f>
        <v>1000</v>
      </c>
    </row>
    <row r="2962" ht="16.5" spans="1:5">
      <c r="A2962" s="151">
        <v>2961</v>
      </c>
      <c r="B2962" s="152" t="s">
        <v>9878</v>
      </c>
      <c r="C2962" s="162" t="s">
        <v>16633</v>
      </c>
      <c r="D2962" s="171">
        <f>G2962/100</f>
        <v>0</v>
      </c>
      <c r="E2962" s="171">
        <f>G2962</f>
        <v>0</v>
      </c>
    </row>
    <row r="2963" ht="16.5" spans="1:5">
      <c r="A2963" s="151">
        <v>2962</v>
      </c>
      <c r="B2963" s="152" t="s">
        <v>9883</v>
      </c>
      <c r="C2963" s="160" t="s">
        <v>16630</v>
      </c>
      <c r="D2963" s="160">
        <v>200</v>
      </c>
      <c r="E2963" s="161">
        <f t="shared" ref="E2963:E2968" si="102">SUM(D2963*100)</f>
        <v>20000</v>
      </c>
    </row>
    <row r="2964" ht="16.5" spans="1:5">
      <c r="A2964" s="151">
        <v>2963</v>
      </c>
      <c r="B2964" s="152" t="s">
        <v>9887</v>
      </c>
      <c r="C2964" s="160" t="s">
        <v>16630</v>
      </c>
      <c r="D2964" s="41">
        <v>10</v>
      </c>
      <c r="E2964" s="161">
        <f t="shared" si="102"/>
        <v>1000</v>
      </c>
    </row>
    <row r="2965" ht="16.5" spans="1:5">
      <c r="A2965" s="151">
        <v>2964</v>
      </c>
      <c r="B2965" s="152" t="s">
        <v>9890</v>
      </c>
      <c r="C2965" s="160" t="s">
        <v>16630</v>
      </c>
      <c r="D2965" s="160">
        <v>3000</v>
      </c>
      <c r="E2965" s="161">
        <f t="shared" si="102"/>
        <v>300000</v>
      </c>
    </row>
    <row r="2966" ht="16.5" spans="1:5">
      <c r="A2966" s="151">
        <v>2965</v>
      </c>
      <c r="B2966" s="152" t="s">
        <v>9894</v>
      </c>
      <c r="C2966" s="160" t="s">
        <v>16630</v>
      </c>
      <c r="D2966" s="160">
        <v>500</v>
      </c>
      <c r="E2966" s="161">
        <f t="shared" si="102"/>
        <v>50000</v>
      </c>
    </row>
    <row r="2967" ht="16.5" spans="1:5">
      <c r="A2967" s="151">
        <v>2966</v>
      </c>
      <c r="B2967" s="152" t="s">
        <v>9897</v>
      </c>
      <c r="C2967" s="160" t="s">
        <v>16630</v>
      </c>
      <c r="D2967" s="160">
        <v>20</v>
      </c>
      <c r="E2967" s="161">
        <f t="shared" si="102"/>
        <v>2000</v>
      </c>
    </row>
    <row r="2968" ht="16.5" spans="1:5">
      <c r="A2968" s="151">
        <v>2967</v>
      </c>
      <c r="B2968" s="152" t="s">
        <v>9901</v>
      </c>
      <c r="C2968" s="160" t="s">
        <v>16630</v>
      </c>
      <c r="D2968" s="172">
        <v>550</v>
      </c>
      <c r="E2968" s="161">
        <f t="shared" si="102"/>
        <v>55000</v>
      </c>
    </row>
    <row r="2969" ht="16.5" spans="1:5">
      <c r="A2969" s="151">
        <v>2968</v>
      </c>
      <c r="B2969" s="152" t="s">
        <v>9904</v>
      </c>
      <c r="C2969" s="162" t="s">
        <v>16631</v>
      </c>
      <c r="D2969" s="163">
        <v>1000</v>
      </c>
      <c r="E2969" s="163">
        <f>D2969*100</f>
        <v>100000</v>
      </c>
    </row>
    <row r="2970" ht="16.5" spans="1:5">
      <c r="A2970" s="151">
        <v>2969</v>
      </c>
      <c r="B2970" s="152" t="s">
        <v>9908</v>
      </c>
      <c r="C2970" s="153" t="s">
        <v>16629</v>
      </c>
      <c r="D2970" s="154">
        <v>10</v>
      </c>
      <c r="E2970" s="155">
        <f>+D2970*100</f>
        <v>1000</v>
      </c>
    </row>
    <row r="2971" ht="16.5" spans="1:5">
      <c r="A2971" s="151">
        <v>2970</v>
      </c>
      <c r="B2971" s="152" t="s">
        <v>9912</v>
      </c>
      <c r="C2971" s="160" t="s">
        <v>16630</v>
      </c>
      <c r="D2971" s="160">
        <v>10</v>
      </c>
      <c r="E2971" s="161">
        <f>SUM(D2971*100)</f>
        <v>1000</v>
      </c>
    </row>
    <row r="2972" ht="16.5" spans="1:5">
      <c r="A2972" s="151">
        <v>2971</v>
      </c>
      <c r="B2972" s="152" t="s">
        <v>9917</v>
      </c>
      <c r="C2972" s="153" t="s">
        <v>16629</v>
      </c>
      <c r="D2972" s="158">
        <v>10</v>
      </c>
      <c r="E2972" s="155">
        <f>+D2972*100</f>
        <v>1000</v>
      </c>
    </row>
    <row r="2973" ht="16.5" spans="1:5">
      <c r="A2973" s="151">
        <v>2972</v>
      </c>
      <c r="B2973" s="152" t="s">
        <v>9920</v>
      </c>
      <c r="C2973" s="153" t="s">
        <v>16629</v>
      </c>
      <c r="D2973" s="158">
        <v>10</v>
      </c>
      <c r="E2973" s="155">
        <f>+D2973*100</f>
        <v>1000</v>
      </c>
    </row>
    <row r="2974" ht="16.5" spans="1:5">
      <c r="A2974" s="151">
        <v>2973</v>
      </c>
      <c r="B2974" s="152" t="s">
        <v>9923</v>
      </c>
      <c r="C2974" s="153" t="s">
        <v>16629</v>
      </c>
      <c r="D2974" s="154">
        <v>10</v>
      </c>
      <c r="E2974" s="155">
        <f>+D2974*100</f>
        <v>1000</v>
      </c>
    </row>
    <row r="2975" ht="16.5" spans="1:5">
      <c r="A2975" s="151">
        <v>2974</v>
      </c>
      <c r="B2975" s="152" t="s">
        <v>9927</v>
      </c>
      <c r="C2975" s="153" t="s">
        <v>16629</v>
      </c>
      <c r="D2975" s="154">
        <v>10</v>
      </c>
      <c r="E2975" s="155">
        <f>+D2975*100</f>
        <v>1000</v>
      </c>
    </row>
    <row r="2976" ht="16.5" spans="1:5">
      <c r="A2976" s="151">
        <v>2975</v>
      </c>
      <c r="B2976" s="152" t="s">
        <v>9930</v>
      </c>
      <c r="C2976" s="156" t="s">
        <v>16629</v>
      </c>
      <c r="D2976" s="159">
        <v>10</v>
      </c>
      <c r="E2976" s="155">
        <f>+D2976*100</f>
        <v>1000</v>
      </c>
    </row>
    <row r="2977" ht="16.5" spans="1:5">
      <c r="A2977" s="151">
        <v>2976</v>
      </c>
      <c r="B2977" s="152" t="s">
        <v>9933</v>
      </c>
      <c r="C2977" s="160" t="s">
        <v>16630</v>
      </c>
      <c r="D2977" s="160">
        <v>3000</v>
      </c>
      <c r="E2977" s="161">
        <f>SUM(D2977*100)</f>
        <v>300000</v>
      </c>
    </row>
    <row r="2978" ht="16.5" spans="1:5">
      <c r="A2978" s="151">
        <v>2977</v>
      </c>
      <c r="B2978" s="152" t="s">
        <v>9938</v>
      </c>
      <c r="C2978" s="162" t="s">
        <v>16631</v>
      </c>
      <c r="D2978" s="169">
        <v>1000</v>
      </c>
      <c r="E2978" s="170">
        <f>D2978*100</f>
        <v>100000</v>
      </c>
    </row>
    <row r="2979" ht="16.5" spans="1:5">
      <c r="A2979" s="151">
        <v>2978</v>
      </c>
      <c r="B2979" s="152" t="s">
        <v>9940</v>
      </c>
      <c r="C2979" s="156" t="s">
        <v>16629</v>
      </c>
      <c r="D2979" s="159">
        <v>10</v>
      </c>
      <c r="E2979" s="155">
        <f>+D2979*100</f>
        <v>1000</v>
      </c>
    </row>
    <row r="2980" ht="16.5" spans="1:5">
      <c r="A2980" s="151">
        <v>2979</v>
      </c>
      <c r="B2980" s="152" t="s">
        <v>9943</v>
      </c>
      <c r="C2980" s="156" t="s">
        <v>16629</v>
      </c>
      <c r="D2980" s="159">
        <v>10</v>
      </c>
      <c r="E2980" s="155">
        <f>+D2980*100</f>
        <v>1000</v>
      </c>
    </row>
    <row r="2981" ht="16.5" spans="1:5">
      <c r="A2981" s="151">
        <v>2980</v>
      </c>
      <c r="B2981" s="152" t="s">
        <v>9946</v>
      </c>
      <c r="C2981" s="160" t="s">
        <v>16630</v>
      </c>
      <c r="D2981" s="160">
        <v>20</v>
      </c>
      <c r="E2981" s="161">
        <f>SUM(D2981*100)</f>
        <v>2000</v>
      </c>
    </row>
    <row r="2982" ht="16.5" spans="1:5">
      <c r="A2982" s="151">
        <v>2981</v>
      </c>
      <c r="B2982" s="152" t="s">
        <v>9950</v>
      </c>
      <c r="C2982" s="160" t="s">
        <v>16630</v>
      </c>
      <c r="D2982" s="160">
        <v>10</v>
      </c>
      <c r="E2982" s="161">
        <f>SUM(D2982*100)</f>
        <v>1000</v>
      </c>
    </row>
    <row r="2983" ht="16.5" spans="1:5">
      <c r="A2983" s="151">
        <v>2982</v>
      </c>
      <c r="B2983" s="152" t="s">
        <v>9953</v>
      </c>
      <c r="C2983" s="160" t="s">
        <v>16630</v>
      </c>
      <c r="D2983" s="160">
        <v>10</v>
      </c>
      <c r="E2983" s="161">
        <f>SUM(D2983*100)</f>
        <v>1000</v>
      </c>
    </row>
    <row r="2984" ht="16.5" spans="1:5">
      <c r="A2984" s="151">
        <v>2983</v>
      </c>
      <c r="B2984" s="152" t="s">
        <v>9956</v>
      </c>
      <c r="C2984" s="160" t="s">
        <v>16630</v>
      </c>
      <c r="D2984" s="160">
        <v>10</v>
      </c>
      <c r="E2984" s="161">
        <f>SUM(D2984*100)</f>
        <v>1000</v>
      </c>
    </row>
    <row r="2985" ht="16.5" spans="1:5">
      <c r="A2985" s="151">
        <v>2984</v>
      </c>
      <c r="B2985" s="152" t="s">
        <v>9959</v>
      </c>
      <c r="C2985" s="160" t="s">
        <v>16630</v>
      </c>
      <c r="D2985" s="160">
        <v>400</v>
      </c>
      <c r="E2985" s="161">
        <f>SUM(D2985*100)</f>
        <v>40000</v>
      </c>
    </row>
    <row r="2986" ht="16.5" spans="1:5">
      <c r="A2986" s="151">
        <v>2985</v>
      </c>
      <c r="B2986" s="152" t="s">
        <v>9959</v>
      </c>
      <c r="C2986" s="162" t="s">
        <v>16631</v>
      </c>
      <c r="D2986" s="163">
        <v>1000</v>
      </c>
      <c r="E2986" s="163">
        <f>D2986*100</f>
        <v>100000</v>
      </c>
    </row>
    <row r="2987" ht="16.5" spans="1:5">
      <c r="A2987" s="151">
        <v>2986</v>
      </c>
      <c r="B2987" s="152" t="s">
        <v>9963</v>
      </c>
      <c r="C2987" s="156" t="s">
        <v>16629</v>
      </c>
      <c r="D2987" s="157">
        <v>10</v>
      </c>
      <c r="E2987" s="155">
        <f>+D2987*100</f>
        <v>1000</v>
      </c>
    </row>
    <row r="2988" ht="16.5" spans="1:5">
      <c r="A2988" s="151">
        <v>2987</v>
      </c>
      <c r="B2988" s="152" t="s">
        <v>9967</v>
      </c>
      <c r="C2988" s="153" t="s">
        <v>16629</v>
      </c>
      <c r="D2988" s="154">
        <v>10</v>
      </c>
      <c r="E2988" s="155">
        <f>+D2988*100</f>
        <v>1000</v>
      </c>
    </row>
    <row r="2989" ht="16.5" spans="1:5">
      <c r="A2989" s="151">
        <v>2988</v>
      </c>
      <c r="B2989" s="152" t="s">
        <v>9970</v>
      </c>
      <c r="C2989" s="166" t="s">
        <v>16632</v>
      </c>
      <c r="D2989" s="166">
        <f>IFERROR(__xludf.DUMMYFUNCTION("""COMPUTED_VALUE"""),10000)</f>
        <v>10000</v>
      </c>
      <c r="E2989" s="168">
        <f>IFERROR(__xludf.DUMMYFUNCTION("""COMPUTED_VALUE"""),1500000)</f>
        <v>1500000</v>
      </c>
    </row>
    <row r="2990" ht="16.5" spans="1:5">
      <c r="A2990" s="151">
        <v>2989</v>
      </c>
      <c r="B2990" s="152" t="s">
        <v>9970</v>
      </c>
      <c r="C2990" s="166" t="s">
        <v>16632</v>
      </c>
      <c r="D2990" s="166">
        <f>IFERROR(__xludf.DUMMYFUNCTION("""COMPUTED_VALUE"""),10000)</f>
        <v>10000</v>
      </c>
      <c r="E2990" s="168">
        <f>IFERROR(__xludf.DUMMYFUNCTION("""COMPUTED_VALUE"""),1500000)</f>
        <v>1500000</v>
      </c>
    </row>
    <row r="2991" ht="16.5" spans="1:5">
      <c r="A2991" s="151">
        <v>2990</v>
      </c>
      <c r="B2991" s="152" t="s">
        <v>9971</v>
      </c>
      <c r="C2991" s="162" t="s">
        <v>16631</v>
      </c>
      <c r="D2991" s="163">
        <v>1000</v>
      </c>
      <c r="E2991" s="163">
        <f>D2991*100</f>
        <v>100000</v>
      </c>
    </row>
    <row r="2992" ht="16.5" spans="1:5">
      <c r="A2992" s="151">
        <v>2991</v>
      </c>
      <c r="B2992" s="152" t="s">
        <v>9976</v>
      </c>
      <c r="C2992" s="166" t="s">
        <v>16632</v>
      </c>
      <c r="D2992" s="166">
        <f>IFERROR(__xludf.DUMMYFUNCTION("""COMPUTED_VALUE"""),10000)</f>
        <v>10000</v>
      </c>
      <c r="E2992" s="168">
        <f>IFERROR(__xludf.DUMMYFUNCTION("""COMPUTED_VALUE"""),1500000)</f>
        <v>1500000</v>
      </c>
    </row>
    <row r="2993" ht="16.5" spans="1:5">
      <c r="A2993" s="151">
        <v>2992</v>
      </c>
      <c r="B2993" s="152" t="s">
        <v>9977</v>
      </c>
      <c r="C2993" s="160" t="s">
        <v>16630</v>
      </c>
      <c r="D2993" s="160">
        <v>1500</v>
      </c>
      <c r="E2993" s="161">
        <f>SUM(D2993*100)</f>
        <v>150000</v>
      </c>
    </row>
    <row r="2994" ht="16.5" spans="1:5">
      <c r="A2994" s="151">
        <v>2993</v>
      </c>
      <c r="B2994" s="152" t="s">
        <v>9981</v>
      </c>
      <c r="C2994" s="160" t="s">
        <v>16630</v>
      </c>
      <c r="D2994" s="160">
        <v>10000</v>
      </c>
      <c r="E2994" s="161">
        <f>SUM(D2994*10)</f>
        <v>100000</v>
      </c>
    </row>
    <row r="2995" ht="16.5" spans="1:5">
      <c r="A2995" s="151">
        <v>2994</v>
      </c>
      <c r="B2995" s="152" t="s">
        <v>9986</v>
      </c>
      <c r="C2995" s="160" t="s">
        <v>16630</v>
      </c>
      <c r="D2995" s="164">
        <v>300</v>
      </c>
      <c r="E2995" s="161">
        <f>SUM(D2995*100)</f>
        <v>30000</v>
      </c>
    </row>
    <row r="2996" ht="16.5" spans="1:5">
      <c r="A2996" s="151">
        <v>2995</v>
      </c>
      <c r="B2996" s="152" t="s">
        <v>9989</v>
      </c>
      <c r="C2996" s="156" t="s">
        <v>16629</v>
      </c>
      <c r="D2996" s="159">
        <v>10</v>
      </c>
      <c r="E2996" s="155">
        <f>+D2996*100</f>
        <v>1000</v>
      </c>
    </row>
    <row r="2997" ht="16.5" spans="1:5">
      <c r="A2997" s="151">
        <v>2996</v>
      </c>
      <c r="B2997" s="152" t="s">
        <v>9992</v>
      </c>
      <c r="C2997" s="166" t="s">
        <v>16632</v>
      </c>
      <c r="D2997" s="151">
        <f>IFERROR(__xludf.DUMMYFUNCTION("""COMPUTED_VALUE"""),10000)</f>
        <v>10000</v>
      </c>
      <c r="E2997" s="167">
        <f>IFERROR(__xludf.DUMMYFUNCTION("""COMPUTED_VALUE"""),1500000)</f>
        <v>1500000</v>
      </c>
    </row>
    <row r="2998" ht="16.5" spans="1:5">
      <c r="A2998" s="151">
        <v>2997</v>
      </c>
      <c r="B2998" s="152" t="s">
        <v>9993</v>
      </c>
      <c r="C2998" s="160" t="s">
        <v>16630</v>
      </c>
      <c r="D2998" s="160">
        <v>100</v>
      </c>
      <c r="E2998" s="161">
        <f>SUM(D2998*100)</f>
        <v>10000</v>
      </c>
    </row>
    <row r="2999" ht="16.5" spans="1:5">
      <c r="A2999" s="151">
        <v>2998</v>
      </c>
      <c r="B2999" s="152" t="s">
        <v>9996</v>
      </c>
      <c r="C2999" s="160" t="s">
        <v>16630</v>
      </c>
      <c r="D2999" s="160">
        <v>500</v>
      </c>
      <c r="E2999" s="161">
        <f>SUM(D2999*100)</f>
        <v>50000</v>
      </c>
    </row>
    <row r="3000" ht="16.5" spans="1:5">
      <c r="A3000" s="151">
        <v>2999</v>
      </c>
      <c r="B3000" s="152" t="s">
        <v>10000</v>
      </c>
      <c r="C3000" s="156" t="s">
        <v>16629</v>
      </c>
      <c r="D3000" s="159">
        <v>10</v>
      </c>
      <c r="E3000" s="155">
        <f>+D3000*100</f>
        <v>1000</v>
      </c>
    </row>
    <row r="3001" ht="16.5" spans="1:5">
      <c r="A3001" s="151">
        <v>3000</v>
      </c>
      <c r="B3001" s="152" t="s">
        <v>10003</v>
      </c>
      <c r="C3001" s="160" t="s">
        <v>16630</v>
      </c>
      <c r="D3001" s="160">
        <v>80</v>
      </c>
      <c r="E3001" s="161">
        <f>SUM(D3001*100)</f>
        <v>8000</v>
      </c>
    </row>
    <row r="3002" ht="16.5" spans="1:5">
      <c r="A3002" s="151">
        <v>3001</v>
      </c>
      <c r="B3002" s="152" t="s">
        <v>10006</v>
      </c>
      <c r="C3002" s="160" t="s">
        <v>16630</v>
      </c>
      <c r="D3002" s="160">
        <v>100</v>
      </c>
      <c r="E3002" s="161">
        <f>SUM(D3002*100)</f>
        <v>10000</v>
      </c>
    </row>
    <row r="3003" ht="16.5" spans="1:5">
      <c r="A3003" s="151">
        <v>3002</v>
      </c>
      <c r="B3003" s="152" t="s">
        <v>10010</v>
      </c>
      <c r="C3003" s="160" t="s">
        <v>16630</v>
      </c>
      <c r="D3003" s="160">
        <v>100</v>
      </c>
      <c r="E3003" s="161">
        <f>SUM(D3003*100)</f>
        <v>10000</v>
      </c>
    </row>
    <row r="3004" ht="16.5" spans="1:5">
      <c r="A3004" s="151">
        <v>3003</v>
      </c>
      <c r="B3004" s="152" t="s">
        <v>10014</v>
      </c>
      <c r="C3004" s="156" t="s">
        <v>16629</v>
      </c>
      <c r="D3004" s="159">
        <v>10</v>
      </c>
      <c r="E3004" s="155">
        <f>+D3004*100</f>
        <v>1000</v>
      </c>
    </row>
    <row r="3005" ht="16.5" spans="1:5">
      <c r="A3005" s="151">
        <v>3004</v>
      </c>
      <c r="B3005" s="152" t="s">
        <v>10017</v>
      </c>
      <c r="C3005" s="160" t="s">
        <v>16630</v>
      </c>
      <c r="D3005" s="160">
        <v>50</v>
      </c>
      <c r="E3005" s="161">
        <f>SUM(D3005*100)</f>
        <v>5000</v>
      </c>
    </row>
    <row r="3006" ht="16.5" spans="1:5">
      <c r="A3006" s="151">
        <v>3005</v>
      </c>
      <c r="B3006" s="152" t="s">
        <v>10020</v>
      </c>
      <c r="C3006" s="166" t="s">
        <v>16632</v>
      </c>
      <c r="D3006" s="166">
        <f>IFERROR(__xludf.DUMMYFUNCTION("""COMPUTED_VALUE"""),10000)</f>
        <v>10000</v>
      </c>
      <c r="E3006" s="168">
        <f>IFERROR(__xludf.DUMMYFUNCTION("""COMPUTED_VALUE"""),1500000)</f>
        <v>1500000</v>
      </c>
    </row>
    <row r="3007" ht="16.5" spans="1:5">
      <c r="A3007" s="151">
        <v>3006</v>
      </c>
      <c r="B3007" s="152" t="s">
        <v>10021</v>
      </c>
      <c r="C3007" s="166" t="s">
        <v>16632</v>
      </c>
      <c r="D3007" s="166">
        <f>IFERROR(__xludf.DUMMYFUNCTION("""COMPUTED_VALUE"""),10000)</f>
        <v>10000</v>
      </c>
      <c r="E3007" s="168">
        <f>IFERROR(__xludf.DUMMYFUNCTION("""COMPUTED_VALUE"""),1500000)</f>
        <v>1500000</v>
      </c>
    </row>
    <row r="3008" ht="16.5" spans="1:5">
      <c r="A3008" s="151">
        <v>3007</v>
      </c>
      <c r="B3008" s="152" t="s">
        <v>10022</v>
      </c>
      <c r="C3008" s="160" t="s">
        <v>16630</v>
      </c>
      <c r="D3008" s="172">
        <v>20</v>
      </c>
      <c r="E3008" s="161">
        <f>+D3008*100</f>
        <v>2000</v>
      </c>
    </row>
    <row r="3009" ht="16.5" spans="1:5">
      <c r="A3009" s="151">
        <v>3008</v>
      </c>
      <c r="B3009" s="152" t="s">
        <v>10025</v>
      </c>
      <c r="C3009" s="162" t="s">
        <v>16631</v>
      </c>
      <c r="D3009" s="169">
        <v>1000</v>
      </c>
      <c r="E3009" s="170">
        <f>D3009*100</f>
        <v>100000</v>
      </c>
    </row>
    <row r="3010" ht="16.5" spans="1:5">
      <c r="A3010" s="151">
        <v>3009</v>
      </c>
      <c r="B3010" s="152" t="s">
        <v>10029</v>
      </c>
      <c r="C3010" s="160" t="s">
        <v>16630</v>
      </c>
      <c r="D3010" s="160">
        <v>50</v>
      </c>
      <c r="E3010" s="161">
        <f>SUM(D3010*100)</f>
        <v>5000</v>
      </c>
    </row>
    <row r="3011" ht="16.5" spans="1:5">
      <c r="A3011" s="151">
        <v>3010</v>
      </c>
      <c r="B3011" s="152" t="s">
        <v>10033</v>
      </c>
      <c r="C3011" s="166" t="s">
        <v>16632</v>
      </c>
      <c r="D3011" s="166">
        <f>IFERROR(__xludf.DUMMYFUNCTION("""COMPUTED_VALUE"""),15000)</f>
        <v>15000</v>
      </c>
      <c r="E3011" s="168">
        <f>IFERROR(__xludf.DUMMYFUNCTION("""COMPUTED_VALUE"""),1500000)</f>
        <v>1500000</v>
      </c>
    </row>
    <row r="3012" ht="16.5" spans="1:5">
      <c r="A3012" s="151">
        <v>3011</v>
      </c>
      <c r="B3012" s="152" t="s">
        <v>10033</v>
      </c>
      <c r="C3012" s="166" t="s">
        <v>16632</v>
      </c>
      <c r="D3012" s="151">
        <f>IFERROR(__xludf.DUMMYFUNCTION("""COMPUTED_VALUE"""),10000)</f>
        <v>10000</v>
      </c>
      <c r="E3012" s="167">
        <f>IFERROR(__xludf.DUMMYFUNCTION("""COMPUTED_VALUE"""),1500000)</f>
        <v>1500000</v>
      </c>
    </row>
    <row r="3013" ht="16.5" spans="1:5">
      <c r="A3013" s="151">
        <v>3012</v>
      </c>
      <c r="B3013" s="152" t="s">
        <v>10034</v>
      </c>
      <c r="C3013" s="162" t="s">
        <v>16631</v>
      </c>
      <c r="D3013" s="163">
        <v>1000</v>
      </c>
      <c r="E3013" s="163">
        <f>D3013*100</f>
        <v>100000</v>
      </c>
    </row>
    <row r="3014" ht="16.5" spans="1:5">
      <c r="A3014" s="151">
        <v>3013</v>
      </c>
      <c r="B3014" s="152" t="s">
        <v>10039</v>
      </c>
      <c r="C3014" s="160" t="s">
        <v>16630</v>
      </c>
      <c r="D3014" s="160">
        <v>100</v>
      </c>
      <c r="E3014" s="161">
        <f>SUM(D3014*100)</f>
        <v>10000</v>
      </c>
    </row>
    <row r="3015" ht="16.5" spans="1:5">
      <c r="A3015" s="151">
        <v>3014</v>
      </c>
      <c r="B3015" s="152" t="s">
        <v>10043</v>
      </c>
      <c r="C3015" s="162" t="s">
        <v>16631</v>
      </c>
      <c r="D3015" s="163">
        <v>1000</v>
      </c>
      <c r="E3015" s="163">
        <f>D3015*100</f>
        <v>100000</v>
      </c>
    </row>
    <row r="3016" ht="16.5" spans="1:5">
      <c r="A3016" s="151">
        <v>3015</v>
      </c>
      <c r="B3016" s="152" t="s">
        <v>10048</v>
      </c>
      <c r="C3016" s="160" t="s">
        <v>16630</v>
      </c>
      <c r="D3016" s="160">
        <v>10</v>
      </c>
      <c r="E3016" s="161">
        <f>SUM(D3016*100)</f>
        <v>1000</v>
      </c>
    </row>
    <row r="3017" ht="16.5" spans="1:5">
      <c r="A3017" s="151">
        <v>3016</v>
      </c>
      <c r="B3017" s="152" t="s">
        <v>10051</v>
      </c>
      <c r="C3017" s="160" t="s">
        <v>16630</v>
      </c>
      <c r="D3017" s="160">
        <v>100</v>
      </c>
      <c r="E3017" s="161">
        <f>SUM(D3017*100)</f>
        <v>10000</v>
      </c>
    </row>
    <row r="3018" ht="16.5" spans="1:5">
      <c r="A3018" s="151">
        <v>3017</v>
      </c>
      <c r="B3018" s="152" t="s">
        <v>10055</v>
      </c>
      <c r="C3018" s="160" t="s">
        <v>16630</v>
      </c>
      <c r="D3018" s="160">
        <v>1000</v>
      </c>
      <c r="E3018" s="161">
        <f>SUM(D3018*100)</f>
        <v>100000</v>
      </c>
    </row>
    <row r="3019" ht="16.5" spans="1:5">
      <c r="A3019" s="151">
        <v>3018</v>
      </c>
      <c r="B3019" s="152" t="s">
        <v>10059</v>
      </c>
      <c r="C3019" s="160" t="s">
        <v>16630</v>
      </c>
      <c r="D3019" s="160">
        <v>100</v>
      </c>
      <c r="E3019" s="161">
        <f>SUM(D3019*100)</f>
        <v>10000</v>
      </c>
    </row>
    <row r="3020" ht="16.5" spans="1:5">
      <c r="A3020" s="151">
        <v>3019</v>
      </c>
      <c r="B3020" s="152" t="s">
        <v>10063</v>
      </c>
      <c r="C3020" s="160" t="s">
        <v>16630</v>
      </c>
      <c r="D3020" s="160">
        <v>5000</v>
      </c>
      <c r="E3020" s="161">
        <f>SUM(D3020*10)</f>
        <v>50000</v>
      </c>
    </row>
    <row r="3021" ht="16.5" spans="1:5">
      <c r="A3021" s="151">
        <v>3020</v>
      </c>
      <c r="B3021" s="152" t="s">
        <v>10068</v>
      </c>
      <c r="C3021" s="160" t="s">
        <v>16630</v>
      </c>
      <c r="D3021" s="164">
        <v>100</v>
      </c>
      <c r="E3021" s="161">
        <f>SUM(D3021*100)</f>
        <v>10000</v>
      </c>
    </row>
    <row r="3022" ht="16.5" spans="1:5">
      <c r="A3022" s="151">
        <v>3021</v>
      </c>
      <c r="B3022" s="152" t="s">
        <v>10071</v>
      </c>
      <c r="C3022" s="162" t="s">
        <v>16631</v>
      </c>
      <c r="D3022" s="163">
        <v>1000</v>
      </c>
      <c r="E3022" s="163">
        <f>D3022*100</f>
        <v>100000</v>
      </c>
    </row>
    <row r="3023" ht="16.5" spans="1:5">
      <c r="A3023" s="151">
        <v>3022</v>
      </c>
      <c r="B3023" s="152" t="s">
        <v>10076</v>
      </c>
      <c r="C3023" s="160" t="s">
        <v>16630</v>
      </c>
      <c r="D3023" s="160">
        <v>1000</v>
      </c>
      <c r="E3023" s="161">
        <f>SUM(D3023*100)</f>
        <v>100000</v>
      </c>
    </row>
    <row r="3024" ht="16.5" spans="1:5">
      <c r="A3024" s="151">
        <v>3023</v>
      </c>
      <c r="B3024" s="152" t="s">
        <v>10080</v>
      </c>
      <c r="C3024" s="162" t="s">
        <v>16633</v>
      </c>
      <c r="D3024" s="171">
        <f>G3024/100</f>
        <v>0</v>
      </c>
      <c r="E3024" s="171">
        <f>G3024</f>
        <v>0</v>
      </c>
    </row>
    <row r="3025" ht="16.5" spans="1:5">
      <c r="A3025" s="151">
        <v>3024</v>
      </c>
      <c r="B3025" s="152" t="s">
        <v>10084</v>
      </c>
      <c r="C3025" s="162" t="s">
        <v>16631</v>
      </c>
      <c r="D3025" s="163">
        <v>1000</v>
      </c>
      <c r="E3025" s="163">
        <f>D3025*100</f>
        <v>100000</v>
      </c>
    </row>
    <row r="3026" ht="16.5" spans="1:5">
      <c r="A3026" s="151">
        <v>3025</v>
      </c>
      <c r="B3026" s="152" t="s">
        <v>10086</v>
      </c>
      <c r="C3026" s="160" t="s">
        <v>16630</v>
      </c>
      <c r="D3026" s="160">
        <v>100</v>
      </c>
      <c r="E3026" s="161">
        <f>SUM(D3026*100)</f>
        <v>10000</v>
      </c>
    </row>
    <row r="3027" ht="16.5" spans="1:5">
      <c r="A3027" s="151">
        <v>3026</v>
      </c>
      <c r="B3027" s="152" t="s">
        <v>10090</v>
      </c>
      <c r="C3027" s="160" t="s">
        <v>16630</v>
      </c>
      <c r="D3027" s="41">
        <v>200</v>
      </c>
      <c r="E3027" s="161">
        <f>SUM(D3027*100)</f>
        <v>20000</v>
      </c>
    </row>
    <row r="3028" ht="16.5" spans="1:5">
      <c r="A3028" s="151">
        <v>3027</v>
      </c>
      <c r="B3028" s="152" t="s">
        <v>10093</v>
      </c>
      <c r="C3028" s="156" t="s">
        <v>16629</v>
      </c>
      <c r="D3028" s="159">
        <v>10</v>
      </c>
      <c r="E3028" s="155">
        <f>+D3028*100</f>
        <v>1000</v>
      </c>
    </row>
    <row r="3029" ht="16.5" spans="1:5">
      <c r="A3029" s="151">
        <v>3028</v>
      </c>
      <c r="B3029" s="152" t="s">
        <v>10097</v>
      </c>
      <c r="C3029" s="156" t="s">
        <v>16629</v>
      </c>
      <c r="D3029" s="159">
        <v>10</v>
      </c>
      <c r="E3029" s="155">
        <f>+D3029*100</f>
        <v>1000</v>
      </c>
    </row>
    <row r="3030" ht="16.5" spans="1:5">
      <c r="A3030" s="151">
        <v>3029</v>
      </c>
      <c r="B3030" s="152" t="s">
        <v>10101</v>
      </c>
      <c r="C3030" s="162" t="s">
        <v>16631</v>
      </c>
      <c r="D3030" s="163">
        <v>1000</v>
      </c>
      <c r="E3030" s="163">
        <f>D3030*100</f>
        <v>100000</v>
      </c>
    </row>
    <row r="3031" ht="16.5" spans="1:5">
      <c r="A3031" s="151">
        <v>3030</v>
      </c>
      <c r="B3031" s="152" t="s">
        <v>10105</v>
      </c>
      <c r="C3031" s="160" t="s">
        <v>16630</v>
      </c>
      <c r="D3031" s="160">
        <v>50</v>
      </c>
      <c r="E3031" s="161">
        <f>SUM(D3031*100)</f>
        <v>5000</v>
      </c>
    </row>
    <row r="3032" ht="16.5" spans="1:5">
      <c r="A3032" s="151">
        <v>3031</v>
      </c>
      <c r="B3032" s="152" t="s">
        <v>10109</v>
      </c>
      <c r="C3032" s="162" t="s">
        <v>16631</v>
      </c>
      <c r="D3032" s="163">
        <v>3000</v>
      </c>
      <c r="E3032" s="163">
        <f>D3032*100</f>
        <v>300000</v>
      </c>
    </row>
    <row r="3033" ht="16.5" spans="1:5">
      <c r="A3033" s="151">
        <v>3032</v>
      </c>
      <c r="B3033" s="152" t="s">
        <v>10113</v>
      </c>
      <c r="C3033" s="162" t="s">
        <v>16631</v>
      </c>
      <c r="D3033" s="163">
        <v>2000</v>
      </c>
      <c r="E3033" s="163">
        <f>D3033*100</f>
        <v>200000</v>
      </c>
    </row>
    <row r="3034" ht="16.5" spans="1:5">
      <c r="A3034" s="151">
        <v>3033</v>
      </c>
      <c r="B3034" s="152" t="s">
        <v>10117</v>
      </c>
      <c r="C3034" s="160" t="s">
        <v>16630</v>
      </c>
      <c r="D3034" s="160">
        <v>10</v>
      </c>
      <c r="E3034" s="161">
        <f>SUM(D3034*100)</f>
        <v>1000</v>
      </c>
    </row>
    <row r="3035" ht="16.5" spans="1:5">
      <c r="A3035" s="151">
        <v>3034</v>
      </c>
      <c r="B3035" s="152" t="s">
        <v>10121</v>
      </c>
      <c r="C3035" s="162" t="s">
        <v>16631</v>
      </c>
      <c r="D3035" s="163">
        <v>1000</v>
      </c>
      <c r="E3035" s="163">
        <f>D3035*100</f>
        <v>100000</v>
      </c>
    </row>
    <row r="3036" ht="16.5" spans="1:5">
      <c r="A3036" s="151">
        <v>3035</v>
      </c>
      <c r="B3036" s="152" t="s">
        <v>10126</v>
      </c>
      <c r="C3036" s="153" t="s">
        <v>16629</v>
      </c>
      <c r="D3036" s="154">
        <v>10</v>
      </c>
      <c r="E3036" s="155">
        <f>+D3036*100</f>
        <v>1000</v>
      </c>
    </row>
    <row r="3037" ht="16.5" spans="1:5">
      <c r="A3037" s="151">
        <v>3036</v>
      </c>
      <c r="B3037" s="152" t="s">
        <v>10129</v>
      </c>
      <c r="C3037" s="156" t="s">
        <v>16629</v>
      </c>
      <c r="D3037" s="154">
        <v>10</v>
      </c>
      <c r="E3037" s="155">
        <f>+D3037*100</f>
        <v>1000</v>
      </c>
    </row>
    <row r="3038" ht="16.5" spans="1:5">
      <c r="A3038" s="151">
        <v>3037</v>
      </c>
      <c r="B3038" s="152" t="s">
        <v>10132</v>
      </c>
      <c r="C3038" s="160" t="s">
        <v>16630</v>
      </c>
      <c r="D3038" s="160">
        <v>325</v>
      </c>
      <c r="E3038" s="161">
        <f>SUM(D3038*100)</f>
        <v>32500</v>
      </c>
    </row>
    <row r="3039" ht="16.5" spans="1:5">
      <c r="A3039" s="151">
        <v>3038</v>
      </c>
      <c r="B3039" s="152" t="s">
        <v>10137</v>
      </c>
      <c r="C3039" s="162" t="s">
        <v>16631</v>
      </c>
      <c r="D3039" s="163">
        <v>1000</v>
      </c>
      <c r="E3039" s="163">
        <f>D3039*100</f>
        <v>100000</v>
      </c>
    </row>
    <row r="3040" ht="16.5" spans="1:5">
      <c r="A3040" s="151">
        <v>3039</v>
      </c>
      <c r="B3040" s="152" t="s">
        <v>10141</v>
      </c>
      <c r="C3040" s="160" t="s">
        <v>16630</v>
      </c>
      <c r="D3040" s="160">
        <v>460</v>
      </c>
      <c r="E3040" s="161">
        <f>SUM(D3040*100)</f>
        <v>46000</v>
      </c>
    </row>
    <row r="3041" ht="16.5" spans="1:5">
      <c r="A3041" s="151">
        <v>3040</v>
      </c>
      <c r="B3041" s="152" t="s">
        <v>10145</v>
      </c>
      <c r="C3041" s="160" t="s">
        <v>16630</v>
      </c>
      <c r="D3041" s="160">
        <v>270</v>
      </c>
      <c r="E3041" s="161">
        <f>SUM(D3041*100)</f>
        <v>27000</v>
      </c>
    </row>
    <row r="3042" ht="16.5" spans="1:5">
      <c r="A3042" s="151">
        <v>3041</v>
      </c>
      <c r="B3042" s="152" t="s">
        <v>10149</v>
      </c>
      <c r="C3042" s="160" t="s">
        <v>16630</v>
      </c>
      <c r="D3042" s="164">
        <v>200</v>
      </c>
      <c r="E3042" s="161">
        <f>SUM(D3042*100)</f>
        <v>20000</v>
      </c>
    </row>
    <row r="3043" ht="16.5" spans="1:5">
      <c r="A3043" s="151">
        <v>3042</v>
      </c>
      <c r="B3043" s="152" t="s">
        <v>10152</v>
      </c>
      <c r="C3043" s="156" t="s">
        <v>16629</v>
      </c>
      <c r="D3043" s="157">
        <v>10</v>
      </c>
      <c r="E3043" s="155">
        <f t="shared" ref="E3043:E3064" si="103">+D3043*100</f>
        <v>1000</v>
      </c>
    </row>
    <row r="3044" ht="16.5" spans="1:5">
      <c r="A3044" s="151">
        <v>3043</v>
      </c>
      <c r="B3044" s="152" t="s">
        <v>10155</v>
      </c>
      <c r="C3044" s="153" t="s">
        <v>16629</v>
      </c>
      <c r="D3044" s="158">
        <v>10</v>
      </c>
      <c r="E3044" s="155">
        <f t="shared" si="103"/>
        <v>1000</v>
      </c>
    </row>
    <row r="3045" ht="16.5" spans="1:5">
      <c r="A3045" s="151">
        <v>3044</v>
      </c>
      <c r="B3045" s="152" t="s">
        <v>10158</v>
      </c>
      <c r="C3045" s="153" t="s">
        <v>16629</v>
      </c>
      <c r="D3045" s="158">
        <v>10</v>
      </c>
      <c r="E3045" s="155">
        <f t="shared" si="103"/>
        <v>1000</v>
      </c>
    </row>
    <row r="3046" ht="16.5" spans="1:5">
      <c r="A3046" s="151">
        <v>3045</v>
      </c>
      <c r="B3046" s="152" t="s">
        <v>10162</v>
      </c>
      <c r="C3046" s="153" t="s">
        <v>16629</v>
      </c>
      <c r="D3046" s="158">
        <v>10</v>
      </c>
      <c r="E3046" s="155">
        <f t="shared" si="103"/>
        <v>1000</v>
      </c>
    </row>
    <row r="3047" ht="16.5" spans="1:5">
      <c r="A3047" s="151">
        <v>3046</v>
      </c>
      <c r="B3047" s="152" t="s">
        <v>10165</v>
      </c>
      <c r="C3047" s="156" t="s">
        <v>16629</v>
      </c>
      <c r="D3047" s="159">
        <v>10</v>
      </c>
      <c r="E3047" s="155">
        <f t="shared" si="103"/>
        <v>1000</v>
      </c>
    </row>
    <row r="3048" ht="16.5" spans="1:5">
      <c r="A3048" s="151">
        <v>3047</v>
      </c>
      <c r="B3048" s="152" t="s">
        <v>10169</v>
      </c>
      <c r="C3048" s="153" t="s">
        <v>16629</v>
      </c>
      <c r="D3048" s="154">
        <v>10</v>
      </c>
      <c r="E3048" s="155">
        <f t="shared" si="103"/>
        <v>1000</v>
      </c>
    </row>
    <row r="3049" ht="16.5" spans="1:5">
      <c r="A3049" s="151">
        <v>3048</v>
      </c>
      <c r="B3049" s="152" t="s">
        <v>10173</v>
      </c>
      <c r="C3049" s="153" t="s">
        <v>16629</v>
      </c>
      <c r="D3049" s="158">
        <v>10</v>
      </c>
      <c r="E3049" s="155">
        <f t="shared" si="103"/>
        <v>1000</v>
      </c>
    </row>
    <row r="3050" ht="16.5" spans="1:5">
      <c r="A3050" s="151">
        <v>3049</v>
      </c>
      <c r="B3050" s="152" t="s">
        <v>10176</v>
      </c>
      <c r="C3050" s="156" t="s">
        <v>16629</v>
      </c>
      <c r="D3050" s="159">
        <v>10</v>
      </c>
      <c r="E3050" s="155">
        <f t="shared" si="103"/>
        <v>1000</v>
      </c>
    </row>
    <row r="3051" ht="16.5" spans="1:5">
      <c r="A3051" s="151">
        <v>3050</v>
      </c>
      <c r="B3051" s="152" t="s">
        <v>10179</v>
      </c>
      <c r="C3051" s="153" t="s">
        <v>16629</v>
      </c>
      <c r="D3051" s="158">
        <v>10</v>
      </c>
      <c r="E3051" s="155">
        <f t="shared" si="103"/>
        <v>1000</v>
      </c>
    </row>
    <row r="3052" ht="16.5" spans="1:5">
      <c r="A3052" s="151">
        <v>3051</v>
      </c>
      <c r="B3052" s="152" t="s">
        <v>10182</v>
      </c>
      <c r="C3052" s="156" t="s">
        <v>16629</v>
      </c>
      <c r="D3052" s="159">
        <v>10</v>
      </c>
      <c r="E3052" s="155">
        <f t="shared" si="103"/>
        <v>1000</v>
      </c>
    </row>
    <row r="3053" ht="16.5" spans="1:5">
      <c r="A3053" s="151">
        <v>3052</v>
      </c>
      <c r="B3053" s="152" t="s">
        <v>10185</v>
      </c>
      <c r="C3053" s="156" t="s">
        <v>16629</v>
      </c>
      <c r="D3053" s="159">
        <v>10</v>
      </c>
      <c r="E3053" s="155">
        <f t="shared" si="103"/>
        <v>1000</v>
      </c>
    </row>
    <row r="3054" ht="16.5" spans="1:5">
      <c r="A3054" s="151">
        <v>3053</v>
      </c>
      <c r="B3054" s="152" t="s">
        <v>10188</v>
      </c>
      <c r="C3054" s="156" t="s">
        <v>16629</v>
      </c>
      <c r="D3054" s="159">
        <v>10</v>
      </c>
      <c r="E3054" s="155">
        <f t="shared" si="103"/>
        <v>1000</v>
      </c>
    </row>
    <row r="3055" ht="16.5" spans="1:5">
      <c r="A3055" s="151">
        <v>3054</v>
      </c>
      <c r="B3055" s="152" t="s">
        <v>10191</v>
      </c>
      <c r="C3055" s="156" t="s">
        <v>16629</v>
      </c>
      <c r="D3055" s="158">
        <v>10</v>
      </c>
      <c r="E3055" s="155">
        <f t="shared" si="103"/>
        <v>1000</v>
      </c>
    </row>
    <row r="3056" ht="16.5" spans="1:5">
      <c r="A3056" s="151">
        <v>3055</v>
      </c>
      <c r="B3056" s="152" t="s">
        <v>10194</v>
      </c>
      <c r="C3056" s="153" t="s">
        <v>16629</v>
      </c>
      <c r="D3056" s="154">
        <v>10</v>
      </c>
      <c r="E3056" s="155">
        <f t="shared" si="103"/>
        <v>1000</v>
      </c>
    </row>
    <row r="3057" ht="16.5" spans="1:5">
      <c r="A3057" s="151">
        <v>3056</v>
      </c>
      <c r="B3057" s="152" t="s">
        <v>10197</v>
      </c>
      <c r="C3057" s="156" t="s">
        <v>16629</v>
      </c>
      <c r="D3057" s="154">
        <v>10</v>
      </c>
      <c r="E3057" s="155">
        <f t="shared" si="103"/>
        <v>1000</v>
      </c>
    </row>
    <row r="3058" ht="16.5" spans="1:5">
      <c r="A3058" s="151">
        <v>3057</v>
      </c>
      <c r="B3058" s="152" t="s">
        <v>10200</v>
      </c>
      <c r="C3058" s="153" t="s">
        <v>16629</v>
      </c>
      <c r="D3058" s="154">
        <v>10</v>
      </c>
      <c r="E3058" s="155">
        <f t="shared" si="103"/>
        <v>1000</v>
      </c>
    </row>
    <row r="3059" ht="16.5" spans="1:5">
      <c r="A3059" s="151">
        <v>3058</v>
      </c>
      <c r="B3059" s="152" t="s">
        <v>10204</v>
      </c>
      <c r="C3059" s="156" t="s">
        <v>16629</v>
      </c>
      <c r="D3059" s="157">
        <v>10</v>
      </c>
      <c r="E3059" s="155">
        <f t="shared" si="103"/>
        <v>1000</v>
      </c>
    </row>
    <row r="3060" ht="16.5" spans="1:5">
      <c r="A3060" s="151">
        <v>3059</v>
      </c>
      <c r="B3060" s="152" t="s">
        <v>10207</v>
      </c>
      <c r="C3060" s="153" t="s">
        <v>16629</v>
      </c>
      <c r="D3060" s="154">
        <v>10</v>
      </c>
      <c r="E3060" s="155">
        <f t="shared" si="103"/>
        <v>1000</v>
      </c>
    </row>
    <row r="3061" ht="16.5" spans="1:5">
      <c r="A3061" s="151">
        <v>3060</v>
      </c>
      <c r="B3061" s="152" t="s">
        <v>10210</v>
      </c>
      <c r="C3061" s="156" t="s">
        <v>16629</v>
      </c>
      <c r="D3061" s="157">
        <v>10</v>
      </c>
      <c r="E3061" s="155">
        <f t="shared" si="103"/>
        <v>1000</v>
      </c>
    </row>
    <row r="3062" ht="16.5" spans="1:5">
      <c r="A3062" s="151">
        <v>3061</v>
      </c>
      <c r="B3062" s="152" t="s">
        <v>10213</v>
      </c>
      <c r="C3062" s="156" t="s">
        <v>16629</v>
      </c>
      <c r="D3062" s="157">
        <v>10</v>
      </c>
      <c r="E3062" s="155">
        <f t="shared" si="103"/>
        <v>1000</v>
      </c>
    </row>
    <row r="3063" ht="16.5" spans="1:5">
      <c r="A3063" s="151">
        <v>3062</v>
      </c>
      <c r="B3063" s="152" t="s">
        <v>10216</v>
      </c>
      <c r="C3063" s="153" t="s">
        <v>16629</v>
      </c>
      <c r="D3063" s="158">
        <v>10</v>
      </c>
      <c r="E3063" s="155">
        <f t="shared" si="103"/>
        <v>1000</v>
      </c>
    </row>
    <row r="3064" ht="16.5" spans="1:5">
      <c r="A3064" s="151">
        <v>3063</v>
      </c>
      <c r="B3064" s="152" t="s">
        <v>10220</v>
      </c>
      <c r="C3064" s="153" t="s">
        <v>16629</v>
      </c>
      <c r="D3064" s="154">
        <v>10</v>
      </c>
      <c r="E3064" s="155">
        <f t="shared" si="103"/>
        <v>1000</v>
      </c>
    </row>
    <row r="3065" ht="16.5" spans="1:5">
      <c r="A3065" s="151">
        <v>3064</v>
      </c>
      <c r="B3065" s="152" t="s">
        <v>10223</v>
      </c>
      <c r="C3065" s="160" t="s">
        <v>16630</v>
      </c>
      <c r="D3065" s="41">
        <v>10</v>
      </c>
      <c r="E3065" s="161">
        <f>SUM(D3065*100)</f>
        <v>1000</v>
      </c>
    </row>
    <row r="3066" ht="16.5" spans="1:5">
      <c r="A3066" s="151">
        <v>3065</v>
      </c>
      <c r="B3066" s="152" t="s">
        <v>10226</v>
      </c>
      <c r="C3066" s="156" t="s">
        <v>16629</v>
      </c>
      <c r="D3066" s="157">
        <v>10</v>
      </c>
      <c r="E3066" s="155">
        <f>+D3066*100</f>
        <v>1000</v>
      </c>
    </row>
    <row r="3067" ht="16.5" spans="1:5">
      <c r="A3067" s="151">
        <v>3066</v>
      </c>
      <c r="B3067" s="152" t="s">
        <v>10229</v>
      </c>
      <c r="C3067" s="153" t="s">
        <v>16629</v>
      </c>
      <c r="D3067" s="158">
        <v>10</v>
      </c>
      <c r="E3067" s="155">
        <f>+D3067*100</f>
        <v>1000</v>
      </c>
    </row>
    <row r="3068" ht="16.5" spans="1:5">
      <c r="A3068" s="151">
        <v>3067</v>
      </c>
      <c r="B3068" s="152" t="s">
        <v>10233</v>
      </c>
      <c r="C3068" s="153" t="s">
        <v>16629</v>
      </c>
      <c r="D3068" s="158">
        <v>10</v>
      </c>
      <c r="E3068" s="155">
        <f>+D3068*100</f>
        <v>1000</v>
      </c>
    </row>
    <row r="3069" ht="16.5" spans="1:5">
      <c r="A3069" s="151">
        <v>3068</v>
      </c>
      <c r="B3069" s="152" t="s">
        <v>10236</v>
      </c>
      <c r="C3069" s="153" t="s">
        <v>16629</v>
      </c>
      <c r="D3069" s="158">
        <v>10</v>
      </c>
      <c r="E3069" s="155">
        <f>+D3069*100</f>
        <v>1000</v>
      </c>
    </row>
    <row r="3070" ht="16.5" spans="1:5">
      <c r="A3070" s="151">
        <v>3069</v>
      </c>
      <c r="B3070" s="152" t="s">
        <v>10239</v>
      </c>
      <c r="C3070" s="162" t="s">
        <v>16631</v>
      </c>
      <c r="D3070" s="163">
        <v>1000</v>
      </c>
      <c r="E3070" s="163">
        <f>D3070*100</f>
        <v>100000</v>
      </c>
    </row>
    <row r="3071" ht="16.5" spans="1:5">
      <c r="A3071" s="151">
        <v>3070</v>
      </c>
      <c r="B3071" s="152" t="s">
        <v>10244</v>
      </c>
      <c r="C3071" s="153" t="s">
        <v>16629</v>
      </c>
      <c r="D3071" s="154">
        <v>10</v>
      </c>
      <c r="E3071" s="155">
        <f>+D3071*100</f>
        <v>1000</v>
      </c>
    </row>
    <row r="3072" ht="16.5" spans="1:5">
      <c r="A3072" s="151">
        <v>3071</v>
      </c>
      <c r="B3072" s="152" t="s">
        <v>10248</v>
      </c>
      <c r="C3072" s="153" t="s">
        <v>16629</v>
      </c>
      <c r="D3072" s="154">
        <v>10</v>
      </c>
      <c r="E3072" s="155">
        <f>+D3072*100</f>
        <v>1000</v>
      </c>
    </row>
    <row r="3073" ht="16.5" spans="1:5">
      <c r="A3073" s="151">
        <v>3072</v>
      </c>
      <c r="B3073" s="152" t="s">
        <v>10252</v>
      </c>
      <c r="C3073" s="153" t="s">
        <v>16629</v>
      </c>
      <c r="D3073" s="154">
        <v>10</v>
      </c>
      <c r="E3073" s="155">
        <f>+D3073*100</f>
        <v>1000</v>
      </c>
    </row>
    <row r="3074" ht="16.5" spans="1:5">
      <c r="A3074" s="151">
        <v>3073</v>
      </c>
      <c r="B3074" s="152" t="s">
        <v>10255</v>
      </c>
      <c r="C3074" s="153" t="s">
        <v>16629</v>
      </c>
      <c r="D3074" s="154">
        <v>10</v>
      </c>
      <c r="E3074" s="155">
        <f>+D3074*100</f>
        <v>1000</v>
      </c>
    </row>
    <row r="3075" ht="16.5" spans="1:5">
      <c r="A3075" s="151">
        <v>3074</v>
      </c>
      <c r="B3075" s="152" t="s">
        <v>10259</v>
      </c>
      <c r="C3075" s="156" t="s">
        <v>16629</v>
      </c>
      <c r="D3075" s="159">
        <v>10</v>
      </c>
      <c r="E3075" s="155">
        <f>+D3075*100</f>
        <v>1000</v>
      </c>
    </row>
    <row r="3076" ht="16.5" spans="1:5">
      <c r="A3076" s="151">
        <v>3075</v>
      </c>
      <c r="B3076" s="152" t="s">
        <v>10263</v>
      </c>
      <c r="C3076" s="160" t="s">
        <v>16630</v>
      </c>
      <c r="D3076" s="160">
        <v>30</v>
      </c>
      <c r="E3076" s="161">
        <f>SUM(D3076*100)</f>
        <v>3000</v>
      </c>
    </row>
    <row r="3077" ht="16.5" spans="1:5">
      <c r="A3077" s="151">
        <v>3076</v>
      </c>
      <c r="B3077" s="152" t="s">
        <v>10266</v>
      </c>
      <c r="C3077" s="160" t="s">
        <v>16630</v>
      </c>
      <c r="D3077" s="160">
        <v>40</v>
      </c>
      <c r="E3077" s="161">
        <f>SUM(D3077*100)</f>
        <v>4000</v>
      </c>
    </row>
    <row r="3078" ht="16.5" spans="1:5">
      <c r="A3078" s="151">
        <v>3077</v>
      </c>
      <c r="B3078" s="152" t="s">
        <v>10269</v>
      </c>
      <c r="C3078" s="156" t="s">
        <v>16629</v>
      </c>
      <c r="D3078" s="157">
        <v>10</v>
      </c>
      <c r="E3078" s="155">
        <f t="shared" ref="E3078:E3096" si="104">+D3078*100</f>
        <v>1000</v>
      </c>
    </row>
    <row r="3079" ht="16.5" spans="1:5">
      <c r="A3079" s="151">
        <v>3078</v>
      </c>
      <c r="B3079" s="152" t="s">
        <v>10272</v>
      </c>
      <c r="C3079" s="156" t="s">
        <v>16629</v>
      </c>
      <c r="D3079" s="159">
        <v>10</v>
      </c>
      <c r="E3079" s="155">
        <f t="shared" si="104"/>
        <v>1000</v>
      </c>
    </row>
    <row r="3080" ht="16.5" spans="1:5">
      <c r="A3080" s="151">
        <v>3079</v>
      </c>
      <c r="B3080" s="152" t="s">
        <v>10275</v>
      </c>
      <c r="C3080" s="156" t="s">
        <v>16629</v>
      </c>
      <c r="D3080" s="159">
        <v>10</v>
      </c>
      <c r="E3080" s="155">
        <f t="shared" si="104"/>
        <v>1000</v>
      </c>
    </row>
    <row r="3081" ht="16.5" spans="1:5">
      <c r="A3081" s="151">
        <v>3080</v>
      </c>
      <c r="B3081" s="152" t="s">
        <v>10278</v>
      </c>
      <c r="C3081" s="153" t="s">
        <v>16629</v>
      </c>
      <c r="D3081" s="154">
        <v>10</v>
      </c>
      <c r="E3081" s="155">
        <f t="shared" si="104"/>
        <v>1000</v>
      </c>
    </row>
    <row r="3082" ht="16.5" spans="1:5">
      <c r="A3082" s="151">
        <v>3081</v>
      </c>
      <c r="B3082" s="152" t="s">
        <v>10282</v>
      </c>
      <c r="C3082" s="153" t="s">
        <v>16629</v>
      </c>
      <c r="D3082" s="154">
        <v>10</v>
      </c>
      <c r="E3082" s="155">
        <f t="shared" si="104"/>
        <v>1000</v>
      </c>
    </row>
    <row r="3083" ht="16.5" spans="1:5">
      <c r="A3083" s="151">
        <v>3082</v>
      </c>
      <c r="B3083" s="152" t="s">
        <v>10285</v>
      </c>
      <c r="C3083" s="153" t="s">
        <v>16629</v>
      </c>
      <c r="D3083" s="158">
        <v>10</v>
      </c>
      <c r="E3083" s="155">
        <f t="shared" si="104"/>
        <v>1000</v>
      </c>
    </row>
    <row r="3084" ht="16.5" spans="1:5">
      <c r="A3084" s="151">
        <v>3083</v>
      </c>
      <c r="B3084" s="152" t="s">
        <v>10289</v>
      </c>
      <c r="C3084" s="156" t="s">
        <v>16629</v>
      </c>
      <c r="D3084" s="157">
        <v>10</v>
      </c>
      <c r="E3084" s="155">
        <f t="shared" si="104"/>
        <v>1000</v>
      </c>
    </row>
    <row r="3085" ht="16.5" spans="1:5">
      <c r="A3085" s="151">
        <v>3084</v>
      </c>
      <c r="B3085" s="152" t="s">
        <v>10292</v>
      </c>
      <c r="C3085" s="153" t="s">
        <v>16629</v>
      </c>
      <c r="D3085" s="158">
        <v>10</v>
      </c>
      <c r="E3085" s="155">
        <f t="shared" si="104"/>
        <v>1000</v>
      </c>
    </row>
    <row r="3086" ht="16.5" spans="1:5">
      <c r="A3086" s="151">
        <v>3085</v>
      </c>
      <c r="B3086" s="152" t="s">
        <v>10295</v>
      </c>
      <c r="C3086" s="153" t="s">
        <v>16629</v>
      </c>
      <c r="D3086" s="158">
        <v>10</v>
      </c>
      <c r="E3086" s="155">
        <f t="shared" si="104"/>
        <v>1000</v>
      </c>
    </row>
    <row r="3087" ht="16.5" spans="1:5">
      <c r="A3087" s="151">
        <v>3086</v>
      </c>
      <c r="B3087" s="152" t="s">
        <v>10298</v>
      </c>
      <c r="C3087" s="156" t="s">
        <v>16629</v>
      </c>
      <c r="D3087" s="159">
        <v>10</v>
      </c>
      <c r="E3087" s="155">
        <f t="shared" si="104"/>
        <v>1000</v>
      </c>
    </row>
    <row r="3088" ht="16.5" spans="1:5">
      <c r="A3088" s="151">
        <v>3087</v>
      </c>
      <c r="B3088" s="152" t="s">
        <v>10301</v>
      </c>
      <c r="C3088" s="153" t="s">
        <v>16629</v>
      </c>
      <c r="D3088" s="158">
        <v>10</v>
      </c>
      <c r="E3088" s="155">
        <f t="shared" si="104"/>
        <v>1000</v>
      </c>
    </row>
    <row r="3089" ht="16.5" spans="1:5">
      <c r="A3089" s="151">
        <v>3088</v>
      </c>
      <c r="B3089" s="152" t="s">
        <v>10304</v>
      </c>
      <c r="C3089" s="156" t="s">
        <v>16629</v>
      </c>
      <c r="D3089" s="157">
        <v>10</v>
      </c>
      <c r="E3089" s="155">
        <f t="shared" si="104"/>
        <v>1000</v>
      </c>
    </row>
    <row r="3090" ht="16.5" spans="1:5">
      <c r="A3090" s="151">
        <v>3089</v>
      </c>
      <c r="B3090" s="152" t="s">
        <v>10307</v>
      </c>
      <c r="C3090" s="153" t="s">
        <v>16629</v>
      </c>
      <c r="D3090" s="158">
        <v>10</v>
      </c>
      <c r="E3090" s="155">
        <f t="shared" si="104"/>
        <v>1000</v>
      </c>
    </row>
    <row r="3091" ht="16.5" spans="1:5">
      <c r="A3091" s="151">
        <v>3090</v>
      </c>
      <c r="B3091" s="152" t="s">
        <v>10310</v>
      </c>
      <c r="C3091" s="153" t="s">
        <v>16629</v>
      </c>
      <c r="D3091" s="154">
        <v>10</v>
      </c>
      <c r="E3091" s="155">
        <f t="shared" si="104"/>
        <v>1000</v>
      </c>
    </row>
    <row r="3092" ht="16.5" spans="1:5">
      <c r="A3092" s="151">
        <v>3091</v>
      </c>
      <c r="B3092" s="152" t="s">
        <v>10314</v>
      </c>
      <c r="C3092" s="156" t="s">
        <v>16629</v>
      </c>
      <c r="D3092" s="159">
        <v>10</v>
      </c>
      <c r="E3092" s="155">
        <f t="shared" si="104"/>
        <v>1000</v>
      </c>
    </row>
    <row r="3093" ht="16.5" spans="1:5">
      <c r="A3093" s="151">
        <v>3092</v>
      </c>
      <c r="B3093" s="152" t="s">
        <v>10317</v>
      </c>
      <c r="C3093" s="153" t="s">
        <v>16629</v>
      </c>
      <c r="D3093" s="154">
        <v>10</v>
      </c>
      <c r="E3093" s="155">
        <f t="shared" si="104"/>
        <v>1000</v>
      </c>
    </row>
    <row r="3094" ht="16.5" spans="1:5">
      <c r="A3094" s="151">
        <v>3093</v>
      </c>
      <c r="B3094" s="152" t="s">
        <v>10320</v>
      </c>
      <c r="C3094" s="156" t="s">
        <v>16629</v>
      </c>
      <c r="D3094" s="159">
        <v>10</v>
      </c>
      <c r="E3094" s="155">
        <f t="shared" si="104"/>
        <v>1000</v>
      </c>
    </row>
    <row r="3095" ht="16.5" spans="1:5">
      <c r="A3095" s="151">
        <v>3094</v>
      </c>
      <c r="B3095" s="152" t="s">
        <v>10324</v>
      </c>
      <c r="C3095" s="153" t="s">
        <v>16629</v>
      </c>
      <c r="D3095" s="158">
        <v>10</v>
      </c>
      <c r="E3095" s="155">
        <f t="shared" si="104"/>
        <v>1000</v>
      </c>
    </row>
    <row r="3096" ht="16.5" spans="1:5">
      <c r="A3096" s="151">
        <v>3095</v>
      </c>
      <c r="B3096" s="152" t="s">
        <v>10328</v>
      </c>
      <c r="C3096" s="156" t="s">
        <v>16629</v>
      </c>
      <c r="D3096" s="159">
        <v>10</v>
      </c>
      <c r="E3096" s="155">
        <f t="shared" si="104"/>
        <v>1000</v>
      </c>
    </row>
    <row r="3097" ht="16.5" spans="1:5">
      <c r="A3097" s="151">
        <v>3096</v>
      </c>
      <c r="B3097" s="152" t="s">
        <v>10332</v>
      </c>
      <c r="C3097" s="160" t="s">
        <v>16630</v>
      </c>
      <c r="D3097" s="160">
        <v>480</v>
      </c>
      <c r="E3097" s="161">
        <f>SUM(D3097*100)</f>
        <v>48000</v>
      </c>
    </row>
    <row r="3098" ht="16.5" spans="1:5">
      <c r="A3098" s="151">
        <v>3097</v>
      </c>
      <c r="B3098" s="152" t="s">
        <v>10337</v>
      </c>
      <c r="C3098" s="156" t="s">
        <v>16629</v>
      </c>
      <c r="D3098" s="159">
        <v>10</v>
      </c>
      <c r="E3098" s="155">
        <f>+D3098*100</f>
        <v>1000</v>
      </c>
    </row>
    <row r="3099" ht="16.5" spans="1:5">
      <c r="A3099" s="151">
        <v>3098</v>
      </c>
      <c r="B3099" s="152" t="s">
        <v>10340</v>
      </c>
      <c r="C3099" s="153" t="s">
        <v>16629</v>
      </c>
      <c r="D3099" s="154">
        <v>10</v>
      </c>
      <c r="E3099" s="155">
        <f>+D3099*100</f>
        <v>1000</v>
      </c>
    </row>
    <row r="3100" ht="16.5" spans="1:5">
      <c r="A3100" s="151">
        <v>3099</v>
      </c>
      <c r="B3100" s="152" t="s">
        <v>10344</v>
      </c>
      <c r="C3100" s="153" t="s">
        <v>16629</v>
      </c>
      <c r="D3100" s="154">
        <v>10</v>
      </c>
      <c r="E3100" s="155">
        <f>+D3100*100</f>
        <v>1000</v>
      </c>
    </row>
    <row r="3101" ht="16.5" spans="1:5">
      <c r="A3101" s="151">
        <v>3100</v>
      </c>
      <c r="B3101" s="152" t="s">
        <v>10347</v>
      </c>
      <c r="C3101" s="156" t="s">
        <v>16629</v>
      </c>
      <c r="D3101" s="154">
        <v>10</v>
      </c>
      <c r="E3101" s="155">
        <f>+D3101*100</f>
        <v>1000</v>
      </c>
    </row>
    <row r="3102" ht="16.5" spans="1:5">
      <c r="A3102" s="151">
        <v>3101</v>
      </c>
      <c r="B3102" s="152" t="s">
        <v>10350</v>
      </c>
      <c r="C3102" s="166" t="s">
        <v>16632</v>
      </c>
      <c r="D3102" s="166">
        <f>IFERROR(__xludf.DUMMYFUNCTION("""COMPUTED_VALUE"""),10000)</f>
        <v>10000</v>
      </c>
      <c r="E3102" s="168">
        <f>IFERROR(__xludf.DUMMYFUNCTION("""COMPUTED_VALUE"""),1500000)</f>
        <v>1500000</v>
      </c>
    </row>
    <row r="3103" ht="16.5" spans="1:5">
      <c r="A3103" s="151">
        <v>3102</v>
      </c>
      <c r="B3103" s="152" t="s">
        <v>10351</v>
      </c>
      <c r="C3103" s="156" t="s">
        <v>16629</v>
      </c>
      <c r="D3103" s="157">
        <v>10</v>
      </c>
      <c r="E3103" s="155">
        <f>+D3103*100</f>
        <v>1000</v>
      </c>
    </row>
    <row r="3104" ht="16.5" spans="1:5">
      <c r="A3104" s="151">
        <v>3103</v>
      </c>
      <c r="B3104" s="152" t="s">
        <v>10354</v>
      </c>
      <c r="C3104" s="153" t="s">
        <v>16629</v>
      </c>
      <c r="D3104" s="158">
        <v>10</v>
      </c>
      <c r="E3104" s="155">
        <f>+D3104*100</f>
        <v>1000</v>
      </c>
    </row>
    <row r="3105" ht="16.5" spans="1:5">
      <c r="A3105" s="151">
        <v>3104</v>
      </c>
      <c r="B3105" s="152" t="s">
        <v>10357</v>
      </c>
      <c r="C3105" s="156" t="s">
        <v>16629</v>
      </c>
      <c r="D3105" s="159">
        <v>10</v>
      </c>
      <c r="E3105" s="155">
        <f>+D3105*100</f>
        <v>1000</v>
      </c>
    </row>
    <row r="3106" ht="16.5" spans="1:5">
      <c r="A3106" s="151">
        <v>3105</v>
      </c>
      <c r="B3106" s="152" t="s">
        <v>10360</v>
      </c>
      <c r="C3106" s="166" t="s">
        <v>16632</v>
      </c>
      <c r="D3106" s="151">
        <f>IFERROR(__xludf.DUMMYFUNCTION("""COMPUTED_VALUE"""),15000)</f>
        <v>15000</v>
      </c>
      <c r="E3106" s="167">
        <f>IFERROR(__xludf.DUMMYFUNCTION("""COMPUTED_VALUE"""),1500000)</f>
        <v>1500000</v>
      </c>
    </row>
    <row r="3107" ht="16.5" spans="1:5">
      <c r="A3107" s="151">
        <v>3106</v>
      </c>
      <c r="B3107" s="152" t="s">
        <v>10361</v>
      </c>
      <c r="C3107" s="166" t="s">
        <v>16632</v>
      </c>
      <c r="D3107" s="151">
        <f>IFERROR(__xludf.DUMMYFUNCTION("""COMPUTED_VALUE"""),15000)</f>
        <v>15000</v>
      </c>
      <c r="E3107" s="167">
        <f>IFERROR(__xludf.DUMMYFUNCTION("""COMPUTED_VALUE"""),1500000)</f>
        <v>1500000</v>
      </c>
    </row>
    <row r="3108" ht="16.5" spans="1:5">
      <c r="A3108" s="151">
        <v>3107</v>
      </c>
      <c r="B3108" s="152" t="s">
        <v>10362</v>
      </c>
      <c r="C3108" s="166" t="s">
        <v>16632</v>
      </c>
      <c r="D3108" s="166">
        <f>IFERROR(__xludf.DUMMYFUNCTION("""COMPUTED_VALUE"""),10000)</f>
        <v>10000</v>
      </c>
      <c r="E3108" s="168">
        <f>IFERROR(__xludf.DUMMYFUNCTION("""COMPUTED_VALUE"""),1500000)</f>
        <v>1500000</v>
      </c>
    </row>
    <row r="3109" ht="16.5" spans="1:5">
      <c r="A3109" s="151">
        <v>3108</v>
      </c>
      <c r="B3109" s="152" t="s">
        <v>10362</v>
      </c>
      <c r="C3109" s="160" t="s">
        <v>16630</v>
      </c>
      <c r="D3109" s="160">
        <v>50</v>
      </c>
      <c r="E3109" s="161">
        <f>SUM(D3109*100)</f>
        <v>5000</v>
      </c>
    </row>
    <row r="3110" ht="16.5" spans="1:5">
      <c r="A3110" s="151">
        <v>3109</v>
      </c>
      <c r="B3110" s="152" t="s">
        <v>10363</v>
      </c>
      <c r="C3110" s="162" t="s">
        <v>16633</v>
      </c>
      <c r="D3110" s="171">
        <f>G3110/100</f>
        <v>0</v>
      </c>
      <c r="E3110" s="171">
        <f>G3110</f>
        <v>0</v>
      </c>
    </row>
    <row r="3111" ht="16.5" spans="1:5">
      <c r="A3111" s="151">
        <v>3110</v>
      </c>
      <c r="B3111" s="152" t="s">
        <v>10367</v>
      </c>
      <c r="C3111" s="160" t="s">
        <v>16630</v>
      </c>
      <c r="D3111" s="41">
        <v>100</v>
      </c>
      <c r="E3111" s="161">
        <f>SUM(D3111*100)</f>
        <v>10000</v>
      </c>
    </row>
    <row r="3112" ht="16.5" spans="1:5">
      <c r="A3112" s="151">
        <v>3111</v>
      </c>
      <c r="B3112" s="152" t="s">
        <v>10370</v>
      </c>
      <c r="C3112" s="160" t="s">
        <v>16630</v>
      </c>
      <c r="D3112" s="160">
        <v>100</v>
      </c>
      <c r="E3112" s="161">
        <f>SUM(D3112*100)</f>
        <v>10000</v>
      </c>
    </row>
    <row r="3113" ht="16.5" spans="1:5">
      <c r="A3113" s="151">
        <v>3112</v>
      </c>
      <c r="B3113" s="152" t="s">
        <v>10370</v>
      </c>
      <c r="C3113" s="162" t="s">
        <v>16631</v>
      </c>
      <c r="D3113" s="163">
        <v>1000</v>
      </c>
      <c r="E3113" s="163">
        <f>D3113*100</f>
        <v>100000</v>
      </c>
    </row>
    <row r="3114" ht="16.5" spans="1:5">
      <c r="A3114" s="151">
        <v>3113</v>
      </c>
      <c r="B3114" s="152" t="s">
        <v>10374</v>
      </c>
      <c r="C3114" s="160" t="s">
        <v>16630</v>
      </c>
      <c r="D3114" s="165">
        <v>100</v>
      </c>
      <c r="E3114" s="161">
        <f>SUM(D3114*100)</f>
        <v>10000</v>
      </c>
    </row>
    <row r="3115" ht="16.5" spans="1:5">
      <c r="A3115" s="151">
        <v>3114</v>
      </c>
      <c r="B3115" s="152" t="s">
        <v>10377</v>
      </c>
      <c r="C3115" s="160" t="s">
        <v>16630</v>
      </c>
      <c r="D3115" s="160">
        <v>100</v>
      </c>
      <c r="E3115" s="161">
        <f>SUM(D3115*100)</f>
        <v>10000</v>
      </c>
    </row>
    <row r="3116" ht="16.5" spans="1:5">
      <c r="A3116" s="151">
        <v>3115</v>
      </c>
      <c r="B3116" s="152" t="s">
        <v>10381</v>
      </c>
      <c r="C3116" s="160" t="s">
        <v>16630</v>
      </c>
      <c r="D3116" s="160">
        <v>500</v>
      </c>
      <c r="E3116" s="161">
        <f>SUM(D3116*100)</f>
        <v>50000</v>
      </c>
    </row>
    <row r="3117" ht="16.5" spans="1:5">
      <c r="A3117" s="151">
        <v>3116</v>
      </c>
      <c r="B3117" s="152" t="s">
        <v>10385</v>
      </c>
      <c r="C3117" s="160" t="s">
        <v>16630</v>
      </c>
      <c r="D3117" s="160">
        <v>2000</v>
      </c>
      <c r="E3117" s="161">
        <f>SUM(D3117*100)</f>
        <v>200000</v>
      </c>
    </row>
    <row r="3118" ht="16.5" spans="1:5">
      <c r="A3118" s="151">
        <v>3117</v>
      </c>
      <c r="B3118" s="152" t="s">
        <v>10389</v>
      </c>
      <c r="C3118" s="162" t="s">
        <v>16631</v>
      </c>
      <c r="D3118" s="163">
        <v>1000</v>
      </c>
      <c r="E3118" s="163">
        <f>D3118*100</f>
        <v>100000</v>
      </c>
    </row>
    <row r="3119" ht="16.5" spans="1:5">
      <c r="A3119" s="151">
        <v>3118</v>
      </c>
      <c r="B3119" s="152" t="s">
        <v>10393</v>
      </c>
      <c r="C3119" s="162" t="s">
        <v>16631</v>
      </c>
      <c r="D3119" s="169">
        <v>1000</v>
      </c>
      <c r="E3119" s="170">
        <f>D3119*100</f>
        <v>100000</v>
      </c>
    </row>
    <row r="3120" ht="16.5" spans="1:5">
      <c r="A3120" s="151">
        <v>3119</v>
      </c>
      <c r="B3120" s="152" t="s">
        <v>10396</v>
      </c>
      <c r="C3120" s="153" t="s">
        <v>16629</v>
      </c>
      <c r="D3120" s="158">
        <v>10</v>
      </c>
      <c r="E3120" s="155">
        <f>+D3120*100</f>
        <v>1000</v>
      </c>
    </row>
    <row r="3121" ht="16.5" spans="1:5">
      <c r="A3121" s="151">
        <v>3120</v>
      </c>
      <c r="B3121" s="152" t="s">
        <v>10399</v>
      </c>
      <c r="C3121" s="162" t="s">
        <v>16631</v>
      </c>
      <c r="D3121" s="163">
        <v>3000</v>
      </c>
      <c r="E3121" s="163">
        <f>D3121*100</f>
        <v>300000</v>
      </c>
    </row>
    <row r="3122" ht="16.5" spans="1:5">
      <c r="A3122" s="151">
        <v>3121</v>
      </c>
      <c r="B3122" s="152" t="s">
        <v>10403</v>
      </c>
      <c r="C3122" s="162" t="s">
        <v>16633</v>
      </c>
      <c r="D3122" s="171">
        <f>G3122/100</f>
        <v>0</v>
      </c>
      <c r="E3122" s="171">
        <f>G3122</f>
        <v>0</v>
      </c>
    </row>
    <row r="3123" ht="16.5" spans="1:5">
      <c r="A3123" s="151">
        <v>3122</v>
      </c>
      <c r="B3123" s="152" t="s">
        <v>10406</v>
      </c>
      <c r="C3123" s="156" t="s">
        <v>16629</v>
      </c>
      <c r="D3123" s="159">
        <v>10</v>
      </c>
      <c r="E3123" s="155">
        <f>+D3123*100</f>
        <v>1000</v>
      </c>
    </row>
    <row r="3124" ht="16.5" spans="1:5">
      <c r="A3124" s="151">
        <v>3123</v>
      </c>
      <c r="B3124" s="152" t="s">
        <v>10409</v>
      </c>
      <c r="C3124" s="160" t="s">
        <v>16630</v>
      </c>
      <c r="D3124" s="160">
        <v>50</v>
      </c>
      <c r="E3124" s="161">
        <f>SUM(D3124*100)</f>
        <v>5000</v>
      </c>
    </row>
    <row r="3125" ht="16.5" spans="1:5">
      <c r="A3125" s="151">
        <v>3124</v>
      </c>
      <c r="B3125" s="152" t="s">
        <v>10413</v>
      </c>
      <c r="C3125" s="160" t="s">
        <v>16630</v>
      </c>
      <c r="D3125" s="160">
        <v>5000</v>
      </c>
      <c r="E3125" s="161">
        <f>SUM(D3125*10)</f>
        <v>50000</v>
      </c>
    </row>
    <row r="3126" ht="16.5" spans="1:5">
      <c r="A3126" s="151">
        <v>3125</v>
      </c>
      <c r="B3126" s="152" t="s">
        <v>10417</v>
      </c>
      <c r="C3126" s="162" t="s">
        <v>16631</v>
      </c>
      <c r="D3126" s="163">
        <v>1000</v>
      </c>
      <c r="E3126" s="163">
        <f>D3126*100</f>
        <v>100000</v>
      </c>
    </row>
    <row r="3127" ht="16.5" spans="1:5">
      <c r="A3127" s="151">
        <v>3126</v>
      </c>
      <c r="B3127" s="152" t="s">
        <v>10422</v>
      </c>
      <c r="C3127" s="156" t="s">
        <v>16629</v>
      </c>
      <c r="D3127" s="159">
        <v>10</v>
      </c>
      <c r="E3127" s="155">
        <f t="shared" ref="E3127:E3133" si="105">+D3127*100</f>
        <v>1000</v>
      </c>
    </row>
    <row r="3128" ht="16.5" spans="1:5">
      <c r="A3128" s="151">
        <v>3127</v>
      </c>
      <c r="B3128" s="152" t="s">
        <v>10425</v>
      </c>
      <c r="C3128" s="153" t="s">
        <v>16629</v>
      </c>
      <c r="D3128" s="154">
        <v>10</v>
      </c>
      <c r="E3128" s="155">
        <f t="shared" si="105"/>
        <v>1000</v>
      </c>
    </row>
    <row r="3129" ht="16.5" spans="1:5">
      <c r="A3129" s="151">
        <v>3128</v>
      </c>
      <c r="B3129" s="152" t="s">
        <v>10428</v>
      </c>
      <c r="C3129" s="153" t="s">
        <v>16629</v>
      </c>
      <c r="D3129" s="154">
        <v>10</v>
      </c>
      <c r="E3129" s="155">
        <f t="shared" si="105"/>
        <v>1000</v>
      </c>
    </row>
    <row r="3130" ht="16.5" spans="1:5">
      <c r="A3130" s="151">
        <v>3129</v>
      </c>
      <c r="B3130" s="152" t="s">
        <v>10432</v>
      </c>
      <c r="C3130" s="153" t="s">
        <v>16629</v>
      </c>
      <c r="D3130" s="154">
        <v>10</v>
      </c>
      <c r="E3130" s="155">
        <f t="shared" si="105"/>
        <v>1000</v>
      </c>
    </row>
    <row r="3131" ht="16.5" spans="1:5">
      <c r="A3131" s="151">
        <v>3130</v>
      </c>
      <c r="B3131" s="152" t="s">
        <v>10436</v>
      </c>
      <c r="C3131" s="156" t="s">
        <v>16629</v>
      </c>
      <c r="D3131" s="159">
        <v>10</v>
      </c>
      <c r="E3131" s="155">
        <f t="shared" si="105"/>
        <v>1000</v>
      </c>
    </row>
    <row r="3132" ht="16.5" spans="1:5">
      <c r="A3132" s="151">
        <v>3131</v>
      </c>
      <c r="B3132" s="152" t="s">
        <v>10440</v>
      </c>
      <c r="C3132" s="156" t="s">
        <v>16629</v>
      </c>
      <c r="D3132" s="157">
        <v>10</v>
      </c>
      <c r="E3132" s="155">
        <f t="shared" si="105"/>
        <v>1000</v>
      </c>
    </row>
    <row r="3133" ht="16.5" spans="1:5">
      <c r="A3133" s="151">
        <v>3132</v>
      </c>
      <c r="B3133" s="152" t="s">
        <v>10443</v>
      </c>
      <c r="C3133" s="153" t="s">
        <v>16629</v>
      </c>
      <c r="D3133" s="154">
        <v>10</v>
      </c>
      <c r="E3133" s="155">
        <f t="shared" si="105"/>
        <v>1000</v>
      </c>
    </row>
    <row r="3134" ht="16.5" spans="1:5">
      <c r="A3134" s="151">
        <v>3133</v>
      </c>
      <c r="B3134" s="152" t="s">
        <v>10447</v>
      </c>
      <c r="C3134" s="160" t="s">
        <v>16630</v>
      </c>
      <c r="D3134" s="164">
        <v>10</v>
      </c>
      <c r="E3134" s="161">
        <f>SUM(D3134*100)</f>
        <v>1000</v>
      </c>
    </row>
    <row r="3135" ht="16.5" spans="1:5">
      <c r="A3135" s="151">
        <v>3134</v>
      </c>
      <c r="B3135" s="152" t="s">
        <v>10450</v>
      </c>
      <c r="C3135" s="156" t="s">
        <v>16629</v>
      </c>
      <c r="D3135" s="159">
        <v>10</v>
      </c>
      <c r="E3135" s="155">
        <f>+D3135*100</f>
        <v>1000</v>
      </c>
    </row>
    <row r="3136" ht="16.5" spans="1:5">
      <c r="A3136" s="151">
        <v>3135</v>
      </c>
      <c r="B3136" s="152" t="s">
        <v>10453</v>
      </c>
      <c r="C3136" s="153" t="s">
        <v>16629</v>
      </c>
      <c r="D3136" s="154">
        <v>10</v>
      </c>
      <c r="E3136" s="155">
        <f>+D3136*100</f>
        <v>1000</v>
      </c>
    </row>
    <row r="3137" ht="16.5" spans="1:5">
      <c r="A3137" s="151">
        <v>3136</v>
      </c>
      <c r="B3137" s="152" t="s">
        <v>10457</v>
      </c>
      <c r="C3137" s="160" t="s">
        <v>16630</v>
      </c>
      <c r="D3137" s="160">
        <v>10</v>
      </c>
      <c r="E3137" s="161">
        <f>SUM(D3137*100)</f>
        <v>1000</v>
      </c>
    </row>
    <row r="3138" ht="16.5" spans="1:5">
      <c r="A3138" s="151">
        <v>3137</v>
      </c>
      <c r="B3138" s="152" t="s">
        <v>10461</v>
      </c>
      <c r="C3138" s="153" t="s">
        <v>16629</v>
      </c>
      <c r="D3138" s="154">
        <v>10</v>
      </c>
      <c r="E3138" s="155">
        <f>+D3138*100</f>
        <v>1000</v>
      </c>
    </row>
    <row r="3139" ht="16.5" spans="1:5">
      <c r="A3139" s="151">
        <v>3138</v>
      </c>
      <c r="B3139" s="152" t="s">
        <v>10464</v>
      </c>
      <c r="C3139" s="153" t="s">
        <v>16629</v>
      </c>
      <c r="D3139" s="158">
        <v>10</v>
      </c>
      <c r="E3139" s="155">
        <f>+D3139*100</f>
        <v>1000</v>
      </c>
    </row>
    <row r="3140" ht="16.5" spans="1:5">
      <c r="A3140" s="151">
        <v>3139</v>
      </c>
      <c r="B3140" s="152" t="s">
        <v>10467</v>
      </c>
      <c r="C3140" s="156" t="s">
        <v>16629</v>
      </c>
      <c r="D3140" s="157">
        <v>10</v>
      </c>
      <c r="E3140" s="155">
        <f>+D3140*100</f>
        <v>1000</v>
      </c>
    </row>
    <row r="3141" ht="16.5" spans="1:5">
      <c r="A3141" s="151">
        <v>3140</v>
      </c>
      <c r="B3141" s="152" t="s">
        <v>10470</v>
      </c>
      <c r="C3141" s="153" t="s">
        <v>16629</v>
      </c>
      <c r="D3141" s="154">
        <v>10</v>
      </c>
      <c r="E3141" s="155">
        <f>+D3141*100</f>
        <v>1000</v>
      </c>
    </row>
    <row r="3142" ht="16.5" spans="1:5">
      <c r="A3142" s="151">
        <v>3141</v>
      </c>
      <c r="B3142" s="152" t="s">
        <v>10473</v>
      </c>
      <c r="C3142" s="166" t="s">
        <v>16632</v>
      </c>
      <c r="D3142" s="183">
        <f>IFERROR(__xludf.DUMMYFUNCTION("""COMPUTED_VALUE"""),10000)</f>
        <v>10000</v>
      </c>
      <c r="E3142" s="184">
        <f>IFERROR(__xludf.DUMMYFUNCTION("""COMPUTED_VALUE"""),1500000)</f>
        <v>1500000</v>
      </c>
    </row>
    <row r="3143" ht="16.5" spans="1:5">
      <c r="A3143" s="151">
        <v>3142</v>
      </c>
      <c r="B3143" s="152" t="s">
        <v>10474</v>
      </c>
      <c r="C3143" s="153" t="s">
        <v>16629</v>
      </c>
      <c r="D3143" s="154">
        <v>10</v>
      </c>
      <c r="E3143" s="155">
        <f>+D3143*100</f>
        <v>1000</v>
      </c>
    </row>
    <row r="3144" ht="16.5" spans="1:5">
      <c r="A3144" s="151">
        <v>3143</v>
      </c>
      <c r="B3144" s="152" t="s">
        <v>10477</v>
      </c>
      <c r="C3144" s="156" t="s">
        <v>16629</v>
      </c>
      <c r="D3144" s="159">
        <v>10</v>
      </c>
      <c r="E3144" s="155">
        <f>+D3144*100</f>
        <v>1000</v>
      </c>
    </row>
    <row r="3145" ht="16.5" spans="1:5">
      <c r="A3145" s="151">
        <v>3144</v>
      </c>
      <c r="B3145" s="152" t="s">
        <v>10481</v>
      </c>
      <c r="C3145" s="153" t="s">
        <v>16629</v>
      </c>
      <c r="D3145" s="158">
        <v>10</v>
      </c>
      <c r="E3145" s="155">
        <f>+D3145*100</f>
        <v>1000</v>
      </c>
    </row>
    <row r="3146" ht="16.5" spans="1:5">
      <c r="A3146" s="151">
        <v>3145</v>
      </c>
      <c r="B3146" s="152" t="s">
        <v>10484</v>
      </c>
      <c r="C3146" s="156" t="s">
        <v>16629</v>
      </c>
      <c r="D3146" s="157">
        <v>10</v>
      </c>
      <c r="E3146" s="155">
        <f>+D3146*100</f>
        <v>1000</v>
      </c>
    </row>
    <row r="3147" ht="16.5" spans="1:5">
      <c r="A3147" s="151">
        <v>3146</v>
      </c>
      <c r="B3147" s="152" t="s">
        <v>10487</v>
      </c>
      <c r="C3147" s="160" t="s">
        <v>16630</v>
      </c>
      <c r="D3147" s="175">
        <v>10</v>
      </c>
      <c r="E3147" s="161">
        <f>SUM(D3147*100)</f>
        <v>1000</v>
      </c>
    </row>
    <row r="3148" ht="16.5" spans="1:5">
      <c r="A3148" s="151">
        <v>3147</v>
      </c>
      <c r="B3148" s="152" t="s">
        <v>10490</v>
      </c>
      <c r="C3148" s="166" t="s">
        <v>16632</v>
      </c>
      <c r="D3148" s="166">
        <f>IFERROR(__xludf.DUMMYFUNCTION("""COMPUTED_VALUE"""),10000)</f>
        <v>10000</v>
      </c>
      <c r="E3148" s="168">
        <f>IFERROR(__xludf.DUMMYFUNCTION("""COMPUTED_VALUE"""),1500000)</f>
        <v>1500000</v>
      </c>
    </row>
    <row r="3149" ht="16.5" spans="1:5">
      <c r="A3149" s="151">
        <v>3148</v>
      </c>
      <c r="B3149" s="152" t="s">
        <v>10491</v>
      </c>
      <c r="C3149" s="156" t="s">
        <v>16629</v>
      </c>
      <c r="D3149" s="159">
        <v>10</v>
      </c>
      <c r="E3149" s="155">
        <f>+D3149*100</f>
        <v>1000</v>
      </c>
    </row>
    <row r="3150" ht="16.5" spans="1:5">
      <c r="A3150" s="151">
        <v>3149</v>
      </c>
      <c r="B3150" s="152" t="s">
        <v>10494</v>
      </c>
      <c r="C3150" s="162" t="s">
        <v>16631</v>
      </c>
      <c r="D3150" s="163">
        <v>1000</v>
      </c>
      <c r="E3150" s="163">
        <f>D3150*100</f>
        <v>100000</v>
      </c>
    </row>
    <row r="3151" ht="16.5" spans="1:5">
      <c r="A3151" s="151">
        <v>3150</v>
      </c>
      <c r="B3151" s="152" t="s">
        <v>10497</v>
      </c>
      <c r="C3151" s="153" t="s">
        <v>16629</v>
      </c>
      <c r="D3151" s="154">
        <v>10</v>
      </c>
      <c r="E3151" s="155">
        <f t="shared" ref="E3151:E3168" si="106">+D3151*100</f>
        <v>1000</v>
      </c>
    </row>
    <row r="3152" ht="16.5" spans="1:5">
      <c r="A3152" s="151">
        <v>3151</v>
      </c>
      <c r="B3152" s="152" t="s">
        <v>10500</v>
      </c>
      <c r="C3152" s="153" t="s">
        <v>16629</v>
      </c>
      <c r="D3152" s="158">
        <v>10</v>
      </c>
      <c r="E3152" s="155">
        <f t="shared" si="106"/>
        <v>1000</v>
      </c>
    </row>
    <row r="3153" ht="16.5" spans="1:5">
      <c r="A3153" s="151">
        <v>3152</v>
      </c>
      <c r="B3153" s="152" t="s">
        <v>10504</v>
      </c>
      <c r="C3153" s="156" t="s">
        <v>16629</v>
      </c>
      <c r="D3153" s="159">
        <v>10</v>
      </c>
      <c r="E3153" s="155">
        <f t="shared" si="106"/>
        <v>1000</v>
      </c>
    </row>
    <row r="3154" ht="16.5" spans="1:5">
      <c r="A3154" s="151">
        <v>3153</v>
      </c>
      <c r="B3154" s="152" t="s">
        <v>10507</v>
      </c>
      <c r="C3154" s="156" t="s">
        <v>16629</v>
      </c>
      <c r="D3154" s="157">
        <v>10</v>
      </c>
      <c r="E3154" s="155">
        <f t="shared" si="106"/>
        <v>1000</v>
      </c>
    </row>
    <row r="3155" ht="16.5" spans="1:5">
      <c r="A3155" s="151">
        <v>3154</v>
      </c>
      <c r="B3155" s="152" t="s">
        <v>10510</v>
      </c>
      <c r="C3155" s="153" t="s">
        <v>16629</v>
      </c>
      <c r="D3155" s="158">
        <v>10</v>
      </c>
      <c r="E3155" s="155">
        <f t="shared" si="106"/>
        <v>1000</v>
      </c>
    </row>
    <row r="3156" ht="16.5" spans="1:5">
      <c r="A3156" s="151">
        <v>3155</v>
      </c>
      <c r="B3156" s="152" t="s">
        <v>10513</v>
      </c>
      <c r="C3156" s="153" t="s">
        <v>16629</v>
      </c>
      <c r="D3156" s="154">
        <v>10</v>
      </c>
      <c r="E3156" s="155">
        <f t="shared" si="106"/>
        <v>1000</v>
      </c>
    </row>
    <row r="3157" ht="16.5" spans="1:5">
      <c r="A3157" s="151">
        <v>3156</v>
      </c>
      <c r="B3157" s="152" t="s">
        <v>10516</v>
      </c>
      <c r="C3157" s="153" t="s">
        <v>16629</v>
      </c>
      <c r="D3157" s="154">
        <v>10</v>
      </c>
      <c r="E3157" s="155">
        <f t="shared" si="106"/>
        <v>1000</v>
      </c>
    </row>
    <row r="3158" ht="16.5" spans="1:5">
      <c r="A3158" s="151">
        <v>3157</v>
      </c>
      <c r="B3158" s="152" t="s">
        <v>10519</v>
      </c>
      <c r="C3158" s="153" t="s">
        <v>16629</v>
      </c>
      <c r="D3158" s="154">
        <v>10</v>
      </c>
      <c r="E3158" s="155">
        <f t="shared" si="106"/>
        <v>1000</v>
      </c>
    </row>
    <row r="3159" ht="16.5" spans="1:5">
      <c r="A3159" s="151">
        <v>3158</v>
      </c>
      <c r="B3159" s="152" t="s">
        <v>10523</v>
      </c>
      <c r="C3159" s="156" t="s">
        <v>16629</v>
      </c>
      <c r="D3159" s="159">
        <v>10</v>
      </c>
      <c r="E3159" s="155">
        <f t="shared" si="106"/>
        <v>1000</v>
      </c>
    </row>
    <row r="3160" ht="16.5" spans="1:5">
      <c r="A3160" s="151">
        <v>3159</v>
      </c>
      <c r="B3160" s="152" t="s">
        <v>10526</v>
      </c>
      <c r="C3160" s="156" t="s">
        <v>16629</v>
      </c>
      <c r="D3160" s="159">
        <v>10</v>
      </c>
      <c r="E3160" s="155">
        <f t="shared" si="106"/>
        <v>1000</v>
      </c>
    </row>
    <row r="3161" ht="16.5" spans="1:5">
      <c r="A3161" s="151">
        <v>3160</v>
      </c>
      <c r="B3161" s="152" t="s">
        <v>10529</v>
      </c>
      <c r="C3161" s="156" t="s">
        <v>16629</v>
      </c>
      <c r="D3161" s="159">
        <v>10</v>
      </c>
      <c r="E3161" s="155">
        <f t="shared" si="106"/>
        <v>1000</v>
      </c>
    </row>
    <row r="3162" ht="16.5" spans="1:5">
      <c r="A3162" s="151">
        <v>3161</v>
      </c>
      <c r="B3162" s="152" t="s">
        <v>10533</v>
      </c>
      <c r="C3162" s="153" t="s">
        <v>16629</v>
      </c>
      <c r="D3162" s="154">
        <v>10</v>
      </c>
      <c r="E3162" s="155">
        <f t="shared" si="106"/>
        <v>1000</v>
      </c>
    </row>
    <row r="3163" ht="16.5" spans="1:5">
      <c r="A3163" s="151">
        <v>3162</v>
      </c>
      <c r="B3163" s="152" t="s">
        <v>10536</v>
      </c>
      <c r="C3163" s="156" t="s">
        <v>16629</v>
      </c>
      <c r="D3163" s="157">
        <v>10</v>
      </c>
      <c r="E3163" s="155">
        <f t="shared" si="106"/>
        <v>1000</v>
      </c>
    </row>
    <row r="3164" ht="16.5" spans="1:5">
      <c r="A3164" s="151">
        <v>3163</v>
      </c>
      <c r="B3164" s="152" t="s">
        <v>10539</v>
      </c>
      <c r="C3164" s="153" t="s">
        <v>16629</v>
      </c>
      <c r="D3164" s="158">
        <v>10</v>
      </c>
      <c r="E3164" s="155">
        <f t="shared" si="106"/>
        <v>1000</v>
      </c>
    </row>
    <row r="3165" ht="16.5" spans="1:5">
      <c r="A3165" s="151">
        <v>3164</v>
      </c>
      <c r="B3165" s="152" t="s">
        <v>10542</v>
      </c>
      <c r="C3165" s="153" t="s">
        <v>16629</v>
      </c>
      <c r="D3165" s="154">
        <v>10</v>
      </c>
      <c r="E3165" s="155">
        <f t="shared" si="106"/>
        <v>1000</v>
      </c>
    </row>
    <row r="3166" ht="16.5" spans="1:5">
      <c r="A3166" s="151">
        <v>3165</v>
      </c>
      <c r="B3166" s="152" t="s">
        <v>10546</v>
      </c>
      <c r="C3166" s="153" t="s">
        <v>16629</v>
      </c>
      <c r="D3166" s="154">
        <v>10</v>
      </c>
      <c r="E3166" s="155">
        <f t="shared" si="106"/>
        <v>1000</v>
      </c>
    </row>
    <row r="3167" ht="16.5" spans="1:5">
      <c r="A3167" s="151">
        <v>3166</v>
      </c>
      <c r="B3167" s="152" t="s">
        <v>10549</v>
      </c>
      <c r="C3167" s="153" t="s">
        <v>16629</v>
      </c>
      <c r="D3167" s="154">
        <v>10</v>
      </c>
      <c r="E3167" s="155">
        <f t="shared" si="106"/>
        <v>1000</v>
      </c>
    </row>
    <row r="3168" ht="16.5" spans="1:5">
      <c r="A3168" s="151">
        <v>3167</v>
      </c>
      <c r="B3168" s="152" t="s">
        <v>10552</v>
      </c>
      <c r="C3168" s="153" t="s">
        <v>16629</v>
      </c>
      <c r="D3168" s="154">
        <v>10</v>
      </c>
      <c r="E3168" s="155">
        <f t="shared" si="106"/>
        <v>1000</v>
      </c>
    </row>
    <row r="3169" ht="16.5" spans="1:5">
      <c r="A3169" s="151">
        <v>3168</v>
      </c>
      <c r="B3169" s="152" t="s">
        <v>10556</v>
      </c>
      <c r="C3169" s="166" t="s">
        <v>16632</v>
      </c>
      <c r="D3169" s="151">
        <f>IFERROR(__xludf.DUMMYFUNCTION("""COMPUTED_VALUE"""),10000)</f>
        <v>10000</v>
      </c>
      <c r="E3169" s="167">
        <f>IFERROR(__xludf.DUMMYFUNCTION("""COMPUTED_VALUE"""),1500000)</f>
        <v>1500000</v>
      </c>
    </row>
    <row r="3170" ht="16.5" spans="1:5">
      <c r="A3170" s="151">
        <v>3169</v>
      </c>
      <c r="B3170" s="152" t="s">
        <v>10556</v>
      </c>
      <c r="C3170" s="166" t="s">
        <v>16632</v>
      </c>
      <c r="D3170" s="151">
        <f>IFERROR(__xludf.DUMMYFUNCTION("""COMPUTED_VALUE"""),10000)</f>
        <v>10000</v>
      </c>
      <c r="E3170" s="167">
        <f>IFERROR(__xludf.DUMMYFUNCTION("""COMPUTED_VALUE"""),1500000)</f>
        <v>1500000</v>
      </c>
    </row>
    <row r="3171" ht="16.5" spans="1:5">
      <c r="A3171" s="151">
        <v>3170</v>
      </c>
      <c r="B3171" s="152" t="s">
        <v>10557</v>
      </c>
      <c r="C3171" s="156" t="s">
        <v>16629</v>
      </c>
      <c r="D3171" s="159">
        <v>10</v>
      </c>
      <c r="E3171" s="155">
        <f>+D3171*100</f>
        <v>1000</v>
      </c>
    </row>
    <row r="3172" ht="16.5" spans="1:5">
      <c r="A3172" s="151">
        <v>3171</v>
      </c>
      <c r="B3172" s="152" t="s">
        <v>10560</v>
      </c>
      <c r="C3172" s="153" t="s">
        <v>16629</v>
      </c>
      <c r="D3172" s="154">
        <v>10</v>
      </c>
      <c r="E3172" s="155">
        <f>+D3172*100</f>
        <v>1000</v>
      </c>
    </row>
    <row r="3173" ht="16.5" spans="1:5">
      <c r="A3173" s="151">
        <v>3172</v>
      </c>
      <c r="B3173" s="152" t="s">
        <v>10563</v>
      </c>
      <c r="C3173" s="156" t="s">
        <v>16629</v>
      </c>
      <c r="D3173" s="157">
        <v>10</v>
      </c>
      <c r="E3173" s="155">
        <f>+D3173*100</f>
        <v>1000</v>
      </c>
    </row>
    <row r="3174" ht="16.5" spans="1:5">
      <c r="A3174" s="151">
        <v>3173</v>
      </c>
      <c r="B3174" s="152" t="s">
        <v>10566</v>
      </c>
      <c r="C3174" s="153" t="s">
        <v>16629</v>
      </c>
      <c r="D3174" s="154">
        <v>10</v>
      </c>
      <c r="E3174" s="155">
        <f>+D3174*100</f>
        <v>1000</v>
      </c>
    </row>
    <row r="3175" ht="16.5" spans="1:5">
      <c r="A3175" s="151">
        <v>3174</v>
      </c>
      <c r="B3175" s="152" t="s">
        <v>10569</v>
      </c>
      <c r="C3175" s="156" t="s">
        <v>16629</v>
      </c>
      <c r="D3175" s="154">
        <v>10</v>
      </c>
      <c r="E3175" s="155">
        <f>+D3175*100</f>
        <v>1000</v>
      </c>
    </row>
    <row r="3176" ht="16.5" spans="1:5">
      <c r="A3176" s="151">
        <v>3175</v>
      </c>
      <c r="B3176" s="152" t="s">
        <v>10572</v>
      </c>
      <c r="C3176" s="160" t="s">
        <v>16630</v>
      </c>
      <c r="D3176" s="160">
        <v>2000</v>
      </c>
      <c r="E3176" s="161">
        <f>SUM(D3176*100)</f>
        <v>200000</v>
      </c>
    </row>
    <row r="3177" ht="16.5" spans="1:5">
      <c r="A3177" s="151">
        <v>3176</v>
      </c>
      <c r="B3177" s="152" t="s">
        <v>10577</v>
      </c>
      <c r="C3177" s="153" t="s">
        <v>16629</v>
      </c>
      <c r="D3177" s="154">
        <v>10</v>
      </c>
      <c r="E3177" s="155">
        <f t="shared" ref="E3177:E3185" si="107">+D3177*100</f>
        <v>1000</v>
      </c>
    </row>
    <row r="3178" ht="16.5" spans="1:5">
      <c r="A3178" s="151">
        <v>3177</v>
      </c>
      <c r="B3178" s="152" t="s">
        <v>10580</v>
      </c>
      <c r="C3178" s="153" t="s">
        <v>16629</v>
      </c>
      <c r="D3178" s="158">
        <v>10</v>
      </c>
      <c r="E3178" s="155">
        <f t="shared" si="107"/>
        <v>1000</v>
      </c>
    </row>
    <row r="3179" ht="16.5" spans="1:5">
      <c r="A3179" s="151">
        <v>3178</v>
      </c>
      <c r="B3179" s="152" t="s">
        <v>10583</v>
      </c>
      <c r="C3179" s="156" t="s">
        <v>16629</v>
      </c>
      <c r="D3179" s="159">
        <v>10</v>
      </c>
      <c r="E3179" s="155">
        <f t="shared" si="107"/>
        <v>1000</v>
      </c>
    </row>
    <row r="3180" ht="16.5" spans="1:5">
      <c r="A3180" s="151">
        <v>3179</v>
      </c>
      <c r="B3180" s="152" t="s">
        <v>10586</v>
      </c>
      <c r="C3180" s="156" t="s">
        <v>16629</v>
      </c>
      <c r="D3180" s="159">
        <v>10</v>
      </c>
      <c r="E3180" s="155">
        <f t="shared" si="107"/>
        <v>1000</v>
      </c>
    </row>
    <row r="3181" ht="16.5" spans="1:5">
      <c r="A3181" s="151">
        <v>3180</v>
      </c>
      <c r="B3181" s="152" t="s">
        <v>10590</v>
      </c>
      <c r="C3181" s="156" t="s">
        <v>16629</v>
      </c>
      <c r="D3181" s="159">
        <v>10</v>
      </c>
      <c r="E3181" s="155">
        <f t="shared" si="107"/>
        <v>1000</v>
      </c>
    </row>
    <row r="3182" ht="16.5" spans="1:5">
      <c r="A3182" s="151">
        <v>3181</v>
      </c>
      <c r="B3182" s="152" t="s">
        <v>10593</v>
      </c>
      <c r="C3182" s="153" t="s">
        <v>16629</v>
      </c>
      <c r="D3182" s="154">
        <v>10</v>
      </c>
      <c r="E3182" s="155">
        <f t="shared" si="107"/>
        <v>1000</v>
      </c>
    </row>
    <row r="3183" ht="16.5" spans="1:5">
      <c r="A3183" s="151">
        <v>3182</v>
      </c>
      <c r="B3183" s="152" t="s">
        <v>10596</v>
      </c>
      <c r="C3183" s="153" t="s">
        <v>16629</v>
      </c>
      <c r="D3183" s="154">
        <v>10</v>
      </c>
      <c r="E3183" s="155">
        <f t="shared" si="107"/>
        <v>1000</v>
      </c>
    </row>
    <row r="3184" ht="16.5" spans="1:5">
      <c r="A3184" s="151">
        <v>3183</v>
      </c>
      <c r="B3184" s="152" t="s">
        <v>10599</v>
      </c>
      <c r="C3184" s="156" t="s">
        <v>16629</v>
      </c>
      <c r="D3184" s="159">
        <v>10</v>
      </c>
      <c r="E3184" s="155">
        <f t="shared" si="107"/>
        <v>1000</v>
      </c>
    </row>
    <row r="3185" ht="16.5" spans="1:5">
      <c r="A3185" s="151">
        <v>3184</v>
      </c>
      <c r="B3185" s="152" t="s">
        <v>10602</v>
      </c>
      <c r="C3185" s="153" t="s">
        <v>16629</v>
      </c>
      <c r="D3185" s="154">
        <v>10</v>
      </c>
      <c r="E3185" s="155">
        <f t="shared" si="107"/>
        <v>1000</v>
      </c>
    </row>
    <row r="3186" ht="16.5" spans="1:5">
      <c r="A3186" s="151">
        <v>3185</v>
      </c>
      <c r="B3186" s="152" t="s">
        <v>10605</v>
      </c>
      <c r="C3186" s="160" t="s">
        <v>16630</v>
      </c>
      <c r="D3186" s="160">
        <v>100</v>
      </c>
      <c r="E3186" s="161">
        <f>SUM(D3186*100)</f>
        <v>10000</v>
      </c>
    </row>
    <row r="3187" ht="16.5" spans="1:5">
      <c r="A3187" s="151">
        <v>3186</v>
      </c>
      <c r="B3187" s="152" t="s">
        <v>10609</v>
      </c>
      <c r="C3187" s="153" t="s">
        <v>16629</v>
      </c>
      <c r="D3187" s="158">
        <v>10</v>
      </c>
      <c r="E3187" s="155">
        <f>+D3187*100</f>
        <v>1000</v>
      </c>
    </row>
    <row r="3188" ht="16.5" spans="1:5">
      <c r="A3188" s="151">
        <v>3187</v>
      </c>
      <c r="B3188" s="152" t="s">
        <v>10612</v>
      </c>
      <c r="C3188" s="156" t="s">
        <v>16629</v>
      </c>
      <c r="D3188" s="159">
        <v>10</v>
      </c>
      <c r="E3188" s="155">
        <f>+D3188*100</f>
        <v>1000</v>
      </c>
    </row>
    <row r="3189" ht="16.5" spans="1:5">
      <c r="A3189" s="151">
        <v>3188</v>
      </c>
      <c r="B3189" s="152" t="s">
        <v>10616</v>
      </c>
      <c r="C3189" s="153" t="s">
        <v>16629</v>
      </c>
      <c r="D3189" s="154">
        <v>10</v>
      </c>
      <c r="E3189" s="155">
        <f>+D3189*100</f>
        <v>1000</v>
      </c>
    </row>
    <row r="3190" ht="16.5" spans="1:5">
      <c r="A3190" s="151">
        <v>3189</v>
      </c>
      <c r="B3190" s="152" t="s">
        <v>10620</v>
      </c>
      <c r="C3190" s="156" t="s">
        <v>16629</v>
      </c>
      <c r="D3190" s="159">
        <v>10</v>
      </c>
      <c r="E3190" s="155">
        <f>+D3190*100</f>
        <v>1000</v>
      </c>
    </row>
    <row r="3191" ht="16.5" spans="1:5">
      <c r="A3191" s="151">
        <v>3190</v>
      </c>
      <c r="B3191" s="152" t="s">
        <v>10624</v>
      </c>
      <c r="C3191" s="153" t="s">
        <v>16629</v>
      </c>
      <c r="D3191" s="154">
        <v>10</v>
      </c>
      <c r="E3191" s="155">
        <f>+D3191*100</f>
        <v>1000</v>
      </c>
    </row>
    <row r="3192" ht="16.5" spans="1:5">
      <c r="A3192" s="151">
        <v>3191</v>
      </c>
      <c r="B3192" s="152" t="s">
        <v>10628</v>
      </c>
      <c r="C3192" s="160" t="s">
        <v>16630</v>
      </c>
      <c r="D3192" s="160">
        <v>400</v>
      </c>
      <c r="E3192" s="161">
        <f>SUM(D3192*100)</f>
        <v>40000</v>
      </c>
    </row>
    <row r="3193" ht="16.5" spans="1:5">
      <c r="A3193" s="151">
        <v>3192</v>
      </c>
      <c r="B3193" s="152" t="s">
        <v>10628</v>
      </c>
      <c r="C3193" s="162" t="s">
        <v>16631</v>
      </c>
      <c r="D3193" s="163">
        <v>1000</v>
      </c>
      <c r="E3193" s="163">
        <f>D3193*100</f>
        <v>100000</v>
      </c>
    </row>
    <row r="3194" ht="16.5" spans="1:5">
      <c r="A3194" s="151">
        <v>3193</v>
      </c>
      <c r="B3194" s="152" t="s">
        <v>10632</v>
      </c>
      <c r="C3194" s="160" t="s">
        <v>16630</v>
      </c>
      <c r="D3194" s="160">
        <v>10</v>
      </c>
      <c r="E3194" s="161">
        <f>SUM(D3194*100)</f>
        <v>1000</v>
      </c>
    </row>
    <row r="3195" ht="16.5" spans="1:5">
      <c r="A3195" s="151">
        <v>3194</v>
      </c>
      <c r="B3195" s="152" t="s">
        <v>10636</v>
      </c>
      <c r="C3195" s="156" t="s">
        <v>16629</v>
      </c>
      <c r="D3195" s="159">
        <v>10</v>
      </c>
      <c r="E3195" s="155">
        <f>SUM(D3195*100)</f>
        <v>1000</v>
      </c>
    </row>
    <row r="3196" ht="16.5" spans="1:5">
      <c r="A3196" s="151">
        <v>3195</v>
      </c>
      <c r="B3196" s="152" t="s">
        <v>10640</v>
      </c>
      <c r="C3196" s="153" t="s">
        <v>16629</v>
      </c>
      <c r="D3196" s="154">
        <v>10</v>
      </c>
      <c r="E3196" s="155">
        <f t="shared" ref="E3196:E3201" si="108">+D3196*100</f>
        <v>1000</v>
      </c>
    </row>
    <row r="3197" ht="16.5" spans="1:5">
      <c r="A3197" s="151">
        <v>3196</v>
      </c>
      <c r="B3197" s="152" t="s">
        <v>10643</v>
      </c>
      <c r="C3197" s="153" t="s">
        <v>16629</v>
      </c>
      <c r="D3197" s="154">
        <v>10</v>
      </c>
      <c r="E3197" s="155">
        <f t="shared" si="108"/>
        <v>1000</v>
      </c>
    </row>
    <row r="3198" ht="16.5" spans="1:5">
      <c r="A3198" s="151">
        <v>3197</v>
      </c>
      <c r="B3198" s="152" t="s">
        <v>10647</v>
      </c>
      <c r="C3198" s="153" t="s">
        <v>16629</v>
      </c>
      <c r="D3198" s="154">
        <v>10</v>
      </c>
      <c r="E3198" s="155">
        <f t="shared" si="108"/>
        <v>1000</v>
      </c>
    </row>
    <row r="3199" ht="16.5" spans="1:5">
      <c r="A3199" s="151">
        <v>3198</v>
      </c>
      <c r="B3199" s="152" t="s">
        <v>10651</v>
      </c>
      <c r="C3199" s="156" t="s">
        <v>16629</v>
      </c>
      <c r="D3199" s="154">
        <v>10</v>
      </c>
      <c r="E3199" s="155">
        <f t="shared" si="108"/>
        <v>1000</v>
      </c>
    </row>
    <row r="3200" ht="16.5" spans="1:5">
      <c r="A3200" s="151">
        <v>3199</v>
      </c>
      <c r="B3200" s="152" t="s">
        <v>10655</v>
      </c>
      <c r="C3200" s="153" t="s">
        <v>16629</v>
      </c>
      <c r="D3200" s="154">
        <v>10</v>
      </c>
      <c r="E3200" s="155">
        <f t="shared" si="108"/>
        <v>1000</v>
      </c>
    </row>
    <row r="3201" ht="16.5" spans="1:5">
      <c r="A3201" s="151">
        <v>3200</v>
      </c>
      <c r="B3201" s="152" t="s">
        <v>10659</v>
      </c>
      <c r="C3201" s="153" t="s">
        <v>16629</v>
      </c>
      <c r="D3201" s="154">
        <v>10</v>
      </c>
      <c r="E3201" s="155">
        <f t="shared" si="108"/>
        <v>1000</v>
      </c>
    </row>
    <row r="3202" ht="16.5" spans="1:5">
      <c r="A3202" s="151">
        <v>3201</v>
      </c>
      <c r="B3202" s="152" t="s">
        <v>10662</v>
      </c>
      <c r="C3202" s="160" t="s">
        <v>16630</v>
      </c>
      <c r="D3202" s="160">
        <v>500</v>
      </c>
      <c r="E3202" s="161">
        <f>SUM(D3202*100)</f>
        <v>50000</v>
      </c>
    </row>
    <row r="3203" ht="16.5" spans="1:5">
      <c r="A3203" s="151">
        <v>3202</v>
      </c>
      <c r="B3203" s="152" t="s">
        <v>10666</v>
      </c>
      <c r="C3203" s="166" t="s">
        <v>16632</v>
      </c>
      <c r="D3203" s="173">
        <v>35000</v>
      </c>
      <c r="E3203" s="45">
        <v>3500000</v>
      </c>
    </row>
    <row r="3204" ht="16.5" spans="1:5">
      <c r="A3204" s="151">
        <v>3203</v>
      </c>
      <c r="B3204" s="152" t="s">
        <v>10671</v>
      </c>
      <c r="C3204" s="153" t="s">
        <v>16629</v>
      </c>
      <c r="D3204" s="154">
        <v>10</v>
      </c>
      <c r="E3204" s="155">
        <f t="shared" ref="E3204:E3209" si="109">+D3204*100</f>
        <v>1000</v>
      </c>
    </row>
    <row r="3205" ht="16.5" spans="1:5">
      <c r="A3205" s="151">
        <v>3204</v>
      </c>
      <c r="B3205" s="152" t="s">
        <v>10674</v>
      </c>
      <c r="C3205" s="153" t="s">
        <v>16629</v>
      </c>
      <c r="D3205" s="154">
        <v>10</v>
      </c>
      <c r="E3205" s="155">
        <f t="shared" si="109"/>
        <v>1000</v>
      </c>
    </row>
    <row r="3206" ht="16.5" spans="1:5">
      <c r="A3206" s="151">
        <v>3205</v>
      </c>
      <c r="B3206" s="152" t="s">
        <v>10677</v>
      </c>
      <c r="C3206" s="156" t="s">
        <v>16629</v>
      </c>
      <c r="D3206" s="159">
        <v>10</v>
      </c>
      <c r="E3206" s="155">
        <f t="shared" si="109"/>
        <v>1000</v>
      </c>
    </row>
    <row r="3207" ht="16.5" spans="1:5">
      <c r="A3207" s="151">
        <v>3206</v>
      </c>
      <c r="B3207" s="152" t="s">
        <v>10681</v>
      </c>
      <c r="C3207" s="156" t="s">
        <v>16629</v>
      </c>
      <c r="D3207" s="159">
        <v>10</v>
      </c>
      <c r="E3207" s="155">
        <f t="shared" si="109"/>
        <v>1000</v>
      </c>
    </row>
    <row r="3208" ht="16.5" spans="1:5">
      <c r="A3208" s="151">
        <v>3207</v>
      </c>
      <c r="B3208" s="152" t="s">
        <v>10685</v>
      </c>
      <c r="C3208" s="153" t="s">
        <v>16629</v>
      </c>
      <c r="D3208" s="154">
        <v>10</v>
      </c>
      <c r="E3208" s="155">
        <f t="shared" si="109"/>
        <v>1000</v>
      </c>
    </row>
    <row r="3209" ht="16.5" spans="1:5">
      <c r="A3209" s="151">
        <v>3208</v>
      </c>
      <c r="B3209" s="152" t="s">
        <v>10689</v>
      </c>
      <c r="C3209" s="153" t="s">
        <v>16629</v>
      </c>
      <c r="D3209" s="158">
        <v>10</v>
      </c>
      <c r="E3209" s="155">
        <f t="shared" si="109"/>
        <v>1000</v>
      </c>
    </row>
    <row r="3210" ht="16.5" spans="1:5">
      <c r="A3210" s="151">
        <v>3209</v>
      </c>
      <c r="B3210" s="152" t="s">
        <v>10694</v>
      </c>
      <c r="C3210" s="160" t="s">
        <v>16630</v>
      </c>
      <c r="D3210" s="160">
        <v>40</v>
      </c>
      <c r="E3210" s="161">
        <f>SUM(D3210*100)</f>
        <v>4000</v>
      </c>
    </row>
    <row r="3211" ht="16.5" spans="1:5">
      <c r="A3211" s="151">
        <v>3210</v>
      </c>
      <c r="B3211" s="152" t="s">
        <v>10698</v>
      </c>
      <c r="C3211" s="156" t="s">
        <v>16629</v>
      </c>
      <c r="D3211" s="159">
        <v>10</v>
      </c>
      <c r="E3211" s="155">
        <f t="shared" ref="E3211:E3216" si="110">+D3211*100</f>
        <v>1000</v>
      </c>
    </row>
    <row r="3212" ht="16.5" spans="1:5">
      <c r="A3212" s="151">
        <v>3211</v>
      </c>
      <c r="B3212" s="152" t="s">
        <v>10701</v>
      </c>
      <c r="C3212" s="156" t="s">
        <v>16629</v>
      </c>
      <c r="D3212" s="159">
        <v>10</v>
      </c>
      <c r="E3212" s="155">
        <f t="shared" si="110"/>
        <v>1000</v>
      </c>
    </row>
    <row r="3213" ht="16.5" spans="1:5">
      <c r="A3213" s="151">
        <v>3212</v>
      </c>
      <c r="B3213" s="152" t="s">
        <v>10704</v>
      </c>
      <c r="C3213" s="153" t="s">
        <v>16629</v>
      </c>
      <c r="D3213" s="158">
        <v>10</v>
      </c>
      <c r="E3213" s="155">
        <f t="shared" si="110"/>
        <v>1000</v>
      </c>
    </row>
    <row r="3214" ht="16.5" spans="1:5">
      <c r="A3214" s="151">
        <v>3213</v>
      </c>
      <c r="B3214" s="152" t="s">
        <v>10707</v>
      </c>
      <c r="C3214" s="156" t="s">
        <v>16629</v>
      </c>
      <c r="D3214" s="159">
        <v>10</v>
      </c>
      <c r="E3214" s="155">
        <f t="shared" si="110"/>
        <v>1000</v>
      </c>
    </row>
    <row r="3215" ht="16.5" spans="1:5">
      <c r="A3215" s="151">
        <v>3214</v>
      </c>
      <c r="B3215" s="152" t="s">
        <v>10710</v>
      </c>
      <c r="C3215" s="156" t="s">
        <v>16629</v>
      </c>
      <c r="D3215" s="159">
        <v>10</v>
      </c>
      <c r="E3215" s="155">
        <f t="shared" si="110"/>
        <v>1000</v>
      </c>
    </row>
    <row r="3216" ht="16.5" spans="1:5">
      <c r="A3216" s="151">
        <v>3215</v>
      </c>
      <c r="B3216" s="152" t="s">
        <v>10714</v>
      </c>
      <c r="C3216" s="153" t="s">
        <v>16629</v>
      </c>
      <c r="D3216" s="158">
        <v>10</v>
      </c>
      <c r="E3216" s="155">
        <f t="shared" si="110"/>
        <v>1000</v>
      </c>
    </row>
    <row r="3217" ht="16.5" spans="1:5">
      <c r="A3217" s="151">
        <v>3216</v>
      </c>
      <c r="B3217" s="152" t="s">
        <v>10717</v>
      </c>
      <c r="C3217" s="160" t="s">
        <v>16630</v>
      </c>
      <c r="D3217" s="160">
        <v>10</v>
      </c>
      <c r="E3217" s="161">
        <f>SUM(D3217*100)</f>
        <v>1000</v>
      </c>
    </row>
    <row r="3218" ht="16.5" spans="1:5">
      <c r="A3218" s="151">
        <v>3217</v>
      </c>
      <c r="B3218" s="152" t="s">
        <v>10721</v>
      </c>
      <c r="C3218" s="160" t="s">
        <v>16630</v>
      </c>
      <c r="D3218" s="160">
        <v>100</v>
      </c>
      <c r="E3218" s="161">
        <f>SUM(D3218*100)</f>
        <v>10000</v>
      </c>
    </row>
    <row r="3219" ht="16.5" spans="1:5">
      <c r="A3219" s="151">
        <v>3218</v>
      </c>
      <c r="B3219" s="152" t="s">
        <v>10726</v>
      </c>
      <c r="C3219" s="156" t="s">
        <v>16629</v>
      </c>
      <c r="D3219" s="157">
        <v>10</v>
      </c>
      <c r="E3219" s="155">
        <f>+D3219*100</f>
        <v>1000</v>
      </c>
    </row>
    <row r="3220" ht="16.5" spans="1:5">
      <c r="A3220" s="151">
        <v>3219</v>
      </c>
      <c r="B3220" s="152" t="s">
        <v>10729</v>
      </c>
      <c r="C3220" s="153" t="s">
        <v>16629</v>
      </c>
      <c r="D3220" s="180">
        <v>10</v>
      </c>
      <c r="E3220" s="155">
        <f>+D3220*100</f>
        <v>1000</v>
      </c>
    </row>
    <row r="3221" ht="16.5" spans="1:5">
      <c r="A3221" s="151">
        <v>3220</v>
      </c>
      <c r="B3221" s="152" t="s">
        <v>10732</v>
      </c>
      <c r="C3221" s="156" t="s">
        <v>16629</v>
      </c>
      <c r="D3221" s="157">
        <v>10</v>
      </c>
      <c r="E3221" s="155">
        <f>+D3221*100</f>
        <v>1000</v>
      </c>
    </row>
    <row r="3222" ht="16.5" spans="1:5">
      <c r="A3222" s="151">
        <v>3221</v>
      </c>
      <c r="B3222" s="152" t="s">
        <v>10736</v>
      </c>
      <c r="C3222" s="160" t="s">
        <v>16630</v>
      </c>
      <c r="D3222" s="175">
        <v>200</v>
      </c>
      <c r="E3222" s="161">
        <f>SUM(D3222*100)</f>
        <v>20000</v>
      </c>
    </row>
    <row r="3223" ht="16.5" spans="1:5">
      <c r="A3223" s="151">
        <v>3222</v>
      </c>
      <c r="B3223" s="152" t="s">
        <v>10739</v>
      </c>
      <c r="C3223" s="156" t="s">
        <v>16629</v>
      </c>
      <c r="D3223" s="157">
        <v>10</v>
      </c>
      <c r="E3223" s="155">
        <f>+D3223*100</f>
        <v>1000</v>
      </c>
    </row>
    <row r="3224" ht="16.5" spans="1:5">
      <c r="A3224" s="151">
        <v>3223</v>
      </c>
      <c r="B3224" s="152" t="s">
        <v>10742</v>
      </c>
      <c r="C3224" s="156" t="s">
        <v>16629</v>
      </c>
      <c r="D3224" s="159">
        <v>10</v>
      </c>
      <c r="E3224" s="155">
        <f>+D3224*100</f>
        <v>1000</v>
      </c>
    </row>
    <row r="3225" ht="16.5" spans="1:5">
      <c r="A3225" s="151">
        <v>3224</v>
      </c>
      <c r="B3225" s="152" t="s">
        <v>10745</v>
      </c>
      <c r="C3225" s="153" t="s">
        <v>16629</v>
      </c>
      <c r="D3225" s="154">
        <v>10</v>
      </c>
      <c r="E3225" s="155">
        <f>+D3225*100</f>
        <v>1000</v>
      </c>
    </row>
    <row r="3226" ht="16.5" spans="1:5">
      <c r="A3226" s="151">
        <v>3225</v>
      </c>
      <c r="B3226" s="152" t="s">
        <v>10748</v>
      </c>
      <c r="C3226" s="162" t="s">
        <v>16631</v>
      </c>
      <c r="D3226" s="163">
        <v>1000</v>
      </c>
      <c r="E3226" s="163">
        <f>D3226*100</f>
        <v>100000</v>
      </c>
    </row>
    <row r="3227" ht="16.5" spans="1:5">
      <c r="A3227" s="151">
        <v>3226</v>
      </c>
      <c r="B3227" s="152" t="s">
        <v>10748</v>
      </c>
      <c r="C3227" s="162" t="s">
        <v>16633</v>
      </c>
      <c r="D3227" s="171">
        <f>G3227/100</f>
        <v>0</v>
      </c>
      <c r="E3227" s="171">
        <f>G3227</f>
        <v>0</v>
      </c>
    </row>
    <row r="3228" ht="16.5" spans="1:5">
      <c r="A3228" s="151">
        <v>3227</v>
      </c>
      <c r="B3228" s="152" t="s">
        <v>10754</v>
      </c>
      <c r="C3228" s="156" t="s">
        <v>16629</v>
      </c>
      <c r="D3228" s="157">
        <v>10</v>
      </c>
      <c r="E3228" s="155">
        <f>+D3228*100</f>
        <v>1000</v>
      </c>
    </row>
    <row r="3229" ht="16.5" spans="1:5">
      <c r="A3229" s="151">
        <v>3228</v>
      </c>
      <c r="B3229" s="152" t="s">
        <v>10758</v>
      </c>
      <c r="C3229" s="156" t="s">
        <v>16629</v>
      </c>
      <c r="D3229" s="159">
        <v>10</v>
      </c>
      <c r="E3229" s="155">
        <f>+D3229*100</f>
        <v>1000</v>
      </c>
    </row>
    <row r="3230" ht="16.5" spans="1:5">
      <c r="A3230" s="151">
        <v>3229</v>
      </c>
      <c r="B3230" s="152" t="s">
        <v>10761</v>
      </c>
      <c r="C3230" s="160" t="s">
        <v>16630</v>
      </c>
      <c r="D3230" s="160">
        <v>10</v>
      </c>
      <c r="E3230" s="161">
        <f>SUM(D3230*100)</f>
        <v>1000</v>
      </c>
    </row>
    <row r="3231" ht="16.5" spans="1:5">
      <c r="A3231" s="151">
        <v>3230</v>
      </c>
      <c r="B3231" s="152" t="s">
        <v>10766</v>
      </c>
      <c r="C3231" s="162" t="s">
        <v>16631</v>
      </c>
      <c r="D3231" s="163">
        <v>1000</v>
      </c>
      <c r="E3231" s="163">
        <f>D3231*100</f>
        <v>100000</v>
      </c>
    </row>
    <row r="3232" ht="16.5" spans="1:5">
      <c r="A3232" s="151">
        <v>3231</v>
      </c>
      <c r="B3232" s="152" t="s">
        <v>10771</v>
      </c>
      <c r="C3232" s="153" t="s">
        <v>16629</v>
      </c>
      <c r="D3232" s="154">
        <v>10</v>
      </c>
      <c r="E3232" s="155">
        <f t="shared" ref="E3232:E3237" si="111">+D3232*100</f>
        <v>1000</v>
      </c>
    </row>
    <row r="3233" ht="16.5" spans="1:5">
      <c r="A3233" s="151">
        <v>3232</v>
      </c>
      <c r="B3233" s="152" t="s">
        <v>10774</v>
      </c>
      <c r="C3233" s="153" t="s">
        <v>16629</v>
      </c>
      <c r="D3233" s="158">
        <v>10</v>
      </c>
      <c r="E3233" s="155">
        <f t="shared" si="111"/>
        <v>1000</v>
      </c>
    </row>
    <row r="3234" ht="16.5" spans="1:5">
      <c r="A3234" s="151">
        <v>3233</v>
      </c>
      <c r="B3234" s="152" t="s">
        <v>10777</v>
      </c>
      <c r="C3234" s="153" t="s">
        <v>16629</v>
      </c>
      <c r="D3234" s="154">
        <v>10</v>
      </c>
      <c r="E3234" s="155">
        <f t="shared" si="111"/>
        <v>1000</v>
      </c>
    </row>
    <row r="3235" ht="16.5" spans="1:5">
      <c r="A3235" s="151">
        <v>3234</v>
      </c>
      <c r="B3235" s="152" t="s">
        <v>10780</v>
      </c>
      <c r="C3235" s="153" t="s">
        <v>16629</v>
      </c>
      <c r="D3235" s="154">
        <v>10</v>
      </c>
      <c r="E3235" s="155">
        <f t="shared" si="111"/>
        <v>1000</v>
      </c>
    </row>
    <row r="3236" ht="16.5" spans="1:5">
      <c r="A3236" s="151">
        <v>3235</v>
      </c>
      <c r="B3236" s="152" t="s">
        <v>10783</v>
      </c>
      <c r="C3236" s="156" t="s">
        <v>16629</v>
      </c>
      <c r="D3236" s="157">
        <v>10</v>
      </c>
      <c r="E3236" s="155">
        <f t="shared" si="111"/>
        <v>1000</v>
      </c>
    </row>
    <row r="3237" ht="16.5" spans="1:5">
      <c r="A3237" s="151">
        <v>3236</v>
      </c>
      <c r="B3237" s="152" t="s">
        <v>10787</v>
      </c>
      <c r="C3237" s="156" t="s">
        <v>16629</v>
      </c>
      <c r="D3237" s="159">
        <v>10</v>
      </c>
      <c r="E3237" s="155">
        <f t="shared" si="111"/>
        <v>1000</v>
      </c>
    </row>
    <row r="3238" ht="16.5" spans="1:5">
      <c r="A3238" s="151">
        <v>3237</v>
      </c>
      <c r="B3238" s="152" t="s">
        <v>10791</v>
      </c>
      <c r="C3238" s="160" t="s">
        <v>16630</v>
      </c>
      <c r="D3238" s="160">
        <v>3100</v>
      </c>
      <c r="E3238" s="161">
        <f>SUM(D3238*100)</f>
        <v>310000</v>
      </c>
    </row>
    <row r="3239" ht="16.5" spans="1:5">
      <c r="A3239" s="151">
        <v>3238</v>
      </c>
      <c r="B3239" s="152" t="s">
        <v>10794</v>
      </c>
      <c r="C3239" s="162" t="s">
        <v>16631</v>
      </c>
      <c r="D3239" s="163">
        <v>2000</v>
      </c>
      <c r="E3239" s="163">
        <f>D3239*100</f>
        <v>200000</v>
      </c>
    </row>
    <row r="3240" ht="16.5" spans="1:5">
      <c r="A3240" s="151">
        <v>3239</v>
      </c>
      <c r="B3240" s="152" t="s">
        <v>10798</v>
      </c>
      <c r="C3240" s="162" t="s">
        <v>16631</v>
      </c>
      <c r="D3240" s="163">
        <v>1000</v>
      </c>
      <c r="E3240" s="163">
        <f>D3240*100</f>
        <v>100000</v>
      </c>
    </row>
    <row r="3241" ht="16.5" spans="1:5">
      <c r="A3241" s="151">
        <v>3240</v>
      </c>
      <c r="B3241" s="152" t="s">
        <v>10803</v>
      </c>
      <c r="C3241" s="153" t="s">
        <v>16629</v>
      </c>
      <c r="D3241" s="154">
        <v>10</v>
      </c>
      <c r="E3241" s="155">
        <f t="shared" ref="E3241:E3251" si="112">+D3241*100</f>
        <v>1000</v>
      </c>
    </row>
    <row r="3242" ht="16.5" spans="1:5">
      <c r="A3242" s="151">
        <v>3241</v>
      </c>
      <c r="B3242" s="152" t="s">
        <v>10806</v>
      </c>
      <c r="C3242" s="156" t="s">
        <v>16629</v>
      </c>
      <c r="D3242" s="157">
        <v>10</v>
      </c>
      <c r="E3242" s="155">
        <f t="shared" si="112"/>
        <v>1000</v>
      </c>
    </row>
    <row r="3243" ht="16.5" spans="1:5">
      <c r="A3243" s="151">
        <v>3242</v>
      </c>
      <c r="B3243" s="152" t="s">
        <v>10809</v>
      </c>
      <c r="C3243" s="156" t="s">
        <v>16629</v>
      </c>
      <c r="D3243" s="159">
        <v>10</v>
      </c>
      <c r="E3243" s="155">
        <f t="shared" si="112"/>
        <v>1000</v>
      </c>
    </row>
    <row r="3244" ht="16.5" spans="1:5">
      <c r="A3244" s="151">
        <v>3243</v>
      </c>
      <c r="B3244" s="152" t="s">
        <v>10812</v>
      </c>
      <c r="C3244" s="156" t="s">
        <v>16629</v>
      </c>
      <c r="D3244" s="157">
        <v>10</v>
      </c>
      <c r="E3244" s="155">
        <f t="shared" si="112"/>
        <v>1000</v>
      </c>
    </row>
    <row r="3245" ht="16.5" spans="1:5">
      <c r="A3245" s="151">
        <v>3244</v>
      </c>
      <c r="B3245" s="152" t="s">
        <v>10815</v>
      </c>
      <c r="C3245" s="156" t="s">
        <v>16629</v>
      </c>
      <c r="D3245" s="157">
        <v>10</v>
      </c>
      <c r="E3245" s="155">
        <f t="shared" si="112"/>
        <v>1000</v>
      </c>
    </row>
    <row r="3246" ht="16.5" spans="1:5">
      <c r="A3246" s="151">
        <v>3245</v>
      </c>
      <c r="B3246" s="152" t="s">
        <v>10819</v>
      </c>
      <c r="C3246" s="153" t="s">
        <v>16629</v>
      </c>
      <c r="D3246" s="154">
        <v>10</v>
      </c>
      <c r="E3246" s="155">
        <f t="shared" si="112"/>
        <v>1000</v>
      </c>
    </row>
    <row r="3247" ht="16.5" spans="1:5">
      <c r="A3247" s="151">
        <v>3246</v>
      </c>
      <c r="B3247" s="152" t="s">
        <v>10823</v>
      </c>
      <c r="C3247" s="153" t="s">
        <v>16629</v>
      </c>
      <c r="D3247" s="154">
        <v>10</v>
      </c>
      <c r="E3247" s="155">
        <f t="shared" si="112"/>
        <v>1000</v>
      </c>
    </row>
    <row r="3248" ht="16.5" spans="1:5">
      <c r="A3248" s="151">
        <v>3247</v>
      </c>
      <c r="B3248" s="152" t="s">
        <v>10826</v>
      </c>
      <c r="C3248" s="153" t="s">
        <v>16629</v>
      </c>
      <c r="D3248" s="158">
        <v>10</v>
      </c>
      <c r="E3248" s="155">
        <f t="shared" si="112"/>
        <v>1000</v>
      </c>
    </row>
    <row r="3249" ht="16.5" spans="1:5">
      <c r="A3249" s="151">
        <v>3248</v>
      </c>
      <c r="B3249" s="152" t="s">
        <v>10829</v>
      </c>
      <c r="C3249" s="153" t="s">
        <v>16629</v>
      </c>
      <c r="D3249" s="158">
        <v>10</v>
      </c>
      <c r="E3249" s="155">
        <f t="shared" si="112"/>
        <v>1000</v>
      </c>
    </row>
    <row r="3250" ht="16.5" spans="1:5">
      <c r="A3250" s="151">
        <v>3249</v>
      </c>
      <c r="B3250" s="152" t="s">
        <v>10832</v>
      </c>
      <c r="C3250" s="156" t="s">
        <v>16629</v>
      </c>
      <c r="D3250" s="159">
        <v>10</v>
      </c>
      <c r="E3250" s="155">
        <f t="shared" si="112"/>
        <v>1000</v>
      </c>
    </row>
    <row r="3251" ht="16.5" spans="1:5">
      <c r="A3251" s="151">
        <v>3250</v>
      </c>
      <c r="B3251" s="152" t="s">
        <v>10836</v>
      </c>
      <c r="C3251" s="156" t="s">
        <v>16629</v>
      </c>
      <c r="D3251" s="157">
        <v>10</v>
      </c>
      <c r="E3251" s="155">
        <f t="shared" si="112"/>
        <v>1000</v>
      </c>
    </row>
    <row r="3252" ht="16.5" spans="1:5">
      <c r="A3252" s="151">
        <v>3251</v>
      </c>
      <c r="B3252" s="152" t="s">
        <v>10840</v>
      </c>
      <c r="C3252" s="162" t="s">
        <v>16631</v>
      </c>
      <c r="D3252" s="169">
        <v>1000</v>
      </c>
      <c r="E3252" s="170">
        <f>D3252*100</f>
        <v>100000</v>
      </c>
    </row>
    <row r="3253" ht="16.5" spans="1:5">
      <c r="A3253" s="151">
        <v>3252</v>
      </c>
      <c r="B3253" s="152" t="s">
        <v>10845</v>
      </c>
      <c r="C3253" s="153" t="s">
        <v>16629</v>
      </c>
      <c r="D3253" s="158">
        <v>10</v>
      </c>
      <c r="E3253" s="155">
        <f>+D3253*100</f>
        <v>1000</v>
      </c>
    </row>
    <row r="3254" ht="16.5" spans="1:5">
      <c r="A3254" s="151">
        <v>3253</v>
      </c>
      <c r="B3254" s="152" t="s">
        <v>10849</v>
      </c>
      <c r="C3254" s="156" t="s">
        <v>16629</v>
      </c>
      <c r="D3254" s="159">
        <v>10</v>
      </c>
      <c r="E3254" s="155">
        <f>+D3254*100</f>
        <v>1000</v>
      </c>
    </row>
    <row r="3255" ht="16.5" spans="1:5">
      <c r="A3255" s="151">
        <v>3254</v>
      </c>
      <c r="B3255" s="152" t="s">
        <v>10853</v>
      </c>
      <c r="C3255" s="156" t="s">
        <v>16629</v>
      </c>
      <c r="D3255" s="159">
        <v>10</v>
      </c>
      <c r="E3255" s="155">
        <f>+D3255*100</f>
        <v>1000</v>
      </c>
    </row>
    <row r="3256" ht="16.5" spans="1:5">
      <c r="A3256" s="151">
        <v>3255</v>
      </c>
      <c r="B3256" s="152" t="s">
        <v>10856</v>
      </c>
      <c r="C3256" s="156" t="s">
        <v>16629</v>
      </c>
      <c r="D3256" s="157">
        <v>10</v>
      </c>
      <c r="E3256" s="155">
        <f>+D3256*100</f>
        <v>1000</v>
      </c>
    </row>
    <row r="3257" ht="16.5" spans="1:5">
      <c r="A3257" s="151">
        <v>3256</v>
      </c>
      <c r="B3257" s="152" t="s">
        <v>10859</v>
      </c>
      <c r="C3257" s="160" t="s">
        <v>16630</v>
      </c>
      <c r="D3257" s="160">
        <v>10</v>
      </c>
      <c r="E3257" s="161">
        <f>SUM(D3257*100)</f>
        <v>1000</v>
      </c>
    </row>
    <row r="3258" ht="16.5" spans="1:5">
      <c r="A3258" s="151">
        <v>3257</v>
      </c>
      <c r="B3258" s="152" t="s">
        <v>10864</v>
      </c>
      <c r="C3258" s="153" t="s">
        <v>16629</v>
      </c>
      <c r="D3258" s="158">
        <v>10</v>
      </c>
      <c r="E3258" s="155">
        <f>+D3258*100</f>
        <v>1000</v>
      </c>
    </row>
    <row r="3259" ht="16.5" spans="1:5">
      <c r="A3259" s="151">
        <v>3258</v>
      </c>
      <c r="B3259" s="152" t="s">
        <v>10867</v>
      </c>
      <c r="C3259" s="153" t="s">
        <v>16629</v>
      </c>
      <c r="D3259" s="154">
        <v>10</v>
      </c>
      <c r="E3259" s="155">
        <f>+D3259*100</f>
        <v>1000</v>
      </c>
    </row>
    <row r="3260" ht="16.5" spans="1:5">
      <c r="A3260" s="151">
        <v>3259</v>
      </c>
      <c r="B3260" s="152" t="s">
        <v>10871</v>
      </c>
      <c r="C3260" s="153" t="s">
        <v>16629</v>
      </c>
      <c r="D3260" s="154">
        <v>10</v>
      </c>
      <c r="E3260" s="155">
        <f>+D3260*100</f>
        <v>1000</v>
      </c>
    </row>
    <row r="3261" ht="16.5" spans="1:5">
      <c r="A3261" s="151">
        <v>3260</v>
      </c>
      <c r="B3261" s="152" t="s">
        <v>10875</v>
      </c>
      <c r="C3261" s="160" t="s">
        <v>16630</v>
      </c>
      <c r="D3261" s="160">
        <v>100</v>
      </c>
      <c r="E3261" s="161">
        <f>SUM(D3261*100)</f>
        <v>10000</v>
      </c>
    </row>
    <row r="3262" ht="16.5" spans="1:5">
      <c r="A3262" s="151">
        <v>3261</v>
      </c>
      <c r="B3262" s="152" t="s">
        <v>10879</v>
      </c>
      <c r="C3262" s="153" t="s">
        <v>16629</v>
      </c>
      <c r="D3262" s="158">
        <v>10</v>
      </c>
      <c r="E3262" s="155">
        <f t="shared" ref="E3262:E3269" si="113">+D3262*100</f>
        <v>1000</v>
      </c>
    </row>
    <row r="3263" ht="16.5" spans="1:5">
      <c r="A3263" s="151">
        <v>3262</v>
      </c>
      <c r="B3263" s="152" t="s">
        <v>10882</v>
      </c>
      <c r="C3263" s="156" t="s">
        <v>16629</v>
      </c>
      <c r="D3263" s="159">
        <v>10</v>
      </c>
      <c r="E3263" s="155">
        <f t="shared" si="113"/>
        <v>1000</v>
      </c>
    </row>
    <row r="3264" ht="16.5" spans="1:5">
      <c r="A3264" s="151">
        <v>3263</v>
      </c>
      <c r="B3264" s="152" t="s">
        <v>10885</v>
      </c>
      <c r="C3264" s="153" t="s">
        <v>16629</v>
      </c>
      <c r="D3264" s="154">
        <v>10</v>
      </c>
      <c r="E3264" s="155">
        <f t="shared" si="113"/>
        <v>1000</v>
      </c>
    </row>
    <row r="3265" ht="16.5" spans="1:5">
      <c r="A3265" s="151">
        <v>3264</v>
      </c>
      <c r="B3265" s="152" t="s">
        <v>10888</v>
      </c>
      <c r="C3265" s="153" t="s">
        <v>16629</v>
      </c>
      <c r="D3265" s="154">
        <v>10</v>
      </c>
      <c r="E3265" s="155">
        <f t="shared" si="113"/>
        <v>1000</v>
      </c>
    </row>
    <row r="3266" ht="16.5" spans="1:5">
      <c r="A3266" s="151">
        <v>3265</v>
      </c>
      <c r="B3266" s="152" t="s">
        <v>10892</v>
      </c>
      <c r="C3266" s="153" t="s">
        <v>16629</v>
      </c>
      <c r="D3266" s="158">
        <v>10</v>
      </c>
      <c r="E3266" s="155">
        <f t="shared" si="113"/>
        <v>1000</v>
      </c>
    </row>
    <row r="3267" ht="16.5" spans="1:5">
      <c r="A3267" s="151">
        <v>3266</v>
      </c>
      <c r="B3267" s="152" t="s">
        <v>10895</v>
      </c>
      <c r="C3267" s="153" t="s">
        <v>16629</v>
      </c>
      <c r="D3267" s="154">
        <v>10</v>
      </c>
      <c r="E3267" s="155">
        <f t="shared" si="113"/>
        <v>1000</v>
      </c>
    </row>
    <row r="3268" ht="16.5" spans="1:5">
      <c r="A3268" s="151">
        <v>3267</v>
      </c>
      <c r="B3268" s="152" t="s">
        <v>10898</v>
      </c>
      <c r="C3268" s="156" t="s">
        <v>16629</v>
      </c>
      <c r="D3268" s="159">
        <v>10</v>
      </c>
      <c r="E3268" s="155">
        <f t="shared" si="113"/>
        <v>1000</v>
      </c>
    </row>
    <row r="3269" ht="16.5" spans="1:5">
      <c r="A3269" s="151">
        <v>3268</v>
      </c>
      <c r="B3269" s="152" t="s">
        <v>10902</v>
      </c>
      <c r="C3269" s="153" t="s">
        <v>16629</v>
      </c>
      <c r="D3269" s="158">
        <v>10</v>
      </c>
      <c r="E3269" s="155">
        <f t="shared" si="113"/>
        <v>1000</v>
      </c>
    </row>
    <row r="3270" ht="16.5" spans="1:5">
      <c r="A3270" s="151">
        <v>3269</v>
      </c>
      <c r="B3270" s="152" t="s">
        <v>10905</v>
      </c>
      <c r="C3270" s="160" t="s">
        <v>16630</v>
      </c>
      <c r="D3270" s="175">
        <v>500</v>
      </c>
      <c r="E3270" s="161">
        <f>SUM(D3270*100)</f>
        <v>50000</v>
      </c>
    </row>
    <row r="3271" ht="16.5" spans="1:5">
      <c r="A3271" s="151">
        <v>3270</v>
      </c>
      <c r="B3271" s="152" t="s">
        <v>10908</v>
      </c>
      <c r="C3271" s="160" t="s">
        <v>16630</v>
      </c>
      <c r="D3271" s="160">
        <v>500</v>
      </c>
      <c r="E3271" s="161">
        <f>SUM(D3271*100)</f>
        <v>50000</v>
      </c>
    </row>
    <row r="3272" ht="16.5" spans="1:5">
      <c r="A3272" s="151">
        <v>3271</v>
      </c>
      <c r="B3272" s="152" t="s">
        <v>10911</v>
      </c>
      <c r="C3272" s="156" t="s">
        <v>16629</v>
      </c>
      <c r="D3272" s="157">
        <v>10</v>
      </c>
      <c r="E3272" s="155">
        <f>+D3272*100</f>
        <v>1000</v>
      </c>
    </row>
    <row r="3273" ht="16.5" spans="1:5">
      <c r="A3273" s="151">
        <v>3272</v>
      </c>
      <c r="B3273" s="152" t="s">
        <v>10914</v>
      </c>
      <c r="C3273" s="156" t="s">
        <v>16629</v>
      </c>
      <c r="D3273" s="157">
        <v>10</v>
      </c>
      <c r="E3273" s="155">
        <f>+D3273*100</f>
        <v>1000</v>
      </c>
    </row>
    <row r="3274" ht="16.5" spans="1:5">
      <c r="A3274" s="151">
        <v>3273</v>
      </c>
      <c r="B3274" s="152" t="s">
        <v>10918</v>
      </c>
      <c r="C3274" s="166" t="s">
        <v>16632</v>
      </c>
      <c r="D3274" s="166">
        <f>IFERROR(__xludf.DUMMYFUNCTION("""COMPUTED_VALUE"""),15000)</f>
        <v>15000</v>
      </c>
      <c r="E3274" s="168">
        <f>IFERROR(__xludf.DUMMYFUNCTION("""COMPUTED_VALUE"""),1500000)</f>
        <v>1500000</v>
      </c>
    </row>
    <row r="3275" ht="16.5" spans="1:5">
      <c r="A3275" s="151">
        <v>3274</v>
      </c>
      <c r="B3275" s="152" t="s">
        <v>10919</v>
      </c>
      <c r="C3275" s="160" t="s">
        <v>16630</v>
      </c>
      <c r="D3275" s="160">
        <v>150</v>
      </c>
      <c r="E3275" s="161">
        <f>SUM(D3275*100)</f>
        <v>15000</v>
      </c>
    </row>
    <row r="3276" ht="16.5" spans="1:5">
      <c r="A3276" s="151">
        <v>3275</v>
      </c>
      <c r="B3276" s="152" t="s">
        <v>10923</v>
      </c>
      <c r="C3276" s="153" t="s">
        <v>16629</v>
      </c>
      <c r="D3276" s="154">
        <v>10</v>
      </c>
      <c r="E3276" s="155">
        <f>+D3276*100</f>
        <v>1000</v>
      </c>
    </row>
    <row r="3277" ht="16.5" spans="1:5">
      <c r="A3277" s="151">
        <v>3276</v>
      </c>
      <c r="B3277" s="152" t="s">
        <v>10927</v>
      </c>
      <c r="C3277" s="153" t="s">
        <v>16629</v>
      </c>
      <c r="D3277" s="154">
        <v>10</v>
      </c>
      <c r="E3277" s="155">
        <f>+D3277*100</f>
        <v>1000</v>
      </c>
    </row>
    <row r="3278" ht="16.5" spans="1:5">
      <c r="A3278" s="151">
        <v>3277</v>
      </c>
      <c r="B3278" s="152" t="s">
        <v>10930</v>
      </c>
      <c r="C3278" s="156" t="s">
        <v>16629</v>
      </c>
      <c r="D3278" s="159">
        <v>10</v>
      </c>
      <c r="E3278" s="155">
        <f>+D3278*100</f>
        <v>1000</v>
      </c>
    </row>
    <row r="3279" ht="16.5" spans="1:5">
      <c r="A3279" s="151">
        <v>3278</v>
      </c>
      <c r="B3279" s="152" t="s">
        <v>10933</v>
      </c>
      <c r="C3279" s="162" t="s">
        <v>16631</v>
      </c>
      <c r="D3279" s="163">
        <v>1000</v>
      </c>
      <c r="E3279" s="163">
        <f>D3279*100</f>
        <v>100000</v>
      </c>
    </row>
    <row r="3280" ht="16.5" spans="1:5">
      <c r="A3280" s="151">
        <v>3279</v>
      </c>
      <c r="B3280" s="152" t="s">
        <v>10937</v>
      </c>
      <c r="C3280" s="160" t="s">
        <v>16630</v>
      </c>
      <c r="D3280" s="172">
        <v>100</v>
      </c>
      <c r="E3280" s="161">
        <f>SUM(D3280*100)</f>
        <v>10000</v>
      </c>
    </row>
    <row r="3281" ht="16.5" spans="1:5">
      <c r="A3281" s="151">
        <v>3280</v>
      </c>
      <c r="B3281" s="152" t="s">
        <v>10940</v>
      </c>
      <c r="C3281" s="156" t="s">
        <v>16629</v>
      </c>
      <c r="D3281" s="157">
        <v>10</v>
      </c>
      <c r="E3281" s="155">
        <f t="shared" ref="E3281:E3290" si="114">+D3281*100</f>
        <v>1000</v>
      </c>
    </row>
    <row r="3282" ht="16.5" spans="1:5">
      <c r="A3282" s="151">
        <v>3281</v>
      </c>
      <c r="B3282" s="152" t="s">
        <v>10943</v>
      </c>
      <c r="C3282" s="156" t="s">
        <v>16629</v>
      </c>
      <c r="D3282" s="157">
        <v>10</v>
      </c>
      <c r="E3282" s="155">
        <f t="shared" si="114"/>
        <v>1000</v>
      </c>
    </row>
    <row r="3283" ht="16.5" spans="1:5">
      <c r="A3283" s="151">
        <v>3282</v>
      </c>
      <c r="B3283" s="152" t="s">
        <v>10946</v>
      </c>
      <c r="C3283" s="153" t="s">
        <v>16629</v>
      </c>
      <c r="D3283" s="158">
        <v>10</v>
      </c>
      <c r="E3283" s="155">
        <f t="shared" si="114"/>
        <v>1000</v>
      </c>
    </row>
    <row r="3284" ht="16.5" spans="1:5">
      <c r="A3284" s="151">
        <v>3283</v>
      </c>
      <c r="B3284" s="152" t="s">
        <v>10949</v>
      </c>
      <c r="C3284" s="156" t="s">
        <v>16629</v>
      </c>
      <c r="D3284" s="159">
        <v>10</v>
      </c>
      <c r="E3284" s="155">
        <f t="shared" si="114"/>
        <v>1000</v>
      </c>
    </row>
    <row r="3285" ht="16.5" spans="1:5">
      <c r="A3285" s="151">
        <v>3284</v>
      </c>
      <c r="B3285" s="152" t="s">
        <v>10952</v>
      </c>
      <c r="C3285" s="156" t="s">
        <v>16629</v>
      </c>
      <c r="D3285" s="159">
        <v>10</v>
      </c>
      <c r="E3285" s="155">
        <f t="shared" si="114"/>
        <v>1000</v>
      </c>
    </row>
    <row r="3286" ht="16.5" spans="1:5">
      <c r="A3286" s="151">
        <v>3285</v>
      </c>
      <c r="B3286" s="152" t="s">
        <v>10955</v>
      </c>
      <c r="C3286" s="156" t="s">
        <v>16629</v>
      </c>
      <c r="D3286" s="159">
        <v>10</v>
      </c>
      <c r="E3286" s="155">
        <f t="shared" si="114"/>
        <v>1000</v>
      </c>
    </row>
    <row r="3287" ht="16.5" spans="1:5">
      <c r="A3287" s="151">
        <v>3286</v>
      </c>
      <c r="B3287" s="152" t="s">
        <v>10958</v>
      </c>
      <c r="C3287" s="153" t="s">
        <v>16629</v>
      </c>
      <c r="D3287" s="154">
        <v>10</v>
      </c>
      <c r="E3287" s="155">
        <f t="shared" si="114"/>
        <v>1000</v>
      </c>
    </row>
    <row r="3288" ht="16.5" spans="1:5">
      <c r="A3288" s="151">
        <v>3287</v>
      </c>
      <c r="B3288" s="152" t="s">
        <v>10961</v>
      </c>
      <c r="C3288" s="156" t="s">
        <v>16629</v>
      </c>
      <c r="D3288" s="159">
        <v>10</v>
      </c>
      <c r="E3288" s="155">
        <f t="shared" si="114"/>
        <v>1000</v>
      </c>
    </row>
    <row r="3289" ht="16.5" spans="1:5">
      <c r="A3289" s="151">
        <v>3288</v>
      </c>
      <c r="B3289" s="152" t="s">
        <v>10965</v>
      </c>
      <c r="C3289" s="156" t="s">
        <v>16629</v>
      </c>
      <c r="D3289" s="157">
        <v>10</v>
      </c>
      <c r="E3289" s="155">
        <f t="shared" si="114"/>
        <v>1000</v>
      </c>
    </row>
    <row r="3290" ht="16.5" spans="1:5">
      <c r="A3290" s="151">
        <v>3289</v>
      </c>
      <c r="B3290" s="152" t="s">
        <v>10969</v>
      </c>
      <c r="C3290" s="153" t="s">
        <v>16629</v>
      </c>
      <c r="D3290" s="158">
        <v>10</v>
      </c>
      <c r="E3290" s="155">
        <f t="shared" si="114"/>
        <v>1000</v>
      </c>
    </row>
    <row r="3291" ht="16.5" spans="1:5">
      <c r="A3291" s="151">
        <v>3290</v>
      </c>
      <c r="B3291" s="152" t="s">
        <v>10973</v>
      </c>
      <c r="C3291" s="166" t="s">
        <v>16632</v>
      </c>
      <c r="D3291" s="166">
        <f>IFERROR(__xludf.DUMMYFUNCTION("""COMPUTED_VALUE"""),10000)</f>
        <v>10000</v>
      </c>
      <c r="E3291" s="168">
        <f>IFERROR(__xludf.DUMMYFUNCTION("""COMPUTED_VALUE"""),1500000)</f>
        <v>1500000</v>
      </c>
    </row>
    <row r="3292" ht="16.5" spans="1:5">
      <c r="A3292" s="151">
        <v>3291</v>
      </c>
      <c r="B3292" s="152" t="s">
        <v>10974</v>
      </c>
      <c r="C3292" s="156" t="s">
        <v>16629</v>
      </c>
      <c r="D3292" s="157">
        <v>10</v>
      </c>
      <c r="E3292" s="155">
        <f>+D3292*100</f>
        <v>1000</v>
      </c>
    </row>
    <row r="3293" ht="16.5" spans="1:5">
      <c r="A3293" s="151">
        <v>3292</v>
      </c>
      <c r="B3293" s="152" t="s">
        <v>10977</v>
      </c>
      <c r="C3293" s="156" t="s">
        <v>16629</v>
      </c>
      <c r="D3293" s="159">
        <v>10</v>
      </c>
      <c r="E3293" s="155">
        <f>+D3293*100</f>
        <v>1000</v>
      </c>
    </row>
    <row r="3294" ht="16.5" spans="1:5">
      <c r="A3294" s="151">
        <v>3293</v>
      </c>
      <c r="B3294" s="152" t="s">
        <v>10980</v>
      </c>
      <c r="C3294" s="153" t="s">
        <v>16629</v>
      </c>
      <c r="D3294" s="158">
        <v>10</v>
      </c>
      <c r="E3294" s="155">
        <f>+D3294*100</f>
        <v>1000</v>
      </c>
    </row>
    <row r="3295" ht="16.5" spans="1:5">
      <c r="A3295" s="151">
        <v>3294</v>
      </c>
      <c r="B3295" s="152" t="s">
        <v>10984</v>
      </c>
      <c r="C3295" s="160" t="s">
        <v>16630</v>
      </c>
      <c r="D3295" s="160">
        <v>3500</v>
      </c>
      <c r="E3295" s="161">
        <f>SUM(D3295*100)</f>
        <v>350000</v>
      </c>
    </row>
    <row r="3296" ht="16.5" spans="1:5">
      <c r="A3296" s="151">
        <v>3295</v>
      </c>
      <c r="B3296" s="152" t="s">
        <v>10989</v>
      </c>
      <c r="C3296" s="153" t="s">
        <v>16629</v>
      </c>
      <c r="D3296" s="158">
        <v>10</v>
      </c>
      <c r="E3296" s="155">
        <f t="shared" ref="E3296:E3304" si="115">+D3296*100</f>
        <v>1000</v>
      </c>
    </row>
    <row r="3297" ht="16.5" spans="1:5">
      <c r="A3297" s="151">
        <v>3296</v>
      </c>
      <c r="B3297" s="152" t="s">
        <v>10992</v>
      </c>
      <c r="C3297" s="153" t="s">
        <v>16629</v>
      </c>
      <c r="D3297" s="154">
        <v>10</v>
      </c>
      <c r="E3297" s="155">
        <f t="shared" si="115"/>
        <v>1000</v>
      </c>
    </row>
    <row r="3298" ht="16.5" spans="1:5">
      <c r="A3298" s="151">
        <v>3297</v>
      </c>
      <c r="B3298" s="152" t="s">
        <v>10996</v>
      </c>
      <c r="C3298" s="156" t="s">
        <v>16629</v>
      </c>
      <c r="D3298" s="159">
        <v>10</v>
      </c>
      <c r="E3298" s="155">
        <f t="shared" si="115"/>
        <v>1000</v>
      </c>
    </row>
    <row r="3299" ht="16.5" spans="1:5">
      <c r="A3299" s="151">
        <v>3298</v>
      </c>
      <c r="B3299" s="152" t="s">
        <v>10999</v>
      </c>
      <c r="C3299" s="153" t="s">
        <v>16629</v>
      </c>
      <c r="D3299" s="154">
        <v>10</v>
      </c>
      <c r="E3299" s="155">
        <f t="shared" si="115"/>
        <v>1000</v>
      </c>
    </row>
    <row r="3300" ht="16.5" spans="1:5">
      <c r="A3300" s="151">
        <v>3299</v>
      </c>
      <c r="B3300" s="152" t="s">
        <v>11002</v>
      </c>
      <c r="C3300" s="153" t="s">
        <v>16629</v>
      </c>
      <c r="D3300" s="158">
        <v>10</v>
      </c>
      <c r="E3300" s="155">
        <f t="shared" si="115"/>
        <v>1000</v>
      </c>
    </row>
    <row r="3301" ht="16.5" spans="1:5">
      <c r="A3301" s="151">
        <v>3300</v>
      </c>
      <c r="B3301" s="152" t="s">
        <v>11006</v>
      </c>
      <c r="C3301" s="156" t="s">
        <v>16629</v>
      </c>
      <c r="D3301" s="157">
        <v>10</v>
      </c>
      <c r="E3301" s="155">
        <f t="shared" si="115"/>
        <v>1000</v>
      </c>
    </row>
    <row r="3302" ht="16.5" spans="1:5">
      <c r="A3302" s="151">
        <v>3301</v>
      </c>
      <c r="B3302" s="152" t="s">
        <v>11010</v>
      </c>
      <c r="C3302" s="156" t="s">
        <v>16629</v>
      </c>
      <c r="D3302" s="157">
        <v>10</v>
      </c>
      <c r="E3302" s="155">
        <f t="shared" si="115"/>
        <v>1000</v>
      </c>
    </row>
    <row r="3303" ht="16.5" spans="1:5">
      <c r="A3303" s="151">
        <v>3302</v>
      </c>
      <c r="B3303" s="152" t="s">
        <v>11013</v>
      </c>
      <c r="C3303" s="153" t="s">
        <v>16629</v>
      </c>
      <c r="D3303" s="158">
        <v>10</v>
      </c>
      <c r="E3303" s="155">
        <f t="shared" si="115"/>
        <v>1000</v>
      </c>
    </row>
    <row r="3304" ht="16.5" spans="1:5">
      <c r="A3304" s="151">
        <v>3303</v>
      </c>
      <c r="B3304" s="152" t="s">
        <v>11017</v>
      </c>
      <c r="C3304" s="153" t="s">
        <v>16629</v>
      </c>
      <c r="D3304" s="154">
        <v>10</v>
      </c>
      <c r="E3304" s="155">
        <f t="shared" si="115"/>
        <v>1000</v>
      </c>
    </row>
    <row r="3305" ht="16.5" spans="1:5">
      <c r="A3305" s="151">
        <v>3304</v>
      </c>
      <c r="B3305" s="152" t="s">
        <v>11021</v>
      </c>
      <c r="C3305" s="160" t="s">
        <v>16630</v>
      </c>
      <c r="D3305" s="175">
        <v>10</v>
      </c>
      <c r="E3305" s="161">
        <f>SUM(D3305*100)</f>
        <v>1000</v>
      </c>
    </row>
    <row r="3306" ht="16.5" spans="1:5">
      <c r="A3306" s="151">
        <v>3305</v>
      </c>
      <c r="B3306" s="152" t="s">
        <v>11024</v>
      </c>
      <c r="C3306" s="153" t="s">
        <v>16629</v>
      </c>
      <c r="D3306" s="158">
        <v>10</v>
      </c>
      <c r="E3306" s="155">
        <f>+D3306*100</f>
        <v>1000</v>
      </c>
    </row>
    <row r="3307" ht="16.5" spans="1:5">
      <c r="A3307" s="151">
        <v>3306</v>
      </c>
      <c r="B3307" s="152" t="s">
        <v>11028</v>
      </c>
      <c r="C3307" s="153" t="s">
        <v>16629</v>
      </c>
      <c r="D3307" s="158">
        <v>10</v>
      </c>
      <c r="E3307" s="155">
        <f>+D3307*100</f>
        <v>1000</v>
      </c>
    </row>
    <row r="3308" ht="16.5" spans="1:5">
      <c r="A3308" s="151">
        <v>3307</v>
      </c>
      <c r="B3308" s="152" t="s">
        <v>11031</v>
      </c>
      <c r="C3308" s="166" t="s">
        <v>16632</v>
      </c>
      <c r="D3308" s="166">
        <f>IFERROR(__xludf.DUMMYFUNCTION("""COMPUTED_VALUE"""),15000)</f>
        <v>15000</v>
      </c>
      <c r="E3308" s="168">
        <f>IFERROR(__xludf.DUMMYFUNCTION("""COMPUTED_VALUE"""),1500000)</f>
        <v>1500000</v>
      </c>
    </row>
    <row r="3309" ht="16.5" spans="1:5">
      <c r="A3309" s="151">
        <v>3308</v>
      </c>
      <c r="B3309" s="152" t="s">
        <v>11032</v>
      </c>
      <c r="C3309" s="156" t="s">
        <v>16629</v>
      </c>
      <c r="D3309" s="159">
        <v>10</v>
      </c>
      <c r="E3309" s="155">
        <f t="shared" ref="E3309:E3319" si="116">+D3309*100</f>
        <v>1000</v>
      </c>
    </row>
    <row r="3310" ht="16.5" spans="1:5">
      <c r="A3310" s="151">
        <v>3309</v>
      </c>
      <c r="B3310" s="152" t="s">
        <v>11036</v>
      </c>
      <c r="C3310" s="153" t="s">
        <v>16629</v>
      </c>
      <c r="D3310" s="158">
        <v>10</v>
      </c>
      <c r="E3310" s="155">
        <f t="shared" si="116"/>
        <v>1000</v>
      </c>
    </row>
    <row r="3311" ht="16.5" spans="1:5">
      <c r="A3311" s="151">
        <v>3310</v>
      </c>
      <c r="B3311" s="152" t="s">
        <v>11040</v>
      </c>
      <c r="C3311" s="156" t="s">
        <v>16629</v>
      </c>
      <c r="D3311" s="159">
        <v>10</v>
      </c>
      <c r="E3311" s="155">
        <f t="shared" si="116"/>
        <v>1000</v>
      </c>
    </row>
    <row r="3312" ht="16.5" spans="1:5">
      <c r="A3312" s="151">
        <v>3311</v>
      </c>
      <c r="B3312" s="152" t="s">
        <v>11044</v>
      </c>
      <c r="C3312" s="156" t="s">
        <v>16629</v>
      </c>
      <c r="D3312" s="154">
        <v>10</v>
      </c>
      <c r="E3312" s="155">
        <f t="shared" si="116"/>
        <v>1000</v>
      </c>
    </row>
    <row r="3313" ht="16.5" spans="1:5">
      <c r="A3313" s="151">
        <v>3312</v>
      </c>
      <c r="B3313" s="152" t="s">
        <v>11048</v>
      </c>
      <c r="C3313" s="156" t="s">
        <v>16629</v>
      </c>
      <c r="D3313" s="159">
        <v>10</v>
      </c>
      <c r="E3313" s="155">
        <f t="shared" si="116"/>
        <v>1000</v>
      </c>
    </row>
    <row r="3314" ht="16.5" spans="1:5">
      <c r="A3314" s="151">
        <v>3313</v>
      </c>
      <c r="B3314" s="152" t="s">
        <v>11052</v>
      </c>
      <c r="C3314" s="156" t="s">
        <v>16629</v>
      </c>
      <c r="D3314" s="159">
        <v>10</v>
      </c>
      <c r="E3314" s="155">
        <f t="shared" si="116"/>
        <v>1000</v>
      </c>
    </row>
    <row r="3315" ht="16.5" spans="1:5">
      <c r="A3315" s="151">
        <v>3314</v>
      </c>
      <c r="B3315" s="152" t="s">
        <v>11055</v>
      </c>
      <c r="C3315" s="156" t="s">
        <v>16629</v>
      </c>
      <c r="D3315" s="159">
        <v>20</v>
      </c>
      <c r="E3315" s="155">
        <f t="shared" si="116"/>
        <v>2000</v>
      </c>
    </row>
    <row r="3316" ht="16.5" spans="1:5">
      <c r="A3316" s="151">
        <v>3315</v>
      </c>
      <c r="B3316" s="152" t="s">
        <v>11058</v>
      </c>
      <c r="C3316" s="156" t="s">
        <v>16629</v>
      </c>
      <c r="D3316" s="159">
        <v>10</v>
      </c>
      <c r="E3316" s="155">
        <f t="shared" si="116"/>
        <v>1000</v>
      </c>
    </row>
    <row r="3317" ht="16.5" spans="1:5">
      <c r="A3317" s="151">
        <v>3316</v>
      </c>
      <c r="B3317" s="152" t="s">
        <v>11061</v>
      </c>
      <c r="C3317" s="153" t="s">
        <v>16629</v>
      </c>
      <c r="D3317" s="154">
        <v>10</v>
      </c>
      <c r="E3317" s="155">
        <f t="shared" si="116"/>
        <v>1000</v>
      </c>
    </row>
    <row r="3318" ht="16.5" spans="1:5">
      <c r="A3318" s="151">
        <v>3317</v>
      </c>
      <c r="B3318" s="152" t="s">
        <v>11065</v>
      </c>
      <c r="C3318" s="156" t="s">
        <v>16629</v>
      </c>
      <c r="D3318" s="159">
        <v>10</v>
      </c>
      <c r="E3318" s="155">
        <f t="shared" si="116"/>
        <v>1000</v>
      </c>
    </row>
    <row r="3319" ht="16.5" spans="1:5">
      <c r="A3319" s="151">
        <v>3318</v>
      </c>
      <c r="B3319" s="152" t="s">
        <v>11068</v>
      </c>
      <c r="C3319" s="156" t="s">
        <v>16629</v>
      </c>
      <c r="D3319" s="159">
        <v>10</v>
      </c>
      <c r="E3319" s="155">
        <f t="shared" si="116"/>
        <v>1000</v>
      </c>
    </row>
    <row r="3320" ht="16.5" spans="1:5">
      <c r="A3320" s="151">
        <v>3319</v>
      </c>
      <c r="B3320" s="152" t="s">
        <v>11072</v>
      </c>
      <c r="C3320" s="160" t="s">
        <v>16630</v>
      </c>
      <c r="D3320" s="165">
        <v>300</v>
      </c>
      <c r="E3320" s="161">
        <f>SUM(D3320*100)</f>
        <v>30000</v>
      </c>
    </row>
    <row r="3321" ht="16.5" spans="1:5">
      <c r="A3321" s="151">
        <v>3320</v>
      </c>
      <c r="B3321" s="152" t="s">
        <v>11075</v>
      </c>
      <c r="C3321" s="156" t="s">
        <v>16629</v>
      </c>
      <c r="D3321" s="159">
        <v>10</v>
      </c>
      <c r="E3321" s="155">
        <f>+D3321*100</f>
        <v>1000</v>
      </c>
    </row>
    <row r="3322" ht="16.5" spans="1:5">
      <c r="A3322" s="151">
        <v>3321</v>
      </c>
      <c r="B3322" s="152" t="s">
        <v>11078</v>
      </c>
      <c r="C3322" s="156" t="s">
        <v>16629</v>
      </c>
      <c r="D3322" s="159">
        <v>10</v>
      </c>
      <c r="E3322" s="155">
        <f>+D3322*100</f>
        <v>1000</v>
      </c>
    </row>
    <row r="3323" ht="16.5" spans="1:5">
      <c r="A3323" s="151">
        <v>3322</v>
      </c>
      <c r="B3323" s="152" t="s">
        <v>11081</v>
      </c>
      <c r="C3323" s="160" t="s">
        <v>16630</v>
      </c>
      <c r="D3323" s="160">
        <v>10</v>
      </c>
      <c r="E3323" s="161">
        <f>SUM(D3323*100)</f>
        <v>1000</v>
      </c>
    </row>
    <row r="3324" ht="16.5" spans="1:5">
      <c r="A3324" s="151">
        <v>3323</v>
      </c>
      <c r="B3324" s="152" t="s">
        <v>11085</v>
      </c>
      <c r="C3324" s="153" t="s">
        <v>16629</v>
      </c>
      <c r="D3324" s="154">
        <v>10</v>
      </c>
      <c r="E3324" s="155">
        <f t="shared" ref="E3324:E3340" si="117">+D3324*100</f>
        <v>1000</v>
      </c>
    </row>
    <row r="3325" ht="16.5" spans="1:5">
      <c r="A3325" s="151">
        <v>3324</v>
      </c>
      <c r="B3325" s="152" t="s">
        <v>11089</v>
      </c>
      <c r="C3325" s="156" t="s">
        <v>16629</v>
      </c>
      <c r="D3325" s="159">
        <v>10</v>
      </c>
      <c r="E3325" s="155">
        <f t="shared" si="117"/>
        <v>1000</v>
      </c>
    </row>
    <row r="3326" ht="16.5" spans="1:5">
      <c r="A3326" s="151">
        <v>3325</v>
      </c>
      <c r="B3326" s="152" t="s">
        <v>11093</v>
      </c>
      <c r="C3326" s="153" t="s">
        <v>16629</v>
      </c>
      <c r="D3326" s="154">
        <v>10</v>
      </c>
      <c r="E3326" s="155">
        <f t="shared" si="117"/>
        <v>1000</v>
      </c>
    </row>
    <row r="3327" ht="16.5" spans="1:5">
      <c r="A3327" s="151">
        <v>3326</v>
      </c>
      <c r="B3327" s="152" t="s">
        <v>11096</v>
      </c>
      <c r="C3327" s="156" t="s">
        <v>16629</v>
      </c>
      <c r="D3327" s="157">
        <v>10</v>
      </c>
      <c r="E3327" s="155">
        <f t="shared" si="117"/>
        <v>1000</v>
      </c>
    </row>
    <row r="3328" ht="16.5" spans="1:5">
      <c r="A3328" s="151">
        <v>3327</v>
      </c>
      <c r="B3328" s="152" t="s">
        <v>11099</v>
      </c>
      <c r="C3328" s="153" t="s">
        <v>16629</v>
      </c>
      <c r="D3328" s="158">
        <v>10</v>
      </c>
      <c r="E3328" s="155">
        <f t="shared" si="117"/>
        <v>1000</v>
      </c>
    </row>
    <row r="3329" ht="16.5" spans="1:5">
      <c r="A3329" s="151">
        <v>3328</v>
      </c>
      <c r="B3329" s="152" t="s">
        <v>11103</v>
      </c>
      <c r="C3329" s="156" t="s">
        <v>16629</v>
      </c>
      <c r="D3329" s="154">
        <v>10</v>
      </c>
      <c r="E3329" s="155">
        <f t="shared" si="117"/>
        <v>1000</v>
      </c>
    </row>
    <row r="3330" ht="16.5" spans="1:5">
      <c r="A3330" s="151">
        <v>3329</v>
      </c>
      <c r="B3330" s="152" t="s">
        <v>11106</v>
      </c>
      <c r="C3330" s="153" t="s">
        <v>16629</v>
      </c>
      <c r="D3330" s="158">
        <v>10</v>
      </c>
      <c r="E3330" s="155">
        <f t="shared" si="117"/>
        <v>1000</v>
      </c>
    </row>
    <row r="3331" ht="16.5" spans="1:5">
      <c r="A3331" s="151">
        <v>3330</v>
      </c>
      <c r="B3331" s="152" t="s">
        <v>11109</v>
      </c>
      <c r="C3331" s="153" t="s">
        <v>16629</v>
      </c>
      <c r="D3331" s="154">
        <v>10</v>
      </c>
      <c r="E3331" s="155">
        <f t="shared" si="117"/>
        <v>1000</v>
      </c>
    </row>
    <row r="3332" ht="16.5" spans="1:5">
      <c r="A3332" s="151">
        <v>3331</v>
      </c>
      <c r="B3332" s="152" t="s">
        <v>11113</v>
      </c>
      <c r="C3332" s="156" t="s">
        <v>16629</v>
      </c>
      <c r="D3332" s="159">
        <v>10</v>
      </c>
      <c r="E3332" s="155">
        <f t="shared" si="117"/>
        <v>1000</v>
      </c>
    </row>
    <row r="3333" ht="16.5" spans="1:5">
      <c r="A3333" s="151">
        <v>3332</v>
      </c>
      <c r="B3333" s="152" t="s">
        <v>11116</v>
      </c>
      <c r="C3333" s="153" t="s">
        <v>16629</v>
      </c>
      <c r="D3333" s="158">
        <v>10</v>
      </c>
      <c r="E3333" s="155">
        <f t="shared" si="117"/>
        <v>1000</v>
      </c>
    </row>
    <row r="3334" ht="16.5" spans="1:5">
      <c r="A3334" s="151">
        <v>3333</v>
      </c>
      <c r="B3334" s="152" t="s">
        <v>11119</v>
      </c>
      <c r="C3334" s="153" t="s">
        <v>16629</v>
      </c>
      <c r="D3334" s="154">
        <v>10</v>
      </c>
      <c r="E3334" s="155">
        <f t="shared" si="117"/>
        <v>1000</v>
      </c>
    </row>
    <row r="3335" ht="16.5" spans="1:5">
      <c r="A3335" s="151">
        <v>3334</v>
      </c>
      <c r="B3335" s="152" t="s">
        <v>11122</v>
      </c>
      <c r="C3335" s="153" t="s">
        <v>16629</v>
      </c>
      <c r="D3335" s="154">
        <v>10</v>
      </c>
      <c r="E3335" s="155">
        <f t="shared" si="117"/>
        <v>1000</v>
      </c>
    </row>
    <row r="3336" ht="16.5" spans="1:5">
      <c r="A3336" s="151">
        <v>3335</v>
      </c>
      <c r="B3336" s="152" t="s">
        <v>11125</v>
      </c>
      <c r="C3336" s="153" t="s">
        <v>16629</v>
      </c>
      <c r="D3336" s="158">
        <v>10</v>
      </c>
      <c r="E3336" s="155">
        <f t="shared" si="117"/>
        <v>1000</v>
      </c>
    </row>
    <row r="3337" ht="16.5" spans="1:5">
      <c r="A3337" s="151">
        <v>3336</v>
      </c>
      <c r="B3337" s="152" t="s">
        <v>11128</v>
      </c>
      <c r="C3337" s="156" t="s">
        <v>16629</v>
      </c>
      <c r="D3337" s="157">
        <v>10</v>
      </c>
      <c r="E3337" s="155">
        <f t="shared" si="117"/>
        <v>1000</v>
      </c>
    </row>
    <row r="3338" ht="16.5" spans="1:5">
      <c r="A3338" s="151">
        <v>3337</v>
      </c>
      <c r="B3338" s="152" t="s">
        <v>11131</v>
      </c>
      <c r="C3338" s="153" t="s">
        <v>16629</v>
      </c>
      <c r="D3338" s="158">
        <v>10</v>
      </c>
      <c r="E3338" s="155">
        <f t="shared" si="117"/>
        <v>1000</v>
      </c>
    </row>
    <row r="3339" ht="16.5" spans="1:5">
      <c r="A3339" s="151">
        <v>3338</v>
      </c>
      <c r="B3339" s="152" t="s">
        <v>11134</v>
      </c>
      <c r="C3339" s="153" t="s">
        <v>16629</v>
      </c>
      <c r="D3339" s="154">
        <v>10</v>
      </c>
      <c r="E3339" s="155">
        <f t="shared" si="117"/>
        <v>1000</v>
      </c>
    </row>
    <row r="3340" ht="16.5" spans="1:5">
      <c r="A3340" s="151">
        <v>3339</v>
      </c>
      <c r="B3340" s="152" t="s">
        <v>11137</v>
      </c>
      <c r="C3340" s="156" t="s">
        <v>16629</v>
      </c>
      <c r="D3340" s="159">
        <v>10</v>
      </c>
      <c r="E3340" s="155">
        <f t="shared" si="117"/>
        <v>1000</v>
      </c>
    </row>
    <row r="3341" ht="16.5" spans="1:5">
      <c r="A3341" s="151">
        <v>3340</v>
      </c>
      <c r="B3341" s="152" t="s">
        <v>11140</v>
      </c>
      <c r="C3341" s="160" t="s">
        <v>16630</v>
      </c>
      <c r="D3341" s="160">
        <v>200</v>
      </c>
      <c r="E3341" s="161">
        <f>SUM(D3341*100)</f>
        <v>20000</v>
      </c>
    </row>
    <row r="3342" ht="16.5" spans="1:5">
      <c r="A3342" s="151">
        <v>3341</v>
      </c>
      <c r="B3342" s="152" t="s">
        <v>11144</v>
      </c>
      <c r="C3342" s="153" t="s">
        <v>16629</v>
      </c>
      <c r="D3342" s="158">
        <v>10</v>
      </c>
      <c r="E3342" s="155">
        <f>+D3342*100</f>
        <v>1000</v>
      </c>
    </row>
    <row r="3343" ht="16.5" spans="1:5">
      <c r="A3343" s="151">
        <v>3342</v>
      </c>
      <c r="B3343" s="152" t="s">
        <v>11148</v>
      </c>
      <c r="C3343" s="153" t="s">
        <v>16629</v>
      </c>
      <c r="D3343" s="154">
        <v>10</v>
      </c>
      <c r="E3343" s="155">
        <f>+D3343*100</f>
        <v>1000</v>
      </c>
    </row>
    <row r="3344" ht="16.5" spans="1:5">
      <c r="A3344" s="151">
        <v>3343</v>
      </c>
      <c r="B3344" s="152" t="s">
        <v>11151</v>
      </c>
      <c r="C3344" s="153" t="s">
        <v>16629</v>
      </c>
      <c r="D3344" s="154">
        <v>10</v>
      </c>
      <c r="E3344" s="155">
        <f>+D3344*100</f>
        <v>1000</v>
      </c>
    </row>
    <row r="3345" ht="16.5" spans="1:5">
      <c r="A3345" s="151">
        <v>3344</v>
      </c>
      <c r="B3345" s="152" t="s">
        <v>11155</v>
      </c>
      <c r="C3345" s="153" t="s">
        <v>16629</v>
      </c>
      <c r="D3345" s="154">
        <v>10</v>
      </c>
      <c r="E3345" s="155">
        <f>+D3345*100</f>
        <v>1000</v>
      </c>
    </row>
    <row r="3346" ht="16.5" spans="1:5">
      <c r="A3346" s="151">
        <v>3345</v>
      </c>
      <c r="B3346" s="152" t="s">
        <v>11159</v>
      </c>
      <c r="C3346" s="160" t="s">
        <v>16630</v>
      </c>
      <c r="D3346" s="160">
        <v>1000</v>
      </c>
      <c r="E3346" s="161">
        <f>SUM(D3346*100)</f>
        <v>100000</v>
      </c>
    </row>
    <row r="3347" ht="16.5" spans="1:5">
      <c r="A3347" s="151">
        <v>3346</v>
      </c>
      <c r="B3347" s="152" t="s">
        <v>11163</v>
      </c>
      <c r="C3347" s="156" t="s">
        <v>16629</v>
      </c>
      <c r="D3347" s="157">
        <v>10</v>
      </c>
      <c r="E3347" s="155">
        <f>+D3347*100</f>
        <v>1000</v>
      </c>
    </row>
    <row r="3348" ht="16.5" spans="1:5">
      <c r="A3348" s="151">
        <v>3347</v>
      </c>
      <c r="B3348" s="152" t="s">
        <v>11166</v>
      </c>
      <c r="C3348" s="153" t="s">
        <v>16629</v>
      </c>
      <c r="D3348" s="158">
        <v>10</v>
      </c>
      <c r="E3348" s="155">
        <f>+D3348*100</f>
        <v>1000</v>
      </c>
    </row>
    <row r="3349" ht="16.5" spans="1:5">
      <c r="A3349" s="151">
        <v>3348</v>
      </c>
      <c r="B3349" s="152" t="s">
        <v>11169</v>
      </c>
      <c r="C3349" s="160" t="s">
        <v>16630</v>
      </c>
      <c r="D3349" s="41">
        <v>100</v>
      </c>
      <c r="E3349" s="161">
        <f>SUM(D3349*100)</f>
        <v>10000</v>
      </c>
    </row>
    <row r="3350" ht="16.5" spans="1:5">
      <c r="A3350" s="151">
        <v>3349</v>
      </c>
      <c r="B3350" s="152" t="s">
        <v>11172</v>
      </c>
      <c r="C3350" s="156" t="s">
        <v>16629</v>
      </c>
      <c r="D3350" s="159">
        <v>10</v>
      </c>
      <c r="E3350" s="155">
        <f>+D3350*100</f>
        <v>1000</v>
      </c>
    </row>
    <row r="3351" ht="16.5" spans="1:5">
      <c r="A3351" s="151">
        <v>3350</v>
      </c>
      <c r="B3351" s="152" t="s">
        <v>11176</v>
      </c>
      <c r="C3351" s="156" t="s">
        <v>16629</v>
      </c>
      <c r="D3351" s="154">
        <v>20</v>
      </c>
      <c r="E3351" s="155">
        <f>+D3351*100</f>
        <v>2000</v>
      </c>
    </row>
    <row r="3352" ht="16.5" spans="1:5">
      <c r="A3352" s="151">
        <v>3351</v>
      </c>
      <c r="B3352" s="152" t="s">
        <v>11180</v>
      </c>
      <c r="C3352" s="156" t="s">
        <v>16629</v>
      </c>
      <c r="D3352" s="154">
        <v>10</v>
      </c>
      <c r="E3352" s="155">
        <f>+D3352*100</f>
        <v>1000</v>
      </c>
    </row>
    <row r="3353" ht="16.5" spans="1:5">
      <c r="A3353" s="151">
        <v>3352</v>
      </c>
      <c r="B3353" s="152" t="s">
        <v>11183</v>
      </c>
      <c r="C3353" s="166" t="s">
        <v>16632</v>
      </c>
      <c r="D3353" s="166">
        <f>IFERROR(__xludf.DUMMYFUNCTION("""COMPUTED_VALUE"""),10000)</f>
        <v>10000</v>
      </c>
      <c r="E3353" s="168">
        <f>IFERROR(__xludf.DUMMYFUNCTION("""COMPUTED_VALUE"""),1500000)</f>
        <v>1500000</v>
      </c>
    </row>
    <row r="3354" ht="16.5" spans="1:5">
      <c r="A3354" s="151">
        <v>3353</v>
      </c>
      <c r="B3354" s="152" t="s">
        <v>11184</v>
      </c>
      <c r="C3354" s="162" t="s">
        <v>16631</v>
      </c>
      <c r="D3354" s="163">
        <v>1000</v>
      </c>
      <c r="E3354" s="163">
        <f>D3354*100</f>
        <v>100000</v>
      </c>
    </row>
    <row r="3355" ht="16.5" spans="1:5">
      <c r="A3355" s="151">
        <v>3354</v>
      </c>
      <c r="B3355" s="152" t="s">
        <v>11188</v>
      </c>
      <c r="C3355" s="156" t="s">
        <v>16629</v>
      </c>
      <c r="D3355" s="159">
        <v>10</v>
      </c>
      <c r="E3355" s="155">
        <f>+D3355*100</f>
        <v>1000</v>
      </c>
    </row>
    <row r="3356" ht="16.5" spans="1:5">
      <c r="A3356" s="151">
        <v>3355</v>
      </c>
      <c r="B3356" s="152" t="s">
        <v>11191</v>
      </c>
      <c r="C3356" s="160" t="s">
        <v>16630</v>
      </c>
      <c r="D3356" s="160">
        <v>1000</v>
      </c>
      <c r="E3356" s="161">
        <f>SUM(D3356*100)</f>
        <v>100000</v>
      </c>
    </row>
    <row r="3357" ht="16.5" spans="1:5">
      <c r="A3357" s="151">
        <v>3356</v>
      </c>
      <c r="B3357" s="152" t="s">
        <v>11194</v>
      </c>
      <c r="C3357" s="153" t="s">
        <v>16629</v>
      </c>
      <c r="D3357" s="154">
        <v>10</v>
      </c>
      <c r="E3357" s="155">
        <f>+D3357*100</f>
        <v>1000</v>
      </c>
    </row>
    <row r="3358" ht="16.5" spans="1:5">
      <c r="A3358" s="151">
        <v>3357</v>
      </c>
      <c r="B3358" s="152" t="s">
        <v>11198</v>
      </c>
      <c r="C3358" s="160" t="s">
        <v>16630</v>
      </c>
      <c r="D3358" s="160">
        <v>10</v>
      </c>
      <c r="E3358" s="161">
        <f>SUM(D3358*100)</f>
        <v>1000</v>
      </c>
    </row>
    <row r="3359" ht="16.5" spans="1:5">
      <c r="A3359" s="151">
        <v>3358</v>
      </c>
      <c r="B3359" s="152" t="s">
        <v>11202</v>
      </c>
      <c r="C3359" s="156" t="s">
        <v>16629</v>
      </c>
      <c r="D3359" s="159">
        <v>10</v>
      </c>
      <c r="E3359" s="155">
        <f>+D3359*100</f>
        <v>1000</v>
      </c>
    </row>
    <row r="3360" ht="16.5" spans="1:5">
      <c r="A3360" s="151">
        <v>3359</v>
      </c>
      <c r="B3360" s="152" t="s">
        <v>11205</v>
      </c>
      <c r="C3360" s="166" t="s">
        <v>16632</v>
      </c>
      <c r="D3360" s="166">
        <f>IFERROR(__xludf.DUMMYFUNCTION("""COMPUTED_VALUE"""),15000)</f>
        <v>15000</v>
      </c>
      <c r="E3360" s="168">
        <f>IFERROR(__xludf.DUMMYFUNCTION("""COMPUTED_VALUE"""),1500000)</f>
        <v>1500000</v>
      </c>
    </row>
    <row r="3361" ht="16.5" spans="1:5">
      <c r="A3361" s="151">
        <v>3360</v>
      </c>
      <c r="B3361" s="152" t="s">
        <v>11206</v>
      </c>
      <c r="C3361" s="160" t="s">
        <v>16630</v>
      </c>
      <c r="D3361" s="160">
        <v>100</v>
      </c>
      <c r="E3361" s="161">
        <f>SUM(D3361*100)</f>
        <v>10000</v>
      </c>
    </row>
    <row r="3362" ht="16.5" spans="1:5">
      <c r="A3362" s="151">
        <v>3361</v>
      </c>
      <c r="B3362" s="152" t="s">
        <v>11209</v>
      </c>
      <c r="C3362" s="153" t="s">
        <v>16629</v>
      </c>
      <c r="D3362" s="154">
        <v>10</v>
      </c>
      <c r="E3362" s="155">
        <f>+D3362*100</f>
        <v>1000</v>
      </c>
    </row>
    <row r="3363" ht="16.5" spans="1:5">
      <c r="A3363" s="151">
        <v>3362</v>
      </c>
      <c r="B3363" s="152" t="s">
        <v>11212</v>
      </c>
      <c r="C3363" s="153" t="s">
        <v>16629</v>
      </c>
      <c r="D3363" s="154">
        <v>10</v>
      </c>
      <c r="E3363" s="155">
        <f>+D3363*100</f>
        <v>1000</v>
      </c>
    </row>
    <row r="3364" ht="16.5" spans="1:5">
      <c r="A3364" s="151">
        <v>3363</v>
      </c>
      <c r="B3364" s="152" t="s">
        <v>11215</v>
      </c>
      <c r="C3364" s="160" t="s">
        <v>16630</v>
      </c>
      <c r="D3364" s="160">
        <v>30</v>
      </c>
      <c r="E3364" s="161">
        <f>SUM(D3364*100)</f>
        <v>3000</v>
      </c>
    </row>
    <row r="3365" ht="16.5" spans="1:5">
      <c r="A3365" s="151">
        <v>3364</v>
      </c>
      <c r="B3365" s="152" t="s">
        <v>11218</v>
      </c>
      <c r="C3365" s="160" t="s">
        <v>16630</v>
      </c>
      <c r="D3365" s="41">
        <v>10</v>
      </c>
      <c r="E3365" s="161">
        <f>SUM(D3365*100)</f>
        <v>1000</v>
      </c>
    </row>
    <row r="3366" ht="16.5" spans="1:5">
      <c r="A3366" s="151">
        <v>3365</v>
      </c>
      <c r="B3366" s="152" t="s">
        <v>11221</v>
      </c>
      <c r="C3366" s="153" t="s">
        <v>16629</v>
      </c>
      <c r="D3366" s="158">
        <v>20</v>
      </c>
      <c r="E3366" s="155">
        <f>+D3366*100</f>
        <v>2000</v>
      </c>
    </row>
    <row r="3367" ht="16.5" spans="1:5">
      <c r="A3367" s="151">
        <v>3366</v>
      </c>
      <c r="B3367" s="152" t="s">
        <v>11224</v>
      </c>
      <c r="C3367" s="153" t="s">
        <v>16629</v>
      </c>
      <c r="D3367" s="158">
        <v>10</v>
      </c>
      <c r="E3367" s="155">
        <f>+D3367*100</f>
        <v>1000</v>
      </c>
    </row>
    <row r="3368" ht="16.5" spans="1:5">
      <c r="A3368" s="151">
        <v>3367</v>
      </c>
      <c r="B3368" s="152" t="s">
        <v>11227</v>
      </c>
      <c r="C3368" s="156" t="s">
        <v>16629</v>
      </c>
      <c r="D3368" s="158">
        <v>10</v>
      </c>
      <c r="E3368" s="155">
        <f>+D3368*100</f>
        <v>1000</v>
      </c>
    </row>
    <row r="3369" ht="16.5" spans="1:5">
      <c r="A3369" s="151">
        <v>3368</v>
      </c>
      <c r="B3369" s="152" t="s">
        <v>11230</v>
      </c>
      <c r="C3369" s="160" t="s">
        <v>16630</v>
      </c>
      <c r="D3369" s="160">
        <v>200</v>
      </c>
      <c r="E3369" s="161">
        <f>SUM(D3369*100)</f>
        <v>20000</v>
      </c>
    </row>
    <row r="3370" ht="16.5" spans="1:5">
      <c r="A3370" s="151">
        <v>3369</v>
      </c>
      <c r="B3370" s="152" t="s">
        <v>11234</v>
      </c>
      <c r="C3370" s="156" t="s">
        <v>16629</v>
      </c>
      <c r="D3370" s="159">
        <v>10</v>
      </c>
      <c r="E3370" s="155">
        <f>+D3370*100</f>
        <v>1000</v>
      </c>
    </row>
    <row r="3371" ht="16.5" spans="1:5">
      <c r="A3371" s="151">
        <v>3370</v>
      </c>
      <c r="B3371" s="152" t="s">
        <v>11237</v>
      </c>
      <c r="C3371" s="160" t="s">
        <v>16630</v>
      </c>
      <c r="D3371" s="160">
        <v>50</v>
      </c>
      <c r="E3371" s="161">
        <f>SUM(D3371*100)</f>
        <v>5000</v>
      </c>
    </row>
    <row r="3372" ht="16.5" spans="1:5">
      <c r="A3372" s="151">
        <v>3371</v>
      </c>
      <c r="B3372" s="152" t="s">
        <v>11241</v>
      </c>
      <c r="C3372" s="156" t="s">
        <v>16629</v>
      </c>
      <c r="D3372" s="157">
        <v>10</v>
      </c>
      <c r="E3372" s="155">
        <f>+D3372*100</f>
        <v>1000</v>
      </c>
    </row>
    <row r="3373" ht="16.5" spans="1:5">
      <c r="A3373" s="151">
        <v>3372</v>
      </c>
      <c r="B3373" s="152" t="s">
        <v>11245</v>
      </c>
      <c r="C3373" s="156" t="s">
        <v>16629</v>
      </c>
      <c r="D3373" s="154">
        <v>10</v>
      </c>
      <c r="E3373" s="155">
        <f>+D3373*100</f>
        <v>1000</v>
      </c>
    </row>
    <row r="3374" ht="16.5" spans="1:5">
      <c r="A3374" s="151">
        <v>3373</v>
      </c>
      <c r="B3374" s="152" t="s">
        <v>11248</v>
      </c>
      <c r="C3374" s="162" t="s">
        <v>16631</v>
      </c>
      <c r="D3374" s="163">
        <v>1000</v>
      </c>
      <c r="E3374" s="163">
        <f>D3374*100</f>
        <v>100000</v>
      </c>
    </row>
    <row r="3375" ht="16.5" spans="1:5">
      <c r="A3375" s="151">
        <v>3374</v>
      </c>
      <c r="B3375" s="152" t="s">
        <v>11253</v>
      </c>
      <c r="C3375" s="153" t="s">
        <v>16629</v>
      </c>
      <c r="D3375" s="154">
        <v>10</v>
      </c>
      <c r="E3375" s="155">
        <f>+D3375*100</f>
        <v>1000</v>
      </c>
    </row>
    <row r="3376" ht="16.5" spans="1:5">
      <c r="A3376" s="151">
        <v>3375</v>
      </c>
      <c r="B3376" s="152" t="s">
        <v>11256</v>
      </c>
      <c r="C3376" s="160" t="s">
        <v>16630</v>
      </c>
      <c r="D3376" s="160">
        <v>50</v>
      </c>
      <c r="E3376" s="161">
        <f>SUM(D3376*100)</f>
        <v>5000</v>
      </c>
    </row>
    <row r="3377" ht="16.5" spans="1:5">
      <c r="A3377" s="151">
        <v>3376</v>
      </c>
      <c r="B3377" s="152" t="s">
        <v>11259</v>
      </c>
      <c r="C3377" s="153" t="s">
        <v>16629</v>
      </c>
      <c r="D3377" s="154">
        <v>10</v>
      </c>
      <c r="E3377" s="155">
        <f>+D3377*100</f>
        <v>1000</v>
      </c>
    </row>
    <row r="3378" ht="16.5" spans="1:5">
      <c r="A3378" s="151">
        <v>3377</v>
      </c>
      <c r="B3378" s="152" t="s">
        <v>11263</v>
      </c>
      <c r="C3378" s="153" t="s">
        <v>16629</v>
      </c>
      <c r="D3378" s="158">
        <v>10</v>
      </c>
      <c r="E3378" s="155">
        <f>+D3378*100</f>
        <v>1000</v>
      </c>
    </row>
    <row r="3379" ht="16.5" spans="1:5">
      <c r="A3379" s="151">
        <v>3378</v>
      </c>
      <c r="B3379" s="152" t="s">
        <v>11267</v>
      </c>
      <c r="C3379" s="160" t="s">
        <v>16630</v>
      </c>
      <c r="D3379" s="160">
        <v>10</v>
      </c>
      <c r="E3379" s="161">
        <f>SUM(D3379*100)</f>
        <v>1000</v>
      </c>
    </row>
    <row r="3380" ht="16.5" spans="1:5">
      <c r="A3380" s="151">
        <v>3379</v>
      </c>
      <c r="B3380" s="152" t="s">
        <v>11270</v>
      </c>
      <c r="C3380" s="153" t="s">
        <v>16629</v>
      </c>
      <c r="D3380" s="154">
        <v>10</v>
      </c>
      <c r="E3380" s="155">
        <f>+D3380*100</f>
        <v>1000</v>
      </c>
    </row>
    <row r="3381" ht="16.5" spans="1:5">
      <c r="A3381" s="151">
        <v>3380</v>
      </c>
      <c r="B3381" s="152" t="s">
        <v>11274</v>
      </c>
      <c r="C3381" s="153" t="s">
        <v>16629</v>
      </c>
      <c r="D3381" s="158">
        <v>10</v>
      </c>
      <c r="E3381" s="155">
        <f>+D3381*100</f>
        <v>1000</v>
      </c>
    </row>
    <row r="3382" ht="16.5" spans="1:5">
      <c r="A3382" s="151">
        <v>3381</v>
      </c>
      <c r="B3382" s="152" t="s">
        <v>11277</v>
      </c>
      <c r="C3382" s="160" t="s">
        <v>16630</v>
      </c>
      <c r="D3382" s="160">
        <v>70</v>
      </c>
      <c r="E3382" s="161">
        <f>SUM(D3382*100)</f>
        <v>7000</v>
      </c>
    </row>
    <row r="3383" ht="16.5" spans="1:5">
      <c r="A3383" s="151">
        <v>3382</v>
      </c>
      <c r="B3383" s="152" t="s">
        <v>11281</v>
      </c>
      <c r="C3383" s="156" t="s">
        <v>16629</v>
      </c>
      <c r="D3383" s="154">
        <v>10</v>
      </c>
      <c r="E3383" s="155">
        <f t="shared" ref="E3383:E3389" si="118">+D3383*100</f>
        <v>1000</v>
      </c>
    </row>
    <row r="3384" ht="16.5" spans="1:5">
      <c r="A3384" s="151">
        <v>3383</v>
      </c>
      <c r="B3384" s="152" t="s">
        <v>11284</v>
      </c>
      <c r="C3384" s="153" t="s">
        <v>16629</v>
      </c>
      <c r="D3384" s="154">
        <v>10</v>
      </c>
      <c r="E3384" s="155">
        <f t="shared" si="118"/>
        <v>1000</v>
      </c>
    </row>
    <row r="3385" ht="16.5" spans="1:5">
      <c r="A3385" s="151">
        <v>3384</v>
      </c>
      <c r="B3385" s="152" t="s">
        <v>11287</v>
      </c>
      <c r="C3385" s="153" t="s">
        <v>16629</v>
      </c>
      <c r="D3385" s="158">
        <v>10</v>
      </c>
      <c r="E3385" s="155">
        <f t="shared" si="118"/>
        <v>1000</v>
      </c>
    </row>
    <row r="3386" ht="16.5" spans="1:5">
      <c r="A3386" s="151">
        <v>3385</v>
      </c>
      <c r="B3386" s="152" t="s">
        <v>11290</v>
      </c>
      <c r="C3386" s="156" t="s">
        <v>16629</v>
      </c>
      <c r="D3386" s="157">
        <v>10</v>
      </c>
      <c r="E3386" s="155">
        <f t="shared" si="118"/>
        <v>1000</v>
      </c>
    </row>
    <row r="3387" ht="16.5" spans="1:5">
      <c r="A3387" s="151">
        <v>3386</v>
      </c>
      <c r="B3387" s="152" t="s">
        <v>11293</v>
      </c>
      <c r="C3387" s="153" t="s">
        <v>16629</v>
      </c>
      <c r="D3387" s="154">
        <v>10</v>
      </c>
      <c r="E3387" s="155">
        <f t="shared" si="118"/>
        <v>1000</v>
      </c>
    </row>
    <row r="3388" ht="16.5" spans="1:5">
      <c r="A3388" s="151">
        <v>3387</v>
      </c>
      <c r="B3388" s="152" t="s">
        <v>11297</v>
      </c>
      <c r="C3388" s="156" t="s">
        <v>16629</v>
      </c>
      <c r="D3388" s="157">
        <v>10</v>
      </c>
      <c r="E3388" s="155">
        <f t="shared" si="118"/>
        <v>1000</v>
      </c>
    </row>
    <row r="3389" ht="16.5" spans="1:5">
      <c r="A3389" s="151">
        <v>3388</v>
      </c>
      <c r="B3389" s="152" t="s">
        <v>11300</v>
      </c>
      <c r="C3389" s="153" t="s">
        <v>16629</v>
      </c>
      <c r="D3389" s="154">
        <v>10</v>
      </c>
      <c r="E3389" s="155">
        <f t="shared" si="118"/>
        <v>1000</v>
      </c>
    </row>
    <row r="3390" ht="16.5" spans="1:5">
      <c r="A3390" s="151">
        <v>3389</v>
      </c>
      <c r="B3390" s="152" t="s">
        <v>11304</v>
      </c>
      <c r="C3390" s="160" t="s">
        <v>16630</v>
      </c>
      <c r="D3390" s="41">
        <v>100</v>
      </c>
      <c r="E3390" s="161">
        <f>SUM(D3390*100)</f>
        <v>10000</v>
      </c>
    </row>
    <row r="3391" ht="16.5" spans="1:5">
      <c r="A3391" s="151">
        <v>3390</v>
      </c>
      <c r="B3391" s="152" t="s">
        <v>11307</v>
      </c>
      <c r="C3391" s="153" t="s">
        <v>16629</v>
      </c>
      <c r="D3391" s="158">
        <v>10</v>
      </c>
      <c r="E3391" s="155">
        <f>+D3391*100</f>
        <v>1000</v>
      </c>
    </row>
    <row r="3392" ht="16.5" spans="1:5">
      <c r="A3392" s="151">
        <v>3391</v>
      </c>
      <c r="B3392" s="152" t="s">
        <v>11311</v>
      </c>
      <c r="C3392" s="162" t="s">
        <v>16631</v>
      </c>
      <c r="D3392" s="163">
        <v>1000</v>
      </c>
      <c r="E3392" s="163">
        <f>D3392*100</f>
        <v>100000</v>
      </c>
    </row>
    <row r="3393" ht="16.5" spans="1:5">
      <c r="A3393" s="151">
        <v>3392</v>
      </c>
      <c r="B3393" s="152" t="s">
        <v>11316</v>
      </c>
      <c r="C3393" s="153" t="s">
        <v>16629</v>
      </c>
      <c r="D3393" s="154">
        <v>10</v>
      </c>
      <c r="E3393" s="155">
        <f t="shared" ref="E3393:E3398" si="119">+D3393*100</f>
        <v>1000</v>
      </c>
    </row>
    <row r="3394" ht="16.5" spans="1:5">
      <c r="A3394" s="151">
        <v>3393</v>
      </c>
      <c r="B3394" s="152" t="s">
        <v>11319</v>
      </c>
      <c r="C3394" s="153" t="s">
        <v>16629</v>
      </c>
      <c r="D3394" s="158">
        <v>10</v>
      </c>
      <c r="E3394" s="155">
        <f t="shared" si="119"/>
        <v>1000</v>
      </c>
    </row>
    <row r="3395" ht="16.5" spans="1:5">
      <c r="A3395" s="151">
        <v>3394</v>
      </c>
      <c r="B3395" s="152" t="s">
        <v>11322</v>
      </c>
      <c r="C3395" s="153" t="s">
        <v>16629</v>
      </c>
      <c r="D3395" s="158">
        <v>10</v>
      </c>
      <c r="E3395" s="155">
        <f t="shared" si="119"/>
        <v>1000</v>
      </c>
    </row>
    <row r="3396" ht="16.5" spans="1:5">
      <c r="A3396" s="151">
        <v>3395</v>
      </c>
      <c r="B3396" s="152" t="s">
        <v>11325</v>
      </c>
      <c r="C3396" s="156" t="s">
        <v>16629</v>
      </c>
      <c r="D3396" s="159">
        <v>10</v>
      </c>
      <c r="E3396" s="155">
        <f t="shared" si="119"/>
        <v>1000</v>
      </c>
    </row>
    <row r="3397" ht="16.5" spans="1:5">
      <c r="A3397" s="151">
        <v>3396</v>
      </c>
      <c r="B3397" s="152" t="s">
        <v>11328</v>
      </c>
      <c r="C3397" s="156" t="s">
        <v>16629</v>
      </c>
      <c r="D3397" s="159">
        <v>10</v>
      </c>
      <c r="E3397" s="155">
        <f t="shared" si="119"/>
        <v>1000</v>
      </c>
    </row>
    <row r="3398" ht="16.5" spans="1:5">
      <c r="A3398" s="151">
        <v>3397</v>
      </c>
      <c r="B3398" s="152" t="s">
        <v>11332</v>
      </c>
      <c r="C3398" s="153" t="s">
        <v>16629</v>
      </c>
      <c r="D3398" s="154">
        <v>10</v>
      </c>
      <c r="E3398" s="155">
        <f t="shared" si="119"/>
        <v>1000</v>
      </c>
    </row>
    <row r="3399" ht="16.5" spans="1:5">
      <c r="A3399" s="151">
        <v>3398</v>
      </c>
      <c r="B3399" s="152" t="s">
        <v>11335</v>
      </c>
      <c r="C3399" s="160" t="s">
        <v>16630</v>
      </c>
      <c r="D3399" s="165">
        <v>500</v>
      </c>
      <c r="E3399" s="161">
        <f>SUM(D3399*100)</f>
        <v>50000</v>
      </c>
    </row>
    <row r="3400" ht="16.5" spans="1:5">
      <c r="A3400" s="151">
        <v>3399</v>
      </c>
      <c r="B3400" s="152" t="s">
        <v>11338</v>
      </c>
      <c r="C3400" s="153" t="s">
        <v>16629</v>
      </c>
      <c r="D3400" s="158">
        <v>10</v>
      </c>
      <c r="E3400" s="155">
        <f t="shared" ref="E3400:E3407" si="120">+D3400*100</f>
        <v>1000</v>
      </c>
    </row>
    <row r="3401" ht="16.5" spans="1:5">
      <c r="A3401" s="151">
        <v>3400</v>
      </c>
      <c r="B3401" s="152" t="s">
        <v>11342</v>
      </c>
      <c r="C3401" s="153" t="s">
        <v>16629</v>
      </c>
      <c r="D3401" s="154">
        <v>10</v>
      </c>
      <c r="E3401" s="155">
        <f t="shared" si="120"/>
        <v>1000</v>
      </c>
    </row>
    <row r="3402" ht="16.5" spans="1:5">
      <c r="A3402" s="151">
        <v>3401</v>
      </c>
      <c r="B3402" s="152" t="s">
        <v>11345</v>
      </c>
      <c r="C3402" s="153" t="s">
        <v>16629</v>
      </c>
      <c r="D3402" s="158">
        <v>10</v>
      </c>
      <c r="E3402" s="155">
        <f t="shared" si="120"/>
        <v>1000</v>
      </c>
    </row>
    <row r="3403" ht="16.5" spans="1:5">
      <c r="A3403" s="151">
        <v>3402</v>
      </c>
      <c r="B3403" s="152" t="s">
        <v>11348</v>
      </c>
      <c r="C3403" s="156" t="s">
        <v>16629</v>
      </c>
      <c r="D3403" s="157">
        <v>10</v>
      </c>
      <c r="E3403" s="155">
        <f t="shared" si="120"/>
        <v>1000</v>
      </c>
    </row>
    <row r="3404" ht="16.5" spans="1:5">
      <c r="A3404" s="151">
        <v>3403</v>
      </c>
      <c r="B3404" s="152" t="s">
        <v>11351</v>
      </c>
      <c r="C3404" s="156" t="s">
        <v>16629</v>
      </c>
      <c r="D3404" s="159">
        <v>10</v>
      </c>
      <c r="E3404" s="155">
        <f t="shared" si="120"/>
        <v>1000</v>
      </c>
    </row>
    <row r="3405" ht="16.5" spans="1:5">
      <c r="A3405" s="151">
        <v>3404</v>
      </c>
      <c r="B3405" s="152" t="s">
        <v>11354</v>
      </c>
      <c r="C3405" s="156" t="s">
        <v>16629</v>
      </c>
      <c r="D3405" s="159">
        <v>10</v>
      </c>
      <c r="E3405" s="155">
        <f t="shared" si="120"/>
        <v>1000</v>
      </c>
    </row>
    <row r="3406" ht="16.5" spans="1:5">
      <c r="A3406" s="151">
        <v>3405</v>
      </c>
      <c r="B3406" s="152" t="s">
        <v>11357</v>
      </c>
      <c r="C3406" s="153" t="s">
        <v>16629</v>
      </c>
      <c r="D3406" s="154">
        <v>10</v>
      </c>
      <c r="E3406" s="155">
        <f t="shared" si="120"/>
        <v>1000</v>
      </c>
    </row>
    <row r="3407" ht="16.5" spans="1:5">
      <c r="A3407" s="151">
        <v>3406</v>
      </c>
      <c r="B3407" s="152" t="s">
        <v>11360</v>
      </c>
      <c r="C3407" s="153" t="s">
        <v>16629</v>
      </c>
      <c r="D3407" s="158">
        <v>10</v>
      </c>
      <c r="E3407" s="155">
        <f t="shared" si="120"/>
        <v>1000</v>
      </c>
    </row>
    <row r="3408" ht="16.5" spans="1:5">
      <c r="A3408" s="151">
        <v>3407</v>
      </c>
      <c r="B3408" s="152" t="s">
        <v>11363</v>
      </c>
      <c r="C3408" s="162" t="s">
        <v>16631</v>
      </c>
      <c r="D3408" s="163">
        <v>1000</v>
      </c>
      <c r="E3408" s="163">
        <f>D3408*100</f>
        <v>100000</v>
      </c>
    </row>
    <row r="3409" ht="16.5" spans="1:5">
      <c r="A3409" s="151">
        <v>3408</v>
      </c>
      <c r="B3409" s="152" t="s">
        <v>11368</v>
      </c>
      <c r="C3409" s="162" t="s">
        <v>16633</v>
      </c>
      <c r="D3409" s="171">
        <f>G3409/100</f>
        <v>0</v>
      </c>
      <c r="E3409" s="171">
        <f>G3409</f>
        <v>0</v>
      </c>
    </row>
    <row r="3410" ht="16.5" spans="1:5">
      <c r="A3410" s="151">
        <v>3409</v>
      </c>
      <c r="B3410" s="152" t="s">
        <v>11370</v>
      </c>
      <c r="C3410" s="156" t="s">
        <v>16629</v>
      </c>
      <c r="D3410" s="157">
        <v>10</v>
      </c>
      <c r="E3410" s="155">
        <f>+D3410*100</f>
        <v>1000</v>
      </c>
    </row>
    <row r="3411" ht="16.5" spans="1:5">
      <c r="A3411" s="151">
        <v>3410</v>
      </c>
      <c r="B3411" s="152" t="s">
        <v>11374</v>
      </c>
      <c r="C3411" s="160" t="s">
        <v>16630</v>
      </c>
      <c r="D3411" s="175">
        <v>10</v>
      </c>
      <c r="E3411" s="161">
        <f>SUM(D3411*100)</f>
        <v>1000</v>
      </c>
    </row>
    <row r="3412" ht="16.5" spans="1:5">
      <c r="A3412" s="151">
        <v>3411</v>
      </c>
      <c r="B3412" s="152" t="s">
        <v>11377</v>
      </c>
      <c r="C3412" s="153" t="s">
        <v>16629</v>
      </c>
      <c r="D3412" s="158">
        <v>10</v>
      </c>
      <c r="E3412" s="155">
        <f t="shared" ref="E3412:E3419" si="121">+D3412*100</f>
        <v>1000</v>
      </c>
    </row>
    <row r="3413" ht="16.5" spans="1:5">
      <c r="A3413" s="151">
        <v>3412</v>
      </c>
      <c r="B3413" s="152" t="s">
        <v>11380</v>
      </c>
      <c r="C3413" s="153" t="s">
        <v>16629</v>
      </c>
      <c r="D3413" s="158">
        <v>10</v>
      </c>
      <c r="E3413" s="155">
        <f t="shared" si="121"/>
        <v>1000</v>
      </c>
    </row>
    <row r="3414" ht="16.5" spans="1:5">
      <c r="A3414" s="151">
        <v>3413</v>
      </c>
      <c r="B3414" s="152" t="s">
        <v>11383</v>
      </c>
      <c r="C3414" s="156" t="s">
        <v>16629</v>
      </c>
      <c r="D3414" s="159">
        <v>10</v>
      </c>
      <c r="E3414" s="155">
        <f t="shared" si="121"/>
        <v>1000</v>
      </c>
    </row>
    <row r="3415" ht="16.5" spans="1:5">
      <c r="A3415" s="151">
        <v>3414</v>
      </c>
      <c r="B3415" s="152" t="s">
        <v>11386</v>
      </c>
      <c r="C3415" s="153" t="s">
        <v>16629</v>
      </c>
      <c r="D3415" s="154">
        <v>10</v>
      </c>
      <c r="E3415" s="155">
        <f t="shared" si="121"/>
        <v>1000</v>
      </c>
    </row>
    <row r="3416" ht="16.5" spans="1:5">
      <c r="A3416" s="151">
        <v>3415</v>
      </c>
      <c r="B3416" s="152" t="s">
        <v>11389</v>
      </c>
      <c r="C3416" s="156" t="s">
        <v>16629</v>
      </c>
      <c r="D3416" s="159">
        <v>10</v>
      </c>
      <c r="E3416" s="155">
        <f t="shared" si="121"/>
        <v>1000</v>
      </c>
    </row>
    <row r="3417" ht="16.5" spans="1:5">
      <c r="A3417" s="151">
        <v>3416</v>
      </c>
      <c r="B3417" s="152" t="s">
        <v>11392</v>
      </c>
      <c r="C3417" s="153" t="s">
        <v>16629</v>
      </c>
      <c r="D3417" s="154">
        <v>10</v>
      </c>
      <c r="E3417" s="155">
        <f t="shared" si="121"/>
        <v>1000</v>
      </c>
    </row>
    <row r="3418" ht="16.5" spans="1:5">
      <c r="A3418" s="151">
        <v>3417</v>
      </c>
      <c r="B3418" s="152" t="s">
        <v>11395</v>
      </c>
      <c r="C3418" s="153" t="s">
        <v>16629</v>
      </c>
      <c r="D3418" s="154">
        <v>10</v>
      </c>
      <c r="E3418" s="155">
        <f t="shared" si="121"/>
        <v>1000</v>
      </c>
    </row>
    <row r="3419" ht="16.5" spans="1:5">
      <c r="A3419" s="151">
        <v>3418</v>
      </c>
      <c r="B3419" s="152" t="s">
        <v>11398</v>
      </c>
      <c r="C3419" s="156" t="s">
        <v>16629</v>
      </c>
      <c r="D3419" s="159">
        <v>10</v>
      </c>
      <c r="E3419" s="155">
        <f t="shared" si="121"/>
        <v>1000</v>
      </c>
    </row>
    <row r="3420" ht="16.5" spans="1:5">
      <c r="A3420" s="151">
        <v>3419</v>
      </c>
      <c r="B3420" s="152" t="s">
        <v>11401</v>
      </c>
      <c r="C3420" s="160" t="s">
        <v>16630</v>
      </c>
      <c r="D3420" s="160">
        <v>200</v>
      </c>
      <c r="E3420" s="161">
        <f>SUM(D3420*100)</f>
        <v>20000</v>
      </c>
    </row>
    <row r="3421" ht="16.5" spans="1:5">
      <c r="A3421" s="151">
        <v>3420</v>
      </c>
      <c r="B3421" s="152" t="s">
        <v>11405</v>
      </c>
      <c r="C3421" s="160" t="s">
        <v>16630</v>
      </c>
      <c r="D3421" s="41">
        <v>100</v>
      </c>
      <c r="E3421" s="161">
        <f>SUM(D3421*100)</f>
        <v>10000</v>
      </c>
    </row>
    <row r="3422" ht="16.5" spans="1:5">
      <c r="A3422" s="151">
        <v>3421</v>
      </c>
      <c r="B3422" s="152" t="s">
        <v>11408</v>
      </c>
      <c r="C3422" s="156" t="s">
        <v>16629</v>
      </c>
      <c r="D3422" s="157">
        <v>10</v>
      </c>
      <c r="E3422" s="155">
        <f>+D3422*100</f>
        <v>1000</v>
      </c>
    </row>
    <row r="3423" ht="16.5" spans="1:5">
      <c r="A3423" s="151">
        <v>3422</v>
      </c>
      <c r="B3423" s="152" t="s">
        <v>11411</v>
      </c>
      <c r="C3423" s="153" t="s">
        <v>16629</v>
      </c>
      <c r="D3423" s="158">
        <v>10</v>
      </c>
      <c r="E3423" s="155">
        <f>+D3423*100</f>
        <v>1000</v>
      </c>
    </row>
    <row r="3424" ht="16.5" spans="1:5">
      <c r="A3424" s="151">
        <v>3423</v>
      </c>
      <c r="B3424" s="152" t="s">
        <v>11414</v>
      </c>
      <c r="C3424" s="153" t="s">
        <v>16629</v>
      </c>
      <c r="D3424" s="154">
        <v>10</v>
      </c>
      <c r="E3424" s="155">
        <f>+D3424*100</f>
        <v>1000</v>
      </c>
    </row>
    <row r="3425" ht="16.5" spans="1:5">
      <c r="A3425" s="151">
        <v>3424</v>
      </c>
      <c r="B3425" s="152" t="s">
        <v>11418</v>
      </c>
      <c r="C3425" s="153" t="s">
        <v>16629</v>
      </c>
      <c r="D3425" s="154">
        <v>10</v>
      </c>
      <c r="E3425" s="155">
        <f>+D3425*100</f>
        <v>1000</v>
      </c>
    </row>
    <row r="3426" ht="16.5" spans="1:5">
      <c r="A3426" s="151">
        <v>3425</v>
      </c>
      <c r="B3426" s="152" t="s">
        <v>11422</v>
      </c>
      <c r="C3426" s="162" t="s">
        <v>16631</v>
      </c>
      <c r="D3426" s="163">
        <v>1000</v>
      </c>
      <c r="E3426" s="163">
        <f>D3426*100</f>
        <v>100000</v>
      </c>
    </row>
    <row r="3427" ht="16.5" spans="1:5">
      <c r="A3427" s="151">
        <v>3426</v>
      </c>
      <c r="B3427" s="152" t="s">
        <v>11427</v>
      </c>
      <c r="C3427" s="162" t="s">
        <v>16631</v>
      </c>
      <c r="D3427" s="163">
        <v>1000</v>
      </c>
      <c r="E3427" s="163">
        <f>D3427*100</f>
        <v>100000</v>
      </c>
    </row>
    <row r="3428" ht="16.5" spans="1:5">
      <c r="A3428" s="151">
        <v>3427</v>
      </c>
      <c r="B3428" s="152" t="s">
        <v>11431</v>
      </c>
      <c r="C3428" s="160" t="s">
        <v>16630</v>
      </c>
      <c r="D3428" s="172">
        <v>50</v>
      </c>
      <c r="E3428" s="161">
        <f>+D3428*100</f>
        <v>5000</v>
      </c>
    </row>
    <row r="3429" ht="16.5" spans="1:5">
      <c r="A3429" s="151">
        <v>3428</v>
      </c>
      <c r="B3429" s="152" t="s">
        <v>11434</v>
      </c>
      <c r="C3429" s="160" t="s">
        <v>16630</v>
      </c>
      <c r="D3429" s="160">
        <v>50</v>
      </c>
      <c r="E3429" s="161">
        <f>SUM(D3429*100)</f>
        <v>5000</v>
      </c>
    </row>
    <row r="3430" ht="16.5" spans="1:5">
      <c r="A3430" s="151">
        <v>3429</v>
      </c>
      <c r="B3430" s="152" t="s">
        <v>11438</v>
      </c>
      <c r="C3430" s="166" t="s">
        <v>16632</v>
      </c>
      <c r="D3430" s="166">
        <f>IFERROR(__xludf.DUMMYFUNCTION("""COMPUTED_VALUE"""),10000)</f>
        <v>10000</v>
      </c>
      <c r="E3430" s="168">
        <f>IFERROR(__xludf.DUMMYFUNCTION("""COMPUTED_VALUE"""),1500000)</f>
        <v>1500000</v>
      </c>
    </row>
    <row r="3431" ht="16.5" spans="1:5">
      <c r="A3431" s="151">
        <v>3430</v>
      </c>
      <c r="B3431" s="152" t="s">
        <v>11439</v>
      </c>
      <c r="C3431" s="160" t="s">
        <v>16630</v>
      </c>
      <c r="D3431" s="160">
        <v>50</v>
      </c>
      <c r="E3431" s="161">
        <f>SUM(D3431*100)</f>
        <v>5000</v>
      </c>
    </row>
    <row r="3432" ht="16.5" spans="1:5">
      <c r="A3432" s="151">
        <v>3431</v>
      </c>
      <c r="B3432" s="152" t="s">
        <v>11443</v>
      </c>
      <c r="C3432" s="160" t="s">
        <v>16630</v>
      </c>
      <c r="D3432" s="160">
        <v>10</v>
      </c>
      <c r="E3432" s="161">
        <f>SUM(D3432*100)</f>
        <v>1000</v>
      </c>
    </row>
    <row r="3433" ht="16.5" spans="1:5">
      <c r="A3433" s="151">
        <v>3432</v>
      </c>
      <c r="B3433" s="152" t="s">
        <v>11447</v>
      </c>
      <c r="C3433" s="160" t="s">
        <v>16630</v>
      </c>
      <c r="D3433" s="160">
        <v>50</v>
      </c>
      <c r="E3433" s="161">
        <f>SUM(D3433*100)</f>
        <v>5000</v>
      </c>
    </row>
    <row r="3434" ht="16.5" spans="1:5">
      <c r="A3434" s="151">
        <v>3433</v>
      </c>
      <c r="B3434" s="152" t="s">
        <v>11451</v>
      </c>
      <c r="C3434" s="160" t="s">
        <v>16630</v>
      </c>
      <c r="D3434" s="160">
        <v>50</v>
      </c>
      <c r="E3434" s="161">
        <f>SUM(D3434*100)</f>
        <v>5000</v>
      </c>
    </row>
    <row r="3435" ht="16.5" spans="1:5">
      <c r="A3435" s="151">
        <v>3434</v>
      </c>
      <c r="B3435" s="152" t="s">
        <v>11455</v>
      </c>
      <c r="C3435" s="162" t="s">
        <v>16631</v>
      </c>
      <c r="D3435" s="163">
        <v>2000</v>
      </c>
      <c r="E3435" s="163">
        <f>D3435*100</f>
        <v>200000</v>
      </c>
    </row>
    <row r="3436" ht="16.5" spans="1:5">
      <c r="A3436" s="151">
        <v>3435</v>
      </c>
      <c r="B3436" s="152" t="s">
        <v>11459</v>
      </c>
      <c r="C3436" s="160" t="s">
        <v>16630</v>
      </c>
      <c r="D3436" s="160">
        <v>500</v>
      </c>
      <c r="E3436" s="161">
        <f t="shared" ref="E3436:E3451" si="122">SUM(D3436*100)</f>
        <v>50000</v>
      </c>
    </row>
    <row r="3437" ht="16.5" spans="1:5">
      <c r="A3437" s="151">
        <v>3436</v>
      </c>
      <c r="B3437" s="152" t="s">
        <v>11463</v>
      </c>
      <c r="C3437" s="160" t="s">
        <v>16630</v>
      </c>
      <c r="D3437" s="160">
        <v>500</v>
      </c>
      <c r="E3437" s="161">
        <f t="shared" si="122"/>
        <v>50000</v>
      </c>
    </row>
    <row r="3438" ht="16.5" spans="1:5">
      <c r="A3438" s="151">
        <v>3437</v>
      </c>
      <c r="B3438" s="152" t="s">
        <v>11467</v>
      </c>
      <c r="C3438" s="160" t="s">
        <v>16630</v>
      </c>
      <c r="D3438" s="160">
        <v>10</v>
      </c>
      <c r="E3438" s="161">
        <f t="shared" si="122"/>
        <v>1000</v>
      </c>
    </row>
    <row r="3439" ht="16.5" spans="1:5">
      <c r="A3439" s="151">
        <v>3438</v>
      </c>
      <c r="B3439" s="152" t="s">
        <v>11471</v>
      </c>
      <c r="C3439" s="160" t="s">
        <v>16630</v>
      </c>
      <c r="D3439" s="160">
        <v>10</v>
      </c>
      <c r="E3439" s="161">
        <f t="shared" si="122"/>
        <v>1000</v>
      </c>
    </row>
    <row r="3440" ht="16.5" spans="1:5">
      <c r="A3440" s="151">
        <v>3439</v>
      </c>
      <c r="B3440" s="152" t="s">
        <v>11475</v>
      </c>
      <c r="C3440" s="160" t="s">
        <v>16630</v>
      </c>
      <c r="D3440" s="160">
        <v>10</v>
      </c>
      <c r="E3440" s="161">
        <f t="shared" si="122"/>
        <v>1000</v>
      </c>
    </row>
    <row r="3441" ht="16.5" spans="1:5">
      <c r="A3441" s="151">
        <v>3440</v>
      </c>
      <c r="B3441" s="152" t="s">
        <v>11479</v>
      </c>
      <c r="C3441" s="160" t="s">
        <v>16630</v>
      </c>
      <c r="D3441" s="160">
        <v>10</v>
      </c>
      <c r="E3441" s="161">
        <f t="shared" si="122"/>
        <v>1000</v>
      </c>
    </row>
    <row r="3442" ht="16.5" spans="1:5">
      <c r="A3442" s="151">
        <v>3441</v>
      </c>
      <c r="B3442" s="152" t="s">
        <v>11483</v>
      </c>
      <c r="C3442" s="160" t="s">
        <v>16630</v>
      </c>
      <c r="D3442" s="160">
        <v>10</v>
      </c>
      <c r="E3442" s="161">
        <f t="shared" si="122"/>
        <v>1000</v>
      </c>
    </row>
    <row r="3443" ht="16.5" spans="1:5">
      <c r="A3443" s="151">
        <v>3442</v>
      </c>
      <c r="B3443" s="152" t="s">
        <v>11487</v>
      </c>
      <c r="C3443" s="160" t="s">
        <v>16630</v>
      </c>
      <c r="D3443" s="160">
        <v>10</v>
      </c>
      <c r="E3443" s="161">
        <f t="shared" si="122"/>
        <v>1000</v>
      </c>
    </row>
    <row r="3444" ht="16.5" spans="1:5">
      <c r="A3444" s="151">
        <v>3443</v>
      </c>
      <c r="B3444" s="152" t="s">
        <v>11491</v>
      </c>
      <c r="C3444" s="160" t="s">
        <v>16630</v>
      </c>
      <c r="D3444" s="160">
        <v>10</v>
      </c>
      <c r="E3444" s="161">
        <f t="shared" si="122"/>
        <v>1000</v>
      </c>
    </row>
    <row r="3445" ht="16.5" spans="1:5">
      <c r="A3445" s="151">
        <v>3444</v>
      </c>
      <c r="B3445" s="152" t="s">
        <v>11495</v>
      </c>
      <c r="C3445" s="160" t="s">
        <v>16630</v>
      </c>
      <c r="D3445" s="160">
        <v>10</v>
      </c>
      <c r="E3445" s="161">
        <f t="shared" si="122"/>
        <v>1000</v>
      </c>
    </row>
    <row r="3446" ht="16.5" spans="1:5">
      <c r="A3446" s="151">
        <v>3445</v>
      </c>
      <c r="B3446" s="152" t="s">
        <v>11498</v>
      </c>
      <c r="C3446" s="160" t="s">
        <v>16630</v>
      </c>
      <c r="D3446" s="160">
        <v>10</v>
      </c>
      <c r="E3446" s="161">
        <f t="shared" si="122"/>
        <v>1000</v>
      </c>
    </row>
    <row r="3447" ht="16.5" spans="1:5">
      <c r="A3447" s="151">
        <v>3446</v>
      </c>
      <c r="B3447" s="152" t="s">
        <v>11502</v>
      </c>
      <c r="C3447" s="160" t="s">
        <v>16630</v>
      </c>
      <c r="D3447" s="160">
        <v>10</v>
      </c>
      <c r="E3447" s="161">
        <f t="shared" si="122"/>
        <v>1000</v>
      </c>
    </row>
    <row r="3448" ht="16.5" spans="1:5">
      <c r="A3448" s="151">
        <v>3447</v>
      </c>
      <c r="B3448" s="152" t="s">
        <v>11506</v>
      </c>
      <c r="C3448" s="160" t="s">
        <v>16630</v>
      </c>
      <c r="D3448" s="160">
        <v>10</v>
      </c>
      <c r="E3448" s="161">
        <f t="shared" si="122"/>
        <v>1000</v>
      </c>
    </row>
    <row r="3449" ht="16.5" spans="1:5">
      <c r="A3449" s="151">
        <v>3448</v>
      </c>
      <c r="B3449" s="152" t="s">
        <v>11510</v>
      </c>
      <c r="C3449" s="160" t="s">
        <v>16630</v>
      </c>
      <c r="D3449" s="160">
        <v>10</v>
      </c>
      <c r="E3449" s="161">
        <f t="shared" si="122"/>
        <v>1000</v>
      </c>
    </row>
    <row r="3450" ht="16.5" spans="1:5">
      <c r="A3450" s="151">
        <v>3449</v>
      </c>
      <c r="B3450" s="152" t="s">
        <v>11514</v>
      </c>
      <c r="C3450" s="160" t="s">
        <v>16630</v>
      </c>
      <c r="D3450" s="160">
        <v>10</v>
      </c>
      <c r="E3450" s="161">
        <f t="shared" si="122"/>
        <v>1000</v>
      </c>
    </row>
    <row r="3451" ht="16.5" spans="1:5">
      <c r="A3451" s="151">
        <v>3450</v>
      </c>
      <c r="B3451" s="152" t="s">
        <v>11518</v>
      </c>
      <c r="C3451" s="160" t="s">
        <v>16630</v>
      </c>
      <c r="D3451" s="160">
        <v>10</v>
      </c>
      <c r="E3451" s="161">
        <f t="shared" si="122"/>
        <v>1000</v>
      </c>
    </row>
    <row r="3452" ht="16.5" spans="1:5">
      <c r="A3452" s="151">
        <v>3451</v>
      </c>
      <c r="B3452" s="152" t="s">
        <v>11521</v>
      </c>
      <c r="C3452" s="156" t="s">
        <v>16629</v>
      </c>
      <c r="D3452" s="159">
        <v>10</v>
      </c>
      <c r="E3452" s="155">
        <f>+D3452*100</f>
        <v>1000</v>
      </c>
    </row>
    <row r="3453" ht="16.5" spans="1:5">
      <c r="A3453" s="151">
        <v>3452</v>
      </c>
      <c r="B3453" s="152" t="s">
        <v>11525</v>
      </c>
      <c r="C3453" s="160" t="s">
        <v>16630</v>
      </c>
      <c r="D3453" s="160">
        <v>10</v>
      </c>
      <c r="E3453" s="161">
        <f>SUM(D3453*100)</f>
        <v>1000</v>
      </c>
    </row>
    <row r="3454" ht="16.5" spans="1:5">
      <c r="A3454" s="151">
        <v>3453</v>
      </c>
      <c r="B3454" s="152" t="s">
        <v>11528</v>
      </c>
      <c r="C3454" s="153" t="s">
        <v>16629</v>
      </c>
      <c r="D3454" s="158">
        <v>10</v>
      </c>
      <c r="E3454" s="155">
        <f>+D3454*100</f>
        <v>1000</v>
      </c>
    </row>
    <row r="3455" ht="16.5" spans="1:5">
      <c r="A3455" s="151">
        <v>3454</v>
      </c>
      <c r="B3455" s="152" t="s">
        <v>11531</v>
      </c>
      <c r="C3455" s="153" t="s">
        <v>16629</v>
      </c>
      <c r="D3455" s="154">
        <v>10</v>
      </c>
      <c r="E3455" s="155">
        <f>+D3455*100</f>
        <v>1000</v>
      </c>
    </row>
    <row r="3456" ht="16.5" spans="1:5">
      <c r="A3456" s="151">
        <v>3455</v>
      </c>
      <c r="B3456" s="152" t="s">
        <v>11535</v>
      </c>
      <c r="C3456" s="166" t="s">
        <v>16632</v>
      </c>
      <c r="D3456" s="166">
        <f>IFERROR(__xludf.DUMMYFUNCTION("""COMPUTED_VALUE"""),10000)</f>
        <v>10000</v>
      </c>
      <c r="E3456" s="168">
        <f>IFERROR(__xludf.DUMMYFUNCTION("""COMPUTED_VALUE"""),1500000)</f>
        <v>1500000</v>
      </c>
    </row>
    <row r="3457" ht="16.5" spans="1:5">
      <c r="A3457" s="151">
        <v>3456</v>
      </c>
      <c r="B3457" s="152" t="s">
        <v>11536</v>
      </c>
      <c r="C3457" s="162" t="s">
        <v>16631</v>
      </c>
      <c r="D3457" s="163">
        <v>1000</v>
      </c>
      <c r="E3457" s="163">
        <f>D3457*100</f>
        <v>100000</v>
      </c>
    </row>
    <row r="3458" ht="16.5" spans="1:5">
      <c r="A3458" s="151">
        <v>3457</v>
      </c>
      <c r="B3458" s="152" t="s">
        <v>11536</v>
      </c>
      <c r="C3458" s="160" t="s">
        <v>16630</v>
      </c>
      <c r="D3458" s="165">
        <v>1000</v>
      </c>
      <c r="E3458" s="161">
        <f>SUM(D3458*100)</f>
        <v>100000</v>
      </c>
    </row>
    <row r="3459" ht="16.5" spans="1:5">
      <c r="A3459" s="151">
        <v>3458</v>
      </c>
      <c r="B3459" s="152" t="s">
        <v>11540</v>
      </c>
      <c r="C3459" s="153" t="s">
        <v>16629</v>
      </c>
      <c r="D3459" s="154">
        <v>10</v>
      </c>
      <c r="E3459" s="155">
        <f>+D3459*100</f>
        <v>1000</v>
      </c>
    </row>
    <row r="3460" ht="16.5" spans="1:5">
      <c r="A3460" s="151">
        <v>3459</v>
      </c>
      <c r="B3460" s="152" t="s">
        <v>11543</v>
      </c>
      <c r="C3460" s="162" t="s">
        <v>16631</v>
      </c>
      <c r="D3460" s="163">
        <v>1000</v>
      </c>
      <c r="E3460" s="163">
        <f>D3460*100</f>
        <v>100000</v>
      </c>
    </row>
    <row r="3461" ht="16.5" spans="1:5">
      <c r="A3461" s="151">
        <v>3460</v>
      </c>
      <c r="B3461" s="152" t="s">
        <v>11547</v>
      </c>
      <c r="C3461" s="153" t="s">
        <v>16629</v>
      </c>
      <c r="D3461" s="154">
        <v>10</v>
      </c>
      <c r="E3461" s="155">
        <f>+D3461*100</f>
        <v>1000</v>
      </c>
    </row>
    <row r="3462" ht="16.5" spans="1:5">
      <c r="A3462" s="151">
        <v>3461</v>
      </c>
      <c r="B3462" s="152" t="s">
        <v>11550</v>
      </c>
      <c r="C3462" s="160" t="s">
        <v>16630</v>
      </c>
      <c r="D3462" s="160">
        <v>10</v>
      </c>
      <c r="E3462" s="161">
        <f>SUM(D3462*100)</f>
        <v>1000</v>
      </c>
    </row>
    <row r="3463" ht="16.5" spans="1:5">
      <c r="A3463" s="151">
        <v>3462</v>
      </c>
      <c r="B3463" s="152" t="s">
        <v>11555</v>
      </c>
      <c r="C3463" s="156" t="s">
        <v>16629</v>
      </c>
      <c r="D3463" s="159">
        <v>10</v>
      </c>
      <c r="E3463" s="155">
        <f>+D3463*100</f>
        <v>1000</v>
      </c>
    </row>
    <row r="3464" ht="16.5" spans="1:5">
      <c r="A3464" s="151">
        <v>3463</v>
      </c>
      <c r="B3464" s="152" t="s">
        <v>11559</v>
      </c>
      <c r="C3464" s="160" t="s">
        <v>16630</v>
      </c>
      <c r="D3464" s="160">
        <v>20</v>
      </c>
      <c r="E3464" s="161">
        <f>SUM(D3464*100)</f>
        <v>2000</v>
      </c>
    </row>
    <row r="3465" ht="16.5" spans="1:5">
      <c r="A3465" s="151">
        <v>3464</v>
      </c>
      <c r="B3465" s="152" t="s">
        <v>11562</v>
      </c>
      <c r="C3465" s="160" t="s">
        <v>16630</v>
      </c>
      <c r="D3465" s="160">
        <v>10</v>
      </c>
      <c r="E3465" s="161">
        <f>SUM(D3465*100)</f>
        <v>1000</v>
      </c>
    </row>
    <row r="3466" ht="16.5" spans="1:5">
      <c r="A3466" s="151">
        <v>3465</v>
      </c>
      <c r="B3466" s="152" t="s">
        <v>11566</v>
      </c>
      <c r="C3466" s="156" t="s">
        <v>16629</v>
      </c>
      <c r="D3466" s="159">
        <v>10</v>
      </c>
      <c r="E3466" s="155">
        <f>+D3466*100</f>
        <v>1000</v>
      </c>
    </row>
    <row r="3467" ht="16.5" spans="1:5">
      <c r="A3467" s="151">
        <v>3466</v>
      </c>
      <c r="B3467" s="152" t="s">
        <v>11570</v>
      </c>
      <c r="C3467" s="160" t="s">
        <v>16630</v>
      </c>
      <c r="D3467" s="160">
        <v>26700</v>
      </c>
      <c r="E3467" s="161">
        <f>SUM(D3467*10)</f>
        <v>267000</v>
      </c>
    </row>
    <row r="3468" ht="16.5" spans="1:5">
      <c r="A3468" s="151">
        <v>3467</v>
      </c>
      <c r="B3468" s="152" t="s">
        <v>11574</v>
      </c>
      <c r="C3468" s="156" t="s">
        <v>16629</v>
      </c>
      <c r="D3468" s="157">
        <v>10</v>
      </c>
      <c r="E3468" s="155">
        <f>+D3468*100</f>
        <v>1000</v>
      </c>
    </row>
    <row r="3469" ht="16.5" spans="1:5">
      <c r="A3469" s="151">
        <v>3468</v>
      </c>
      <c r="B3469" s="152" t="s">
        <v>11577</v>
      </c>
      <c r="C3469" s="160" t="s">
        <v>16630</v>
      </c>
      <c r="D3469" s="160">
        <v>160</v>
      </c>
      <c r="E3469" s="161">
        <f>SUM(D3469*100)</f>
        <v>16000</v>
      </c>
    </row>
    <row r="3470" ht="16.5" spans="1:5">
      <c r="A3470" s="151">
        <v>3469</v>
      </c>
      <c r="B3470" s="152" t="s">
        <v>11577</v>
      </c>
      <c r="C3470" s="162" t="s">
        <v>16631</v>
      </c>
      <c r="D3470" s="163">
        <v>1000</v>
      </c>
      <c r="E3470" s="163">
        <f>D3470*100</f>
        <v>100000</v>
      </c>
    </row>
    <row r="3471" ht="16.5" spans="1:5">
      <c r="A3471" s="151">
        <v>3470</v>
      </c>
      <c r="B3471" s="152" t="s">
        <v>11580</v>
      </c>
      <c r="C3471" s="162" t="s">
        <v>16633</v>
      </c>
      <c r="D3471" s="171">
        <f>G3471/100</f>
        <v>0</v>
      </c>
      <c r="E3471" s="171">
        <f>G3471</f>
        <v>0</v>
      </c>
    </row>
    <row r="3472" ht="16.5" spans="1:5">
      <c r="A3472" s="151">
        <v>3471</v>
      </c>
      <c r="B3472" s="152" t="s">
        <v>11582</v>
      </c>
      <c r="C3472" s="153" t="s">
        <v>16629</v>
      </c>
      <c r="D3472" s="154">
        <v>10</v>
      </c>
      <c r="E3472" s="155">
        <f>+D3472*100</f>
        <v>1000</v>
      </c>
    </row>
    <row r="3473" ht="16.5" spans="1:5">
      <c r="A3473" s="151">
        <v>3472</v>
      </c>
      <c r="B3473" s="152" t="s">
        <v>11585</v>
      </c>
      <c r="C3473" s="156" t="s">
        <v>16629</v>
      </c>
      <c r="D3473" s="159">
        <v>10</v>
      </c>
      <c r="E3473" s="155">
        <f>+D3473*100</f>
        <v>1000</v>
      </c>
    </row>
    <row r="3474" ht="16.5" spans="1:5">
      <c r="A3474" s="151">
        <v>3473</v>
      </c>
      <c r="B3474" s="152" t="s">
        <v>11589</v>
      </c>
      <c r="C3474" s="156" t="s">
        <v>16629</v>
      </c>
      <c r="D3474" s="154">
        <v>10</v>
      </c>
      <c r="E3474" s="155">
        <f>+D3474*100</f>
        <v>1000</v>
      </c>
    </row>
    <row r="3475" ht="16.5" spans="1:5">
      <c r="A3475" s="151">
        <v>3474</v>
      </c>
      <c r="B3475" s="152" t="s">
        <v>11592</v>
      </c>
      <c r="C3475" s="153" t="s">
        <v>16629</v>
      </c>
      <c r="D3475" s="154">
        <v>10</v>
      </c>
      <c r="E3475" s="155">
        <f>+D3475*100</f>
        <v>1000</v>
      </c>
    </row>
    <row r="3476" ht="16.5" spans="1:5">
      <c r="A3476" s="151">
        <v>3475</v>
      </c>
      <c r="B3476" s="152" t="s">
        <v>11595</v>
      </c>
      <c r="C3476" s="156" t="s">
        <v>16629</v>
      </c>
      <c r="D3476" s="159">
        <v>10</v>
      </c>
      <c r="E3476" s="155">
        <f>+D3476*100</f>
        <v>1000</v>
      </c>
    </row>
    <row r="3477" ht="16.5" spans="1:5">
      <c r="A3477" s="151">
        <v>3476</v>
      </c>
      <c r="B3477" s="152" t="s">
        <v>11599</v>
      </c>
      <c r="C3477" s="160" t="s">
        <v>16630</v>
      </c>
      <c r="D3477" s="160">
        <v>100</v>
      </c>
      <c r="E3477" s="161">
        <f>SUM(D3477*100)</f>
        <v>10000</v>
      </c>
    </row>
    <row r="3478" ht="16.5" spans="1:5">
      <c r="A3478" s="151">
        <v>3477</v>
      </c>
      <c r="B3478" s="152" t="s">
        <v>11602</v>
      </c>
      <c r="C3478" s="153" t="s">
        <v>16629</v>
      </c>
      <c r="D3478" s="154">
        <v>10</v>
      </c>
      <c r="E3478" s="155">
        <f>+D3478*100</f>
        <v>1000</v>
      </c>
    </row>
    <row r="3479" ht="16.5" spans="1:5">
      <c r="A3479" s="151">
        <v>3478</v>
      </c>
      <c r="B3479" s="152" t="s">
        <v>11605</v>
      </c>
      <c r="C3479" s="160" t="s">
        <v>16630</v>
      </c>
      <c r="D3479" s="160">
        <v>10</v>
      </c>
      <c r="E3479" s="161">
        <f>SUM(D3479*100)</f>
        <v>1000</v>
      </c>
    </row>
    <row r="3480" ht="16.5" spans="1:5">
      <c r="A3480" s="151">
        <v>3479</v>
      </c>
      <c r="B3480" s="152" t="s">
        <v>11609</v>
      </c>
      <c r="C3480" s="156" t="s">
        <v>16629</v>
      </c>
      <c r="D3480" s="159">
        <v>10</v>
      </c>
      <c r="E3480" s="155">
        <f t="shared" ref="E3480:E3485" si="123">+D3480*100</f>
        <v>1000</v>
      </c>
    </row>
    <row r="3481" ht="16.5" spans="1:5">
      <c r="A3481" s="151">
        <v>3480</v>
      </c>
      <c r="B3481" s="152" t="s">
        <v>11612</v>
      </c>
      <c r="C3481" s="153" t="s">
        <v>16629</v>
      </c>
      <c r="D3481" s="158">
        <v>10</v>
      </c>
      <c r="E3481" s="155">
        <f t="shared" si="123"/>
        <v>1000</v>
      </c>
    </row>
    <row r="3482" ht="16.5" spans="1:5">
      <c r="A3482" s="151">
        <v>3481</v>
      </c>
      <c r="B3482" s="152" t="s">
        <v>11615</v>
      </c>
      <c r="C3482" s="156" t="s">
        <v>16629</v>
      </c>
      <c r="D3482" s="159">
        <v>10</v>
      </c>
      <c r="E3482" s="155">
        <f t="shared" si="123"/>
        <v>1000</v>
      </c>
    </row>
    <row r="3483" ht="16.5" spans="1:5">
      <c r="A3483" s="151">
        <v>3482</v>
      </c>
      <c r="B3483" s="152" t="s">
        <v>11619</v>
      </c>
      <c r="C3483" s="156" t="s">
        <v>16629</v>
      </c>
      <c r="D3483" s="159">
        <v>10</v>
      </c>
      <c r="E3483" s="155">
        <f t="shared" si="123"/>
        <v>1000</v>
      </c>
    </row>
    <row r="3484" ht="16.5" spans="1:5">
      <c r="A3484" s="151">
        <v>3483</v>
      </c>
      <c r="B3484" s="152" t="s">
        <v>11622</v>
      </c>
      <c r="C3484" s="156" t="s">
        <v>16629</v>
      </c>
      <c r="D3484" s="159">
        <v>10</v>
      </c>
      <c r="E3484" s="155">
        <f t="shared" si="123"/>
        <v>1000</v>
      </c>
    </row>
    <row r="3485" ht="16.5" spans="1:5">
      <c r="A3485" s="151">
        <v>3484</v>
      </c>
      <c r="B3485" s="152" t="s">
        <v>11626</v>
      </c>
      <c r="C3485" s="153" t="s">
        <v>16629</v>
      </c>
      <c r="D3485" s="154">
        <v>10</v>
      </c>
      <c r="E3485" s="155">
        <f t="shared" si="123"/>
        <v>1000</v>
      </c>
    </row>
    <row r="3486" ht="16.5" spans="1:5">
      <c r="A3486" s="151">
        <v>3485</v>
      </c>
      <c r="B3486" s="152" t="s">
        <v>11630</v>
      </c>
      <c r="C3486" s="162" t="s">
        <v>16631</v>
      </c>
      <c r="D3486" s="163">
        <v>1000</v>
      </c>
      <c r="E3486" s="163">
        <f>D3486*100</f>
        <v>100000</v>
      </c>
    </row>
    <row r="3487" ht="16.5" spans="1:5">
      <c r="A3487" s="151">
        <v>3486</v>
      </c>
      <c r="B3487" s="152" t="s">
        <v>11635</v>
      </c>
      <c r="C3487" s="153" t="s">
        <v>16629</v>
      </c>
      <c r="D3487" s="158">
        <v>10</v>
      </c>
      <c r="E3487" s="155">
        <f>+D3487*100</f>
        <v>1000</v>
      </c>
    </row>
    <row r="3488" ht="16.5" spans="1:5">
      <c r="A3488" s="151">
        <v>3487</v>
      </c>
      <c r="B3488" s="152" t="s">
        <v>11639</v>
      </c>
      <c r="C3488" s="156" t="s">
        <v>16629</v>
      </c>
      <c r="D3488" s="159">
        <v>10</v>
      </c>
      <c r="E3488" s="155">
        <f>+D3488*100</f>
        <v>1000</v>
      </c>
    </row>
    <row r="3489" ht="16.5" spans="1:5">
      <c r="A3489" s="151">
        <v>3488</v>
      </c>
      <c r="B3489" s="152" t="s">
        <v>11643</v>
      </c>
      <c r="C3489" s="162" t="s">
        <v>16631</v>
      </c>
      <c r="D3489" s="163">
        <v>1000</v>
      </c>
      <c r="E3489" s="163">
        <f>D3489*100</f>
        <v>100000</v>
      </c>
    </row>
    <row r="3490" ht="16.5" spans="1:5">
      <c r="A3490" s="151">
        <v>3489</v>
      </c>
      <c r="B3490" s="152" t="s">
        <v>11647</v>
      </c>
      <c r="C3490" s="162" t="s">
        <v>16631</v>
      </c>
      <c r="D3490" s="163">
        <v>1000</v>
      </c>
      <c r="E3490" s="163">
        <f>D3490*100</f>
        <v>100000</v>
      </c>
    </row>
    <row r="3491" ht="16.5" spans="1:5">
      <c r="A3491" s="151">
        <v>3490</v>
      </c>
      <c r="B3491" s="152" t="s">
        <v>11651</v>
      </c>
      <c r="C3491" s="160" t="s">
        <v>16630</v>
      </c>
      <c r="D3491" s="160">
        <v>10</v>
      </c>
      <c r="E3491" s="161">
        <f>SUM(D3491*100)</f>
        <v>1000</v>
      </c>
    </row>
    <row r="3492" ht="16.5" spans="1:5">
      <c r="A3492" s="151">
        <v>3491</v>
      </c>
      <c r="B3492" s="152" t="s">
        <v>11655</v>
      </c>
      <c r="C3492" s="160" t="s">
        <v>16630</v>
      </c>
      <c r="D3492" s="160">
        <v>50</v>
      </c>
      <c r="E3492" s="161">
        <f>SUM(D3492*100)</f>
        <v>5000</v>
      </c>
    </row>
    <row r="3493" ht="16.5" spans="1:5">
      <c r="A3493" s="151">
        <v>3492</v>
      </c>
      <c r="B3493" s="152" t="s">
        <v>11660</v>
      </c>
      <c r="C3493" s="160" t="s">
        <v>16630</v>
      </c>
      <c r="D3493" s="41">
        <v>100</v>
      </c>
      <c r="E3493" s="161">
        <f>SUM(D3493*100)</f>
        <v>10000</v>
      </c>
    </row>
    <row r="3494" ht="16.5" spans="1:5">
      <c r="A3494" s="151">
        <v>3493</v>
      </c>
      <c r="B3494" s="152" t="s">
        <v>11663</v>
      </c>
      <c r="C3494" s="160" t="s">
        <v>16630</v>
      </c>
      <c r="D3494" s="160">
        <v>300</v>
      </c>
      <c r="E3494" s="161">
        <f>SUM(D3494*100)</f>
        <v>30000</v>
      </c>
    </row>
    <row r="3495" ht="16.5" spans="1:5">
      <c r="A3495" s="151">
        <v>3494</v>
      </c>
      <c r="B3495" s="152" t="s">
        <v>11666</v>
      </c>
      <c r="C3495" s="166" t="s">
        <v>16632</v>
      </c>
      <c r="D3495" s="176">
        <f>1100000/100</f>
        <v>11000</v>
      </c>
      <c r="E3495" s="45">
        <v>3500000</v>
      </c>
    </row>
    <row r="3496" ht="16.5" spans="1:5">
      <c r="A3496" s="151">
        <v>3495</v>
      </c>
      <c r="B3496" s="152" t="s">
        <v>11671</v>
      </c>
      <c r="C3496" s="160" t="s">
        <v>16630</v>
      </c>
      <c r="D3496" s="160">
        <v>50</v>
      </c>
      <c r="E3496" s="161">
        <f>SUM(D3496*100)</f>
        <v>5000</v>
      </c>
    </row>
    <row r="3497" ht="16.5" spans="1:5">
      <c r="A3497" s="151">
        <v>3496</v>
      </c>
      <c r="B3497" s="152" t="s">
        <v>11675</v>
      </c>
      <c r="C3497" s="160" t="s">
        <v>16630</v>
      </c>
      <c r="D3497" s="160">
        <v>50</v>
      </c>
      <c r="E3497" s="161">
        <f>SUM(D3497*100)</f>
        <v>5000</v>
      </c>
    </row>
    <row r="3498" ht="16.5" spans="1:5">
      <c r="A3498" s="151">
        <v>3497</v>
      </c>
      <c r="B3498" s="152" t="s">
        <v>11679</v>
      </c>
      <c r="C3498" s="160" t="s">
        <v>16630</v>
      </c>
      <c r="D3498" s="160">
        <v>1000</v>
      </c>
      <c r="E3498" s="161">
        <f>SUM(D3498*100)</f>
        <v>100000</v>
      </c>
    </row>
    <row r="3499" ht="16.5" spans="1:5">
      <c r="A3499" s="151">
        <v>3498</v>
      </c>
      <c r="B3499" s="152" t="s">
        <v>11679</v>
      </c>
      <c r="C3499" s="162" t="s">
        <v>16631</v>
      </c>
      <c r="D3499" s="163">
        <v>1000</v>
      </c>
      <c r="E3499" s="163">
        <f>D3499*100</f>
        <v>100000</v>
      </c>
    </row>
    <row r="3500" ht="16.5" spans="1:5">
      <c r="A3500" s="151">
        <v>3499</v>
      </c>
      <c r="B3500" s="152" t="s">
        <v>11683</v>
      </c>
      <c r="C3500" s="162" t="s">
        <v>16631</v>
      </c>
      <c r="D3500" s="163">
        <v>4000</v>
      </c>
      <c r="E3500" s="163">
        <f>D3500*100</f>
        <v>400000</v>
      </c>
    </row>
    <row r="3501" ht="16.5" spans="1:5">
      <c r="A3501" s="151">
        <v>3500</v>
      </c>
      <c r="B3501" s="152" t="s">
        <v>11687</v>
      </c>
      <c r="C3501" s="160" t="s">
        <v>16630</v>
      </c>
      <c r="D3501" s="160">
        <v>500</v>
      </c>
      <c r="E3501" s="161">
        <f>SUM(D3501*100)</f>
        <v>50000</v>
      </c>
    </row>
    <row r="3502" ht="16.5" spans="1:5">
      <c r="A3502" s="151">
        <v>3501</v>
      </c>
      <c r="B3502" s="152" t="s">
        <v>11687</v>
      </c>
      <c r="C3502" s="162" t="s">
        <v>16631</v>
      </c>
      <c r="D3502" s="163">
        <v>1000</v>
      </c>
      <c r="E3502" s="163">
        <f>D3502*100</f>
        <v>100000</v>
      </c>
    </row>
    <row r="3503" ht="16.5" spans="1:5">
      <c r="A3503" s="151">
        <v>3502</v>
      </c>
      <c r="B3503" s="152" t="s">
        <v>11691</v>
      </c>
      <c r="C3503" s="156" t="s">
        <v>16629</v>
      </c>
      <c r="D3503" s="157">
        <v>10</v>
      </c>
      <c r="E3503" s="155">
        <f>+D3503*100</f>
        <v>1000</v>
      </c>
    </row>
    <row r="3504" ht="16.5" spans="1:5">
      <c r="A3504" s="151">
        <v>3503</v>
      </c>
      <c r="B3504" s="152" t="s">
        <v>11694</v>
      </c>
      <c r="C3504" s="166" t="s">
        <v>16632</v>
      </c>
      <c r="D3504" s="166">
        <f>IFERROR(__xludf.DUMMYFUNCTION("""COMPUTED_VALUE"""),10000)</f>
        <v>10000</v>
      </c>
      <c r="E3504" s="168">
        <f>IFERROR(__xludf.DUMMYFUNCTION("""COMPUTED_VALUE"""),1500000)</f>
        <v>1500000</v>
      </c>
    </row>
    <row r="3505" ht="16.5" spans="1:5">
      <c r="A3505" s="151">
        <v>3504</v>
      </c>
      <c r="B3505" s="152" t="s">
        <v>11695</v>
      </c>
      <c r="C3505" s="160" t="s">
        <v>16630</v>
      </c>
      <c r="D3505" s="160">
        <v>10</v>
      </c>
      <c r="E3505" s="161">
        <f>SUM(D3505*100)</f>
        <v>1000</v>
      </c>
    </row>
    <row r="3506" ht="16.5" spans="1:5">
      <c r="A3506" s="151">
        <v>3505</v>
      </c>
      <c r="B3506" s="152" t="s">
        <v>11699</v>
      </c>
      <c r="C3506" s="162" t="s">
        <v>16631</v>
      </c>
      <c r="D3506" s="163">
        <v>1000</v>
      </c>
      <c r="E3506" s="163">
        <f>D3506*100</f>
        <v>100000</v>
      </c>
    </row>
    <row r="3507" ht="16.5" spans="1:5">
      <c r="A3507" s="151">
        <v>3506</v>
      </c>
      <c r="B3507" s="152" t="s">
        <v>11704</v>
      </c>
      <c r="C3507" s="160" t="s">
        <v>16630</v>
      </c>
      <c r="D3507" s="160">
        <v>10</v>
      </c>
      <c r="E3507" s="161">
        <f>SUM(D3507*100)</f>
        <v>1000</v>
      </c>
    </row>
    <row r="3508" ht="16.5" spans="1:5">
      <c r="A3508" s="151">
        <v>3507</v>
      </c>
      <c r="B3508" s="152" t="s">
        <v>11708</v>
      </c>
      <c r="C3508" s="153" t="s">
        <v>16629</v>
      </c>
      <c r="D3508" s="158">
        <v>10</v>
      </c>
      <c r="E3508" s="155">
        <f>+D3508*100</f>
        <v>1000</v>
      </c>
    </row>
    <row r="3509" ht="16.5" spans="1:5">
      <c r="A3509" s="151">
        <v>3508</v>
      </c>
      <c r="B3509" s="152" t="s">
        <v>11711</v>
      </c>
      <c r="C3509" s="156" t="s">
        <v>16629</v>
      </c>
      <c r="D3509" s="159">
        <v>10</v>
      </c>
      <c r="E3509" s="155">
        <f>+D3509*100</f>
        <v>1000</v>
      </c>
    </row>
    <row r="3510" ht="16.5" spans="1:5">
      <c r="A3510" s="151">
        <v>3509</v>
      </c>
      <c r="B3510" s="152" t="s">
        <v>11714</v>
      </c>
      <c r="C3510" s="156" t="s">
        <v>16629</v>
      </c>
      <c r="D3510" s="157">
        <v>10</v>
      </c>
      <c r="E3510" s="155">
        <f>+D3510*100</f>
        <v>1000</v>
      </c>
    </row>
    <row r="3511" ht="16.5" spans="1:5">
      <c r="A3511" s="151">
        <v>3510</v>
      </c>
      <c r="B3511" s="152" t="s">
        <v>11717</v>
      </c>
      <c r="C3511" s="153" t="s">
        <v>16629</v>
      </c>
      <c r="D3511" s="154">
        <v>10</v>
      </c>
      <c r="E3511" s="155">
        <f>+D3511*100</f>
        <v>1000</v>
      </c>
    </row>
    <row r="3512" ht="16.5" spans="1:5">
      <c r="A3512" s="151">
        <v>3511</v>
      </c>
      <c r="B3512" s="152" t="s">
        <v>11720</v>
      </c>
      <c r="C3512" s="156" t="s">
        <v>16629</v>
      </c>
      <c r="D3512" s="157">
        <v>10</v>
      </c>
      <c r="E3512" s="155">
        <f>+D3512*100</f>
        <v>1000</v>
      </c>
    </row>
    <row r="3513" ht="16.5" spans="1:5">
      <c r="A3513" s="151">
        <v>3512</v>
      </c>
      <c r="B3513" s="152" t="s">
        <v>11723</v>
      </c>
      <c r="C3513" s="160" t="s">
        <v>16630</v>
      </c>
      <c r="D3513" s="175">
        <v>10</v>
      </c>
      <c r="E3513" s="161">
        <f>SUM(D3513*100)</f>
        <v>1000</v>
      </c>
    </row>
    <row r="3514" ht="16.5" spans="1:5">
      <c r="A3514" s="151">
        <v>3513</v>
      </c>
      <c r="B3514" s="152" t="s">
        <v>11726</v>
      </c>
      <c r="C3514" s="153" t="s">
        <v>16629</v>
      </c>
      <c r="D3514" s="158">
        <v>10</v>
      </c>
      <c r="E3514" s="155">
        <f>+D3514*100</f>
        <v>1000</v>
      </c>
    </row>
    <row r="3515" ht="16.5" spans="1:5">
      <c r="A3515" s="151">
        <v>3514</v>
      </c>
      <c r="B3515" s="152" t="s">
        <v>11729</v>
      </c>
      <c r="C3515" s="153" t="s">
        <v>16629</v>
      </c>
      <c r="D3515" s="154">
        <v>10</v>
      </c>
      <c r="E3515" s="155">
        <f>+D3515*100</f>
        <v>1000</v>
      </c>
    </row>
    <row r="3516" ht="16.5" spans="1:5">
      <c r="A3516" s="151">
        <v>3515</v>
      </c>
      <c r="B3516" s="152" t="s">
        <v>11732</v>
      </c>
      <c r="C3516" s="153" t="s">
        <v>16629</v>
      </c>
      <c r="D3516" s="154">
        <v>10</v>
      </c>
      <c r="E3516" s="155">
        <f>+D3516*100</f>
        <v>1000</v>
      </c>
    </row>
    <row r="3517" ht="16.5" spans="1:5">
      <c r="A3517" s="151">
        <v>3516</v>
      </c>
      <c r="B3517" s="152" t="s">
        <v>11735</v>
      </c>
      <c r="C3517" s="153" t="s">
        <v>16629</v>
      </c>
      <c r="D3517" s="154">
        <v>10</v>
      </c>
      <c r="E3517" s="155">
        <f>+D3517*100</f>
        <v>1000</v>
      </c>
    </row>
    <row r="3518" ht="16.5" spans="1:5">
      <c r="A3518" s="151">
        <v>3517</v>
      </c>
      <c r="B3518" s="152" t="s">
        <v>11738</v>
      </c>
      <c r="C3518" s="153" t="s">
        <v>16629</v>
      </c>
      <c r="D3518" s="154">
        <v>10</v>
      </c>
      <c r="E3518" s="155">
        <f>+D3518*100</f>
        <v>1000</v>
      </c>
    </row>
    <row r="3519" ht="16.5" spans="1:5">
      <c r="A3519" s="151">
        <v>3518</v>
      </c>
      <c r="B3519" s="152" t="s">
        <v>11741</v>
      </c>
      <c r="C3519" s="160" t="s">
        <v>16630</v>
      </c>
      <c r="D3519" s="160">
        <v>10</v>
      </c>
      <c r="E3519" s="161">
        <f>SUM(D3519*100)</f>
        <v>1000</v>
      </c>
    </row>
    <row r="3520" ht="16.5" spans="1:5">
      <c r="A3520" s="151">
        <v>3519</v>
      </c>
      <c r="B3520" s="152" t="s">
        <v>11744</v>
      </c>
      <c r="C3520" s="153" t="s">
        <v>16629</v>
      </c>
      <c r="D3520" s="154">
        <v>10</v>
      </c>
      <c r="E3520" s="155">
        <f t="shared" ref="E3520:E3525" si="124">+D3520*100</f>
        <v>1000</v>
      </c>
    </row>
    <row r="3521" ht="16.5" spans="1:5">
      <c r="A3521" s="151">
        <v>3520</v>
      </c>
      <c r="B3521" s="152" t="s">
        <v>11747</v>
      </c>
      <c r="C3521" s="156" t="s">
        <v>16629</v>
      </c>
      <c r="D3521" s="159">
        <v>10</v>
      </c>
      <c r="E3521" s="155">
        <f t="shared" si="124"/>
        <v>1000</v>
      </c>
    </row>
    <row r="3522" ht="16.5" spans="1:5">
      <c r="A3522" s="151">
        <v>3521</v>
      </c>
      <c r="B3522" s="152" t="s">
        <v>11750</v>
      </c>
      <c r="C3522" s="156" t="s">
        <v>16629</v>
      </c>
      <c r="D3522" s="159">
        <v>10</v>
      </c>
      <c r="E3522" s="155">
        <f t="shared" si="124"/>
        <v>1000</v>
      </c>
    </row>
    <row r="3523" ht="16.5" spans="1:5">
      <c r="A3523" s="151">
        <v>3522</v>
      </c>
      <c r="B3523" s="152" t="s">
        <v>11753</v>
      </c>
      <c r="C3523" s="156" t="s">
        <v>16629</v>
      </c>
      <c r="D3523" s="157">
        <v>10</v>
      </c>
      <c r="E3523" s="155">
        <f t="shared" si="124"/>
        <v>1000</v>
      </c>
    </row>
    <row r="3524" ht="16.5" spans="1:5">
      <c r="A3524" s="151">
        <v>3523</v>
      </c>
      <c r="B3524" s="152" t="s">
        <v>11756</v>
      </c>
      <c r="C3524" s="156" t="s">
        <v>16629</v>
      </c>
      <c r="D3524" s="157">
        <v>10</v>
      </c>
      <c r="E3524" s="155">
        <f t="shared" si="124"/>
        <v>1000</v>
      </c>
    </row>
    <row r="3525" ht="16.5" spans="1:5">
      <c r="A3525" s="151">
        <v>3524</v>
      </c>
      <c r="B3525" s="152" t="s">
        <v>11759</v>
      </c>
      <c r="C3525" s="156" t="s">
        <v>16629</v>
      </c>
      <c r="D3525" s="159">
        <v>10</v>
      </c>
      <c r="E3525" s="155">
        <f t="shared" si="124"/>
        <v>1000</v>
      </c>
    </row>
    <row r="3526" ht="16.5" spans="1:5">
      <c r="A3526" s="151">
        <v>3525</v>
      </c>
      <c r="B3526" s="152" t="s">
        <v>11762</v>
      </c>
      <c r="C3526" s="162" t="s">
        <v>16633</v>
      </c>
      <c r="D3526" s="171">
        <f>G3526/100</f>
        <v>0</v>
      </c>
      <c r="E3526" s="171">
        <f>G3526</f>
        <v>0</v>
      </c>
    </row>
    <row r="3527" ht="16.5" spans="1:5">
      <c r="A3527" s="151">
        <v>3526</v>
      </c>
      <c r="B3527" s="152" t="s">
        <v>11767</v>
      </c>
      <c r="C3527" s="153" t="s">
        <v>16629</v>
      </c>
      <c r="D3527" s="154">
        <v>10</v>
      </c>
      <c r="E3527" s="155">
        <f>+D3527*100</f>
        <v>1000</v>
      </c>
    </row>
    <row r="3528" ht="16.5" spans="1:5">
      <c r="A3528" s="151">
        <v>3527</v>
      </c>
      <c r="B3528" s="152" t="s">
        <v>11770</v>
      </c>
      <c r="C3528" s="156" t="s">
        <v>16629</v>
      </c>
      <c r="D3528" s="157">
        <v>10</v>
      </c>
      <c r="E3528" s="155">
        <f>+D3528*100</f>
        <v>1000</v>
      </c>
    </row>
    <row r="3529" ht="16.5" spans="1:5">
      <c r="A3529" s="151">
        <v>3528</v>
      </c>
      <c r="B3529" s="152" t="s">
        <v>11773</v>
      </c>
      <c r="C3529" s="160" t="s">
        <v>16630</v>
      </c>
      <c r="D3529" s="160">
        <v>500</v>
      </c>
      <c r="E3529" s="161">
        <f>SUM(D3529*100)</f>
        <v>50000</v>
      </c>
    </row>
    <row r="3530" ht="16.5" spans="1:5">
      <c r="A3530" s="151">
        <v>3529</v>
      </c>
      <c r="B3530" s="152" t="s">
        <v>11773</v>
      </c>
      <c r="C3530" s="162" t="s">
        <v>16631</v>
      </c>
      <c r="D3530" s="163">
        <v>1000</v>
      </c>
      <c r="E3530" s="163">
        <f>D3530*100</f>
        <v>100000</v>
      </c>
    </row>
    <row r="3531" ht="16.5" spans="1:5">
      <c r="A3531" s="151">
        <v>3530</v>
      </c>
      <c r="B3531" s="152" t="s">
        <v>11776</v>
      </c>
      <c r="C3531" s="153" t="s">
        <v>16629</v>
      </c>
      <c r="D3531" s="154">
        <v>10</v>
      </c>
      <c r="E3531" s="155">
        <f t="shared" ref="E3531:E3540" si="125">+D3531*100</f>
        <v>1000</v>
      </c>
    </row>
    <row r="3532" ht="16.5" spans="1:5">
      <c r="A3532" s="151">
        <v>3531</v>
      </c>
      <c r="B3532" s="152" t="s">
        <v>11779</v>
      </c>
      <c r="C3532" s="156" t="s">
        <v>16629</v>
      </c>
      <c r="D3532" s="159">
        <v>10</v>
      </c>
      <c r="E3532" s="155">
        <f t="shared" si="125"/>
        <v>1000</v>
      </c>
    </row>
    <row r="3533" ht="16.5" spans="1:5">
      <c r="A3533" s="151">
        <v>3532</v>
      </c>
      <c r="B3533" s="152" t="s">
        <v>11782</v>
      </c>
      <c r="C3533" s="153" t="s">
        <v>16629</v>
      </c>
      <c r="D3533" s="158">
        <v>10</v>
      </c>
      <c r="E3533" s="155">
        <f t="shared" si="125"/>
        <v>1000</v>
      </c>
    </row>
    <row r="3534" ht="16.5" spans="1:5">
      <c r="A3534" s="151">
        <v>3533</v>
      </c>
      <c r="B3534" s="152" t="s">
        <v>11785</v>
      </c>
      <c r="C3534" s="153" t="s">
        <v>16629</v>
      </c>
      <c r="D3534" s="154">
        <v>10</v>
      </c>
      <c r="E3534" s="155">
        <f t="shared" si="125"/>
        <v>1000</v>
      </c>
    </row>
    <row r="3535" ht="16.5" spans="1:5">
      <c r="A3535" s="151">
        <v>3534</v>
      </c>
      <c r="B3535" s="152" t="s">
        <v>11789</v>
      </c>
      <c r="C3535" s="156" t="s">
        <v>16629</v>
      </c>
      <c r="D3535" s="159">
        <v>10</v>
      </c>
      <c r="E3535" s="155">
        <f t="shared" si="125"/>
        <v>1000</v>
      </c>
    </row>
    <row r="3536" ht="16.5" spans="1:5">
      <c r="A3536" s="151">
        <v>3535</v>
      </c>
      <c r="B3536" s="152" t="s">
        <v>11792</v>
      </c>
      <c r="C3536" s="153" t="s">
        <v>16629</v>
      </c>
      <c r="D3536" s="154">
        <v>10</v>
      </c>
      <c r="E3536" s="155">
        <f t="shared" si="125"/>
        <v>1000</v>
      </c>
    </row>
    <row r="3537" ht="16.5" spans="1:5">
      <c r="A3537" s="151">
        <v>3536</v>
      </c>
      <c r="B3537" s="152" t="s">
        <v>11795</v>
      </c>
      <c r="C3537" s="156" t="s">
        <v>16629</v>
      </c>
      <c r="D3537" s="157">
        <v>10</v>
      </c>
      <c r="E3537" s="155">
        <f t="shared" si="125"/>
        <v>1000</v>
      </c>
    </row>
    <row r="3538" ht="16.5" spans="1:5">
      <c r="A3538" s="151">
        <v>3537</v>
      </c>
      <c r="B3538" s="152" t="s">
        <v>11798</v>
      </c>
      <c r="C3538" s="153" t="s">
        <v>16629</v>
      </c>
      <c r="D3538" s="154">
        <v>10</v>
      </c>
      <c r="E3538" s="155">
        <f t="shared" si="125"/>
        <v>1000</v>
      </c>
    </row>
    <row r="3539" ht="16.5" spans="1:5">
      <c r="A3539" s="151">
        <v>3538</v>
      </c>
      <c r="B3539" s="152" t="s">
        <v>11802</v>
      </c>
      <c r="C3539" s="153" t="s">
        <v>16629</v>
      </c>
      <c r="D3539" s="154">
        <v>10</v>
      </c>
      <c r="E3539" s="155">
        <f t="shared" si="125"/>
        <v>1000</v>
      </c>
    </row>
    <row r="3540" ht="16.5" spans="1:5">
      <c r="A3540" s="151">
        <v>3539</v>
      </c>
      <c r="B3540" s="152" t="s">
        <v>11805</v>
      </c>
      <c r="C3540" s="153" t="s">
        <v>16629</v>
      </c>
      <c r="D3540" s="154">
        <v>10</v>
      </c>
      <c r="E3540" s="155">
        <f t="shared" si="125"/>
        <v>1000</v>
      </c>
    </row>
    <row r="3541" ht="16.5" spans="1:5">
      <c r="A3541" s="151">
        <v>3540</v>
      </c>
      <c r="B3541" s="152" t="s">
        <v>11808</v>
      </c>
      <c r="C3541" s="156" t="s">
        <v>16629</v>
      </c>
      <c r="D3541" s="159">
        <v>10</v>
      </c>
      <c r="E3541" s="155">
        <f>SUM(D3541*100)</f>
        <v>1000</v>
      </c>
    </row>
    <row r="3542" ht="16.5" spans="1:5">
      <c r="A3542" s="151">
        <v>3541</v>
      </c>
      <c r="B3542" s="152" t="s">
        <v>11811</v>
      </c>
      <c r="C3542" s="160" t="s">
        <v>16630</v>
      </c>
      <c r="D3542" s="172">
        <v>1000</v>
      </c>
      <c r="E3542" s="161">
        <f>SUM(D3542*100)</f>
        <v>100000</v>
      </c>
    </row>
    <row r="3543" ht="16.5" spans="1:5">
      <c r="A3543" s="151">
        <v>3542</v>
      </c>
      <c r="B3543" s="152" t="s">
        <v>11811</v>
      </c>
      <c r="C3543" s="160" t="s">
        <v>16630</v>
      </c>
      <c r="D3543" s="160">
        <v>1000</v>
      </c>
      <c r="E3543" s="161">
        <f>SUM(D3543*100)</f>
        <v>100000</v>
      </c>
    </row>
    <row r="3544" ht="16.5" spans="1:5">
      <c r="A3544" s="151">
        <v>3543</v>
      </c>
      <c r="B3544" s="152" t="s">
        <v>11814</v>
      </c>
      <c r="C3544" s="156" t="s">
        <v>16629</v>
      </c>
      <c r="D3544" s="159">
        <v>10</v>
      </c>
      <c r="E3544" s="155">
        <f>+D3544*100</f>
        <v>1000</v>
      </c>
    </row>
    <row r="3545" ht="16.5" spans="1:5">
      <c r="A3545" s="151">
        <v>3544</v>
      </c>
      <c r="B3545" s="152" t="s">
        <v>11818</v>
      </c>
      <c r="C3545" s="153" t="s">
        <v>16629</v>
      </c>
      <c r="D3545" s="154">
        <v>10</v>
      </c>
      <c r="E3545" s="155">
        <f>+D3545*100</f>
        <v>1000</v>
      </c>
    </row>
    <row r="3546" ht="16.5" spans="1:5">
      <c r="A3546" s="151">
        <v>3545</v>
      </c>
      <c r="B3546" s="152" t="s">
        <v>11821</v>
      </c>
      <c r="C3546" s="160" t="s">
        <v>16630</v>
      </c>
      <c r="D3546" s="160">
        <v>150</v>
      </c>
      <c r="E3546" s="161">
        <f>SUM(D3546*100)</f>
        <v>15000</v>
      </c>
    </row>
    <row r="3547" ht="16.5" spans="1:5">
      <c r="A3547" s="151">
        <v>3546</v>
      </c>
      <c r="B3547" s="152" t="s">
        <v>11825</v>
      </c>
      <c r="C3547" s="156" t="s">
        <v>16629</v>
      </c>
      <c r="D3547" s="157">
        <v>10</v>
      </c>
      <c r="E3547" s="155">
        <f>+D3547*100</f>
        <v>1000</v>
      </c>
    </row>
    <row r="3548" ht="16.5" spans="1:5">
      <c r="A3548" s="151">
        <v>3547</v>
      </c>
      <c r="B3548" s="152" t="s">
        <v>11829</v>
      </c>
      <c r="C3548" s="160" t="s">
        <v>16630</v>
      </c>
      <c r="D3548" s="175">
        <v>300</v>
      </c>
      <c r="E3548" s="161">
        <f>SUM(D3548*100)</f>
        <v>30000</v>
      </c>
    </row>
    <row r="3549" ht="16.5" spans="1:5">
      <c r="A3549" s="151">
        <v>3548</v>
      </c>
      <c r="B3549" s="152" t="s">
        <v>11832</v>
      </c>
      <c r="C3549" s="153" t="s">
        <v>16629</v>
      </c>
      <c r="D3549" s="154">
        <v>10</v>
      </c>
      <c r="E3549" s="155">
        <f t="shared" ref="E3549:E3558" si="126">+D3549*100</f>
        <v>1000</v>
      </c>
    </row>
    <row r="3550" ht="16.5" spans="1:5">
      <c r="A3550" s="151">
        <v>3549</v>
      </c>
      <c r="B3550" s="152" t="s">
        <v>11836</v>
      </c>
      <c r="C3550" s="153" t="s">
        <v>16629</v>
      </c>
      <c r="D3550" s="154">
        <v>10</v>
      </c>
      <c r="E3550" s="155">
        <f t="shared" si="126"/>
        <v>1000</v>
      </c>
    </row>
    <row r="3551" ht="16.5" spans="1:5">
      <c r="A3551" s="151">
        <v>3550</v>
      </c>
      <c r="B3551" s="152" t="s">
        <v>11840</v>
      </c>
      <c r="C3551" s="153" t="s">
        <v>16629</v>
      </c>
      <c r="D3551" s="154">
        <v>10</v>
      </c>
      <c r="E3551" s="155">
        <f t="shared" si="126"/>
        <v>1000</v>
      </c>
    </row>
    <row r="3552" ht="16.5" spans="1:5">
      <c r="A3552" s="151">
        <v>3551</v>
      </c>
      <c r="B3552" s="152" t="s">
        <v>11844</v>
      </c>
      <c r="C3552" s="153" t="s">
        <v>16629</v>
      </c>
      <c r="D3552" s="154">
        <v>10</v>
      </c>
      <c r="E3552" s="155">
        <f t="shared" si="126"/>
        <v>1000</v>
      </c>
    </row>
    <row r="3553" ht="16.5" spans="1:5">
      <c r="A3553" s="151">
        <v>3552</v>
      </c>
      <c r="B3553" s="152" t="s">
        <v>11848</v>
      </c>
      <c r="C3553" s="153" t="s">
        <v>16629</v>
      </c>
      <c r="D3553" s="158">
        <v>10</v>
      </c>
      <c r="E3553" s="155">
        <f t="shared" si="126"/>
        <v>1000</v>
      </c>
    </row>
    <row r="3554" ht="16.5" spans="1:5">
      <c r="A3554" s="151">
        <v>3553</v>
      </c>
      <c r="B3554" s="152" t="s">
        <v>11851</v>
      </c>
      <c r="C3554" s="153" t="s">
        <v>16629</v>
      </c>
      <c r="D3554" s="158">
        <v>10</v>
      </c>
      <c r="E3554" s="155">
        <f t="shared" si="126"/>
        <v>1000</v>
      </c>
    </row>
    <row r="3555" ht="16.5" spans="1:5">
      <c r="A3555" s="151">
        <v>3554</v>
      </c>
      <c r="B3555" s="152" t="s">
        <v>11855</v>
      </c>
      <c r="C3555" s="156" t="s">
        <v>16629</v>
      </c>
      <c r="D3555" s="159">
        <v>10</v>
      </c>
      <c r="E3555" s="155">
        <f t="shared" si="126"/>
        <v>1000</v>
      </c>
    </row>
    <row r="3556" ht="16.5" spans="1:5">
      <c r="A3556" s="151">
        <v>3555</v>
      </c>
      <c r="B3556" s="152" t="s">
        <v>11858</v>
      </c>
      <c r="C3556" s="153" t="s">
        <v>16629</v>
      </c>
      <c r="D3556" s="154">
        <v>10</v>
      </c>
      <c r="E3556" s="155">
        <f t="shared" si="126"/>
        <v>1000</v>
      </c>
    </row>
    <row r="3557" ht="16.5" spans="1:5">
      <c r="A3557" s="151">
        <v>3556</v>
      </c>
      <c r="B3557" s="152" t="s">
        <v>11861</v>
      </c>
      <c r="C3557" s="153" t="s">
        <v>16629</v>
      </c>
      <c r="D3557" s="154">
        <v>10</v>
      </c>
      <c r="E3557" s="155">
        <f t="shared" si="126"/>
        <v>1000</v>
      </c>
    </row>
    <row r="3558" ht="16.5" spans="1:5">
      <c r="A3558" s="151">
        <v>3557</v>
      </c>
      <c r="B3558" s="152" t="s">
        <v>11865</v>
      </c>
      <c r="C3558" s="156" t="s">
        <v>16629</v>
      </c>
      <c r="D3558" s="157">
        <v>10</v>
      </c>
      <c r="E3558" s="155">
        <f t="shared" si="126"/>
        <v>1000</v>
      </c>
    </row>
    <row r="3559" ht="16.5" spans="1:5">
      <c r="A3559" s="151">
        <v>3558</v>
      </c>
      <c r="B3559" s="152" t="s">
        <v>11868</v>
      </c>
      <c r="C3559" s="160" t="s">
        <v>16630</v>
      </c>
      <c r="D3559" s="165">
        <v>50</v>
      </c>
      <c r="E3559" s="161">
        <f>SUM(D3559*100)</f>
        <v>5000</v>
      </c>
    </row>
    <row r="3560" ht="16.5" spans="1:5">
      <c r="A3560" s="151">
        <v>3559</v>
      </c>
      <c r="B3560" s="152" t="s">
        <v>11871</v>
      </c>
      <c r="C3560" s="153" t="s">
        <v>16629</v>
      </c>
      <c r="D3560" s="154">
        <v>10</v>
      </c>
      <c r="E3560" s="155">
        <f>+D3560*100</f>
        <v>1000</v>
      </c>
    </row>
    <row r="3561" ht="16.5" spans="1:5">
      <c r="A3561" s="151">
        <v>3560</v>
      </c>
      <c r="B3561" s="152" t="s">
        <v>11875</v>
      </c>
      <c r="C3561" s="156" t="s">
        <v>16629</v>
      </c>
      <c r="D3561" s="159">
        <v>10</v>
      </c>
      <c r="E3561" s="155">
        <f>+D3561*100</f>
        <v>1000</v>
      </c>
    </row>
    <row r="3562" ht="16.5" spans="1:5">
      <c r="A3562" s="151">
        <v>3561</v>
      </c>
      <c r="B3562" s="152" t="s">
        <v>11878</v>
      </c>
      <c r="C3562" s="153" t="s">
        <v>16629</v>
      </c>
      <c r="D3562" s="154">
        <v>10</v>
      </c>
      <c r="E3562" s="155">
        <f>+D3562*100</f>
        <v>1000</v>
      </c>
    </row>
    <row r="3563" ht="16.5" spans="1:5">
      <c r="A3563" s="151">
        <v>3562</v>
      </c>
      <c r="B3563" s="152" t="s">
        <v>11881</v>
      </c>
      <c r="C3563" s="156" t="s">
        <v>16629</v>
      </c>
      <c r="D3563" s="157">
        <v>10</v>
      </c>
      <c r="E3563" s="155">
        <f>+D3563*100</f>
        <v>1000</v>
      </c>
    </row>
    <row r="3564" ht="16.5" spans="1:5">
      <c r="A3564" s="151">
        <v>3563</v>
      </c>
      <c r="B3564" s="152" t="s">
        <v>11884</v>
      </c>
      <c r="C3564" s="160" t="s">
        <v>16630</v>
      </c>
      <c r="D3564" s="160">
        <v>20</v>
      </c>
      <c r="E3564" s="161">
        <f>SUM(D3564*100)</f>
        <v>2000</v>
      </c>
    </row>
    <row r="3565" ht="16.5" spans="1:5">
      <c r="A3565" s="151">
        <v>3564</v>
      </c>
      <c r="B3565" s="152" t="s">
        <v>11887</v>
      </c>
      <c r="C3565" s="156" t="s">
        <v>16629</v>
      </c>
      <c r="D3565" s="157">
        <v>10</v>
      </c>
      <c r="E3565" s="155">
        <f>+D3565*100</f>
        <v>1000</v>
      </c>
    </row>
    <row r="3566" ht="16.5" spans="1:5">
      <c r="A3566" s="151">
        <v>3565</v>
      </c>
      <c r="B3566" s="152" t="s">
        <v>11890</v>
      </c>
      <c r="C3566" s="153" t="s">
        <v>16629</v>
      </c>
      <c r="D3566" s="158">
        <v>10</v>
      </c>
      <c r="E3566" s="155">
        <f>+D3566*100</f>
        <v>1000</v>
      </c>
    </row>
    <row r="3567" ht="16.5" spans="1:5">
      <c r="A3567" s="151">
        <v>3566</v>
      </c>
      <c r="B3567" s="152" t="s">
        <v>11893</v>
      </c>
      <c r="C3567" s="153" t="s">
        <v>16629</v>
      </c>
      <c r="D3567" s="154">
        <v>10</v>
      </c>
      <c r="E3567" s="155">
        <f>+D3567*100</f>
        <v>1000</v>
      </c>
    </row>
    <row r="3568" ht="16.5" spans="1:5">
      <c r="A3568" s="151">
        <v>3567</v>
      </c>
      <c r="B3568" s="152" t="s">
        <v>11897</v>
      </c>
      <c r="C3568" s="156" t="s">
        <v>16629</v>
      </c>
      <c r="D3568" s="159">
        <v>10</v>
      </c>
      <c r="E3568" s="155">
        <f>+D3568*100</f>
        <v>1000</v>
      </c>
    </row>
    <row r="3569" ht="16.5" spans="1:5">
      <c r="A3569" s="151">
        <v>3568</v>
      </c>
      <c r="B3569" s="152" t="s">
        <v>11900</v>
      </c>
      <c r="C3569" s="160" t="s">
        <v>16630</v>
      </c>
      <c r="D3569" s="164">
        <v>100</v>
      </c>
      <c r="E3569" s="161">
        <f>SUM(D3569*100)</f>
        <v>10000</v>
      </c>
    </row>
    <row r="3570" ht="16.5" spans="1:5">
      <c r="A3570" s="151">
        <v>3569</v>
      </c>
      <c r="B3570" s="152" t="s">
        <v>11903</v>
      </c>
      <c r="C3570" s="162" t="s">
        <v>16633</v>
      </c>
      <c r="D3570" s="171">
        <f>G3570/100</f>
        <v>0</v>
      </c>
      <c r="E3570" s="171">
        <f>G3570</f>
        <v>0</v>
      </c>
    </row>
    <row r="3571" ht="16.5" spans="1:5">
      <c r="A3571" s="151">
        <v>3570</v>
      </c>
      <c r="B3571" s="152" t="s">
        <v>11908</v>
      </c>
      <c r="C3571" s="153" t="s">
        <v>16629</v>
      </c>
      <c r="D3571" s="158">
        <v>10</v>
      </c>
      <c r="E3571" s="155">
        <f>+D3571*100</f>
        <v>1000</v>
      </c>
    </row>
    <row r="3572" ht="16.5" spans="1:5">
      <c r="A3572" s="151">
        <v>3571</v>
      </c>
      <c r="B3572" s="152" t="s">
        <v>11911</v>
      </c>
      <c r="C3572" s="162" t="s">
        <v>16631</v>
      </c>
      <c r="D3572" s="163">
        <v>2000</v>
      </c>
      <c r="E3572" s="163">
        <f>D3572*100</f>
        <v>200000</v>
      </c>
    </row>
    <row r="3573" ht="16.5" spans="1:5">
      <c r="A3573" s="151">
        <v>3572</v>
      </c>
      <c r="B3573" s="152" t="s">
        <v>11911</v>
      </c>
      <c r="C3573" s="162" t="s">
        <v>16633</v>
      </c>
      <c r="D3573" s="171">
        <f>G3573/100</f>
        <v>0</v>
      </c>
      <c r="E3573" s="171">
        <f>G3573</f>
        <v>0</v>
      </c>
    </row>
    <row r="3574" ht="16.5" spans="1:5">
      <c r="A3574" s="151">
        <v>3573</v>
      </c>
      <c r="B3574" s="152" t="s">
        <v>11915</v>
      </c>
      <c r="C3574" s="162" t="s">
        <v>16631</v>
      </c>
      <c r="D3574" s="163">
        <v>1000</v>
      </c>
      <c r="E3574" s="163">
        <f>D3574*100</f>
        <v>100000</v>
      </c>
    </row>
    <row r="3575" ht="16.5" spans="1:5">
      <c r="A3575" s="151">
        <v>3574</v>
      </c>
      <c r="B3575" s="152" t="s">
        <v>11919</v>
      </c>
      <c r="C3575" s="160" t="s">
        <v>16630</v>
      </c>
      <c r="D3575" s="164">
        <v>50</v>
      </c>
      <c r="E3575" s="161">
        <f>SUM(D3575*100)</f>
        <v>5000</v>
      </c>
    </row>
    <row r="3576" ht="16.5" spans="1:5">
      <c r="A3576" s="151">
        <v>3575</v>
      </c>
      <c r="B3576" s="152" t="s">
        <v>11919</v>
      </c>
      <c r="C3576" s="160" t="s">
        <v>16630</v>
      </c>
      <c r="D3576" s="160">
        <v>50</v>
      </c>
      <c r="E3576" s="161">
        <f>SUM(D3576*100)</f>
        <v>5000</v>
      </c>
    </row>
    <row r="3577" ht="16.5" spans="1:5">
      <c r="A3577" s="151">
        <v>3576</v>
      </c>
      <c r="B3577" s="152" t="s">
        <v>11922</v>
      </c>
      <c r="C3577" s="156" t="s">
        <v>16629</v>
      </c>
      <c r="D3577" s="159">
        <v>10</v>
      </c>
      <c r="E3577" s="155">
        <f>+D3577*100</f>
        <v>1000</v>
      </c>
    </row>
    <row r="3578" ht="16.5" spans="1:5">
      <c r="A3578" s="151">
        <v>3577</v>
      </c>
      <c r="B3578" s="152" t="s">
        <v>11925</v>
      </c>
      <c r="C3578" s="160" t="s">
        <v>16630</v>
      </c>
      <c r="D3578" s="160">
        <v>500</v>
      </c>
      <c r="E3578" s="161">
        <f>SUM(D3578*100)</f>
        <v>50000</v>
      </c>
    </row>
    <row r="3579" ht="16.5" spans="1:5">
      <c r="A3579" s="151">
        <v>3578</v>
      </c>
      <c r="B3579" s="152" t="s">
        <v>11929</v>
      </c>
      <c r="C3579" s="166" t="s">
        <v>16632</v>
      </c>
      <c r="D3579" s="166">
        <f>IFERROR(__xludf.DUMMYFUNCTION("""COMPUTED_VALUE"""),10000)</f>
        <v>10000</v>
      </c>
      <c r="E3579" s="168">
        <f>IFERROR(__xludf.DUMMYFUNCTION("""COMPUTED_VALUE"""),1500000)</f>
        <v>1500000</v>
      </c>
    </row>
    <row r="3580" ht="16.5" spans="1:5">
      <c r="A3580" s="151">
        <v>3579</v>
      </c>
      <c r="B3580" s="152" t="s">
        <v>11929</v>
      </c>
      <c r="C3580" s="162" t="s">
        <v>16631</v>
      </c>
      <c r="D3580" s="163">
        <v>2000</v>
      </c>
      <c r="E3580" s="163">
        <f>D3580*100</f>
        <v>200000</v>
      </c>
    </row>
    <row r="3581" ht="16.5" spans="1:5">
      <c r="A3581" s="151">
        <v>3580</v>
      </c>
      <c r="B3581" s="152" t="s">
        <v>11930</v>
      </c>
      <c r="C3581" s="156" t="s">
        <v>16629</v>
      </c>
      <c r="D3581" s="159">
        <v>10</v>
      </c>
      <c r="E3581" s="155">
        <f t="shared" ref="E3581:E3586" si="127">+D3581*100</f>
        <v>1000</v>
      </c>
    </row>
    <row r="3582" ht="16.5" spans="1:5">
      <c r="A3582" s="151">
        <v>3581</v>
      </c>
      <c r="B3582" s="152" t="s">
        <v>11933</v>
      </c>
      <c r="C3582" s="156" t="s">
        <v>16629</v>
      </c>
      <c r="D3582" s="159">
        <v>10</v>
      </c>
      <c r="E3582" s="155">
        <f t="shared" si="127"/>
        <v>1000</v>
      </c>
    </row>
    <row r="3583" ht="16.5" spans="1:5">
      <c r="A3583" s="151">
        <v>3582</v>
      </c>
      <c r="B3583" s="152" t="s">
        <v>11937</v>
      </c>
      <c r="C3583" s="156" t="s">
        <v>16629</v>
      </c>
      <c r="D3583" s="159">
        <v>50</v>
      </c>
      <c r="E3583" s="155">
        <f t="shared" si="127"/>
        <v>5000</v>
      </c>
    </row>
    <row r="3584" ht="16.5" spans="1:5">
      <c r="A3584" s="151">
        <v>3583</v>
      </c>
      <c r="B3584" s="152" t="s">
        <v>11941</v>
      </c>
      <c r="C3584" s="156" t="s">
        <v>16629</v>
      </c>
      <c r="D3584" s="159">
        <v>10</v>
      </c>
      <c r="E3584" s="155">
        <f t="shared" si="127"/>
        <v>1000</v>
      </c>
    </row>
    <row r="3585" ht="16.5" spans="1:5">
      <c r="A3585" s="151">
        <v>3584</v>
      </c>
      <c r="B3585" s="152" t="s">
        <v>11945</v>
      </c>
      <c r="C3585" s="156" t="s">
        <v>16629</v>
      </c>
      <c r="D3585" s="159">
        <v>10</v>
      </c>
      <c r="E3585" s="155">
        <f t="shared" si="127"/>
        <v>1000</v>
      </c>
    </row>
    <row r="3586" ht="16.5" spans="1:5">
      <c r="A3586" s="151">
        <v>3585</v>
      </c>
      <c r="B3586" s="152" t="s">
        <v>11948</v>
      </c>
      <c r="C3586" s="156" t="s">
        <v>16629</v>
      </c>
      <c r="D3586" s="159">
        <v>10</v>
      </c>
      <c r="E3586" s="155">
        <f t="shared" si="127"/>
        <v>1000</v>
      </c>
    </row>
    <row r="3587" ht="16.5" spans="1:5">
      <c r="A3587" s="151">
        <v>3586</v>
      </c>
      <c r="B3587" s="152" t="s">
        <v>11952</v>
      </c>
      <c r="C3587" s="160" t="s">
        <v>16630</v>
      </c>
      <c r="D3587" s="160">
        <v>20</v>
      </c>
      <c r="E3587" s="161">
        <f>SUM(D3587*100)</f>
        <v>2000</v>
      </c>
    </row>
    <row r="3588" ht="16.5" spans="1:5">
      <c r="A3588" s="151">
        <v>3587</v>
      </c>
      <c r="B3588" s="152" t="s">
        <v>11956</v>
      </c>
      <c r="C3588" s="153" t="s">
        <v>16629</v>
      </c>
      <c r="D3588" s="154">
        <v>10</v>
      </c>
      <c r="E3588" s="155">
        <f t="shared" ref="E3588:E3593" si="128">+D3588*100</f>
        <v>1000</v>
      </c>
    </row>
    <row r="3589" ht="16.5" spans="1:5">
      <c r="A3589" s="151">
        <v>3588</v>
      </c>
      <c r="B3589" s="152" t="s">
        <v>11960</v>
      </c>
      <c r="C3589" s="153" t="s">
        <v>16629</v>
      </c>
      <c r="D3589" s="154">
        <v>10</v>
      </c>
      <c r="E3589" s="155">
        <f t="shared" si="128"/>
        <v>1000</v>
      </c>
    </row>
    <row r="3590" ht="16.5" spans="1:5">
      <c r="A3590" s="151">
        <v>3589</v>
      </c>
      <c r="B3590" s="152" t="s">
        <v>11963</v>
      </c>
      <c r="C3590" s="153" t="s">
        <v>16629</v>
      </c>
      <c r="D3590" s="154">
        <v>10</v>
      </c>
      <c r="E3590" s="155">
        <f t="shared" si="128"/>
        <v>1000</v>
      </c>
    </row>
    <row r="3591" ht="16.5" spans="1:5">
      <c r="A3591" s="151">
        <v>3590</v>
      </c>
      <c r="B3591" s="152" t="s">
        <v>11966</v>
      </c>
      <c r="C3591" s="156" t="s">
        <v>16629</v>
      </c>
      <c r="D3591" s="159">
        <v>10</v>
      </c>
      <c r="E3591" s="155">
        <f t="shared" si="128"/>
        <v>1000</v>
      </c>
    </row>
    <row r="3592" ht="16.5" spans="1:5">
      <c r="A3592" s="151">
        <v>3591</v>
      </c>
      <c r="B3592" s="152" t="s">
        <v>11970</v>
      </c>
      <c r="C3592" s="156" t="s">
        <v>16629</v>
      </c>
      <c r="D3592" s="159">
        <v>10</v>
      </c>
      <c r="E3592" s="155">
        <f t="shared" si="128"/>
        <v>1000</v>
      </c>
    </row>
    <row r="3593" ht="16.5" spans="1:5">
      <c r="A3593" s="151">
        <v>3592</v>
      </c>
      <c r="B3593" s="152" t="s">
        <v>11973</v>
      </c>
      <c r="C3593" s="156" t="s">
        <v>16629</v>
      </c>
      <c r="D3593" s="157">
        <v>10</v>
      </c>
      <c r="E3593" s="155">
        <f t="shared" si="128"/>
        <v>1000</v>
      </c>
    </row>
    <row r="3594" ht="16.5" spans="1:5">
      <c r="A3594" s="151">
        <v>3593</v>
      </c>
      <c r="B3594" s="152" t="s">
        <v>11977</v>
      </c>
      <c r="C3594" s="160" t="s">
        <v>16630</v>
      </c>
      <c r="D3594" s="160">
        <v>100</v>
      </c>
      <c r="E3594" s="161">
        <f>SUM(D3594*100)</f>
        <v>10000</v>
      </c>
    </row>
    <row r="3595" ht="16.5" spans="1:5">
      <c r="A3595" s="151">
        <v>3594</v>
      </c>
      <c r="B3595" s="152" t="s">
        <v>11981</v>
      </c>
      <c r="C3595" s="156" t="s">
        <v>16629</v>
      </c>
      <c r="D3595" s="157">
        <v>10</v>
      </c>
      <c r="E3595" s="155">
        <f>+D3595*100</f>
        <v>1000</v>
      </c>
    </row>
    <row r="3596" ht="16.5" spans="1:5">
      <c r="A3596" s="151">
        <v>3595</v>
      </c>
      <c r="B3596" s="152" t="s">
        <v>11984</v>
      </c>
      <c r="C3596" s="153" t="s">
        <v>16629</v>
      </c>
      <c r="D3596" s="154">
        <v>10</v>
      </c>
      <c r="E3596" s="155">
        <f>+D3596*100</f>
        <v>1000</v>
      </c>
    </row>
    <row r="3597" ht="16.5" spans="1:5">
      <c r="A3597" s="151">
        <v>3596</v>
      </c>
      <c r="B3597" s="152" t="s">
        <v>11987</v>
      </c>
      <c r="C3597" s="153" t="s">
        <v>16629</v>
      </c>
      <c r="D3597" s="154">
        <v>10</v>
      </c>
      <c r="E3597" s="155">
        <f>+D3597*100</f>
        <v>1000</v>
      </c>
    </row>
    <row r="3598" ht="16.5" spans="1:5">
      <c r="A3598" s="151">
        <v>3597</v>
      </c>
      <c r="B3598" s="152" t="s">
        <v>11990</v>
      </c>
      <c r="C3598" s="153" t="s">
        <v>16629</v>
      </c>
      <c r="D3598" s="158">
        <v>10</v>
      </c>
      <c r="E3598" s="155">
        <f>+D3598*100</f>
        <v>1000</v>
      </c>
    </row>
    <row r="3599" ht="16.5" spans="1:5">
      <c r="A3599" s="151">
        <v>3598</v>
      </c>
      <c r="B3599" s="152" t="s">
        <v>11993</v>
      </c>
      <c r="C3599" s="162" t="s">
        <v>16631</v>
      </c>
      <c r="D3599" s="163">
        <v>1000</v>
      </c>
      <c r="E3599" s="163">
        <f>D3599*100</f>
        <v>100000</v>
      </c>
    </row>
    <row r="3600" ht="16.5" spans="1:5">
      <c r="A3600" s="151">
        <v>3599</v>
      </c>
      <c r="B3600" s="152" t="s">
        <v>11998</v>
      </c>
      <c r="C3600" s="160" t="s">
        <v>16630</v>
      </c>
      <c r="D3600" s="175">
        <v>10</v>
      </c>
      <c r="E3600" s="161">
        <f>SUM(D3600*100)</f>
        <v>1000</v>
      </c>
    </row>
    <row r="3601" ht="16.5" spans="1:5">
      <c r="A3601" s="151">
        <v>3600</v>
      </c>
      <c r="B3601" s="152" t="s">
        <v>12001</v>
      </c>
      <c r="C3601" s="156" t="s">
        <v>16629</v>
      </c>
      <c r="D3601" s="159">
        <v>10</v>
      </c>
      <c r="E3601" s="155">
        <f t="shared" ref="E3601:E3613" si="129">+D3601*100</f>
        <v>1000</v>
      </c>
    </row>
    <row r="3602" ht="16.5" spans="1:5">
      <c r="A3602" s="151">
        <v>3601</v>
      </c>
      <c r="B3602" s="152" t="s">
        <v>12004</v>
      </c>
      <c r="C3602" s="153" t="s">
        <v>16629</v>
      </c>
      <c r="D3602" s="154">
        <v>10</v>
      </c>
      <c r="E3602" s="155">
        <f t="shared" si="129"/>
        <v>1000</v>
      </c>
    </row>
    <row r="3603" ht="16.5" spans="1:5">
      <c r="A3603" s="151">
        <v>3602</v>
      </c>
      <c r="B3603" s="152" t="s">
        <v>12007</v>
      </c>
      <c r="C3603" s="156" t="s">
        <v>16629</v>
      </c>
      <c r="D3603" s="159">
        <v>10</v>
      </c>
      <c r="E3603" s="155">
        <f t="shared" si="129"/>
        <v>1000</v>
      </c>
    </row>
    <row r="3604" ht="16.5" spans="1:5">
      <c r="A3604" s="151">
        <v>3603</v>
      </c>
      <c r="B3604" s="152" t="s">
        <v>12010</v>
      </c>
      <c r="C3604" s="153" t="s">
        <v>16629</v>
      </c>
      <c r="D3604" s="154">
        <v>10</v>
      </c>
      <c r="E3604" s="155">
        <f t="shared" si="129"/>
        <v>1000</v>
      </c>
    </row>
    <row r="3605" ht="16.5" spans="1:5">
      <c r="A3605" s="151">
        <v>3604</v>
      </c>
      <c r="B3605" s="152" t="s">
        <v>12013</v>
      </c>
      <c r="C3605" s="156" t="s">
        <v>16629</v>
      </c>
      <c r="D3605" s="157">
        <v>10</v>
      </c>
      <c r="E3605" s="155">
        <f t="shared" si="129"/>
        <v>1000</v>
      </c>
    </row>
    <row r="3606" ht="16.5" spans="1:5">
      <c r="A3606" s="151">
        <v>3605</v>
      </c>
      <c r="B3606" s="152" t="s">
        <v>12017</v>
      </c>
      <c r="C3606" s="153" t="s">
        <v>16629</v>
      </c>
      <c r="D3606" s="154">
        <v>10</v>
      </c>
      <c r="E3606" s="155">
        <f t="shared" si="129"/>
        <v>1000</v>
      </c>
    </row>
    <row r="3607" ht="16.5" spans="1:5">
      <c r="A3607" s="151">
        <v>3606</v>
      </c>
      <c r="B3607" s="152" t="s">
        <v>12021</v>
      </c>
      <c r="C3607" s="156" t="s">
        <v>16629</v>
      </c>
      <c r="D3607" s="157">
        <v>10</v>
      </c>
      <c r="E3607" s="155">
        <f t="shared" si="129"/>
        <v>1000</v>
      </c>
    </row>
    <row r="3608" ht="16.5" spans="1:5">
      <c r="A3608" s="151">
        <v>3607</v>
      </c>
      <c r="B3608" s="152" t="s">
        <v>12024</v>
      </c>
      <c r="C3608" s="156" t="s">
        <v>16629</v>
      </c>
      <c r="D3608" s="157">
        <v>10</v>
      </c>
      <c r="E3608" s="155">
        <f t="shared" si="129"/>
        <v>1000</v>
      </c>
    </row>
    <row r="3609" ht="16.5" spans="1:5">
      <c r="A3609" s="151">
        <v>3608</v>
      </c>
      <c r="B3609" s="152" t="s">
        <v>12027</v>
      </c>
      <c r="C3609" s="153" t="s">
        <v>16629</v>
      </c>
      <c r="D3609" s="158">
        <v>10</v>
      </c>
      <c r="E3609" s="155">
        <f t="shared" si="129"/>
        <v>1000</v>
      </c>
    </row>
    <row r="3610" ht="16.5" spans="1:5">
      <c r="A3610" s="151">
        <v>3609</v>
      </c>
      <c r="B3610" s="152" t="s">
        <v>12030</v>
      </c>
      <c r="C3610" s="153" t="s">
        <v>16629</v>
      </c>
      <c r="D3610" s="158">
        <v>10</v>
      </c>
      <c r="E3610" s="155">
        <f t="shared" si="129"/>
        <v>1000</v>
      </c>
    </row>
    <row r="3611" ht="16.5" spans="1:5">
      <c r="A3611" s="151">
        <v>3610</v>
      </c>
      <c r="B3611" s="152" t="s">
        <v>12033</v>
      </c>
      <c r="C3611" s="153" t="s">
        <v>16629</v>
      </c>
      <c r="D3611" s="154">
        <v>10</v>
      </c>
      <c r="E3611" s="155">
        <f t="shared" si="129"/>
        <v>1000</v>
      </c>
    </row>
    <row r="3612" ht="16.5" spans="1:5">
      <c r="A3612" s="151">
        <v>3611</v>
      </c>
      <c r="B3612" s="152" t="s">
        <v>12036</v>
      </c>
      <c r="C3612" s="153" t="s">
        <v>16629</v>
      </c>
      <c r="D3612" s="154">
        <v>10</v>
      </c>
      <c r="E3612" s="155">
        <f t="shared" si="129"/>
        <v>1000</v>
      </c>
    </row>
    <row r="3613" ht="16.5" spans="1:5">
      <c r="A3613" s="151">
        <v>3612</v>
      </c>
      <c r="B3613" s="152" t="s">
        <v>12039</v>
      </c>
      <c r="C3613" s="156" t="s">
        <v>16629</v>
      </c>
      <c r="D3613" s="159">
        <v>10</v>
      </c>
      <c r="E3613" s="155">
        <f t="shared" si="129"/>
        <v>1000</v>
      </c>
    </row>
    <row r="3614" ht="16.5" spans="1:5">
      <c r="A3614" s="151">
        <v>3613</v>
      </c>
      <c r="B3614" s="152" t="s">
        <v>12042</v>
      </c>
      <c r="C3614" s="160" t="s">
        <v>16630</v>
      </c>
      <c r="D3614" s="164">
        <v>100</v>
      </c>
      <c r="E3614" s="161">
        <f>SUM(D3614*100)</f>
        <v>10000</v>
      </c>
    </row>
    <row r="3615" ht="16.5" spans="1:5">
      <c r="A3615" s="151">
        <v>3614</v>
      </c>
      <c r="B3615" s="152" t="s">
        <v>12045</v>
      </c>
      <c r="C3615" s="160" t="s">
        <v>16630</v>
      </c>
      <c r="D3615" s="160">
        <v>100</v>
      </c>
      <c r="E3615" s="161">
        <f>SUM(D3615*100)</f>
        <v>10000</v>
      </c>
    </row>
    <row r="3616" ht="16.5" spans="1:5">
      <c r="A3616" s="151">
        <v>3615</v>
      </c>
      <c r="B3616" s="152" t="s">
        <v>12049</v>
      </c>
      <c r="C3616" s="153" t="s">
        <v>16629</v>
      </c>
      <c r="D3616" s="154">
        <v>10</v>
      </c>
      <c r="E3616" s="155">
        <f t="shared" ref="E3616:E3623" si="130">+D3616*100</f>
        <v>1000</v>
      </c>
    </row>
    <row r="3617" ht="16.5" spans="1:5">
      <c r="A3617" s="151">
        <v>3616</v>
      </c>
      <c r="B3617" s="152" t="s">
        <v>12052</v>
      </c>
      <c r="C3617" s="156" t="s">
        <v>16629</v>
      </c>
      <c r="D3617" s="159">
        <v>10</v>
      </c>
      <c r="E3617" s="155">
        <f t="shared" si="130"/>
        <v>1000</v>
      </c>
    </row>
    <row r="3618" ht="16.5" spans="1:5">
      <c r="A3618" s="151">
        <v>3617</v>
      </c>
      <c r="B3618" s="152" t="s">
        <v>12055</v>
      </c>
      <c r="C3618" s="156" t="s">
        <v>16629</v>
      </c>
      <c r="D3618" s="159">
        <v>10</v>
      </c>
      <c r="E3618" s="155">
        <f t="shared" si="130"/>
        <v>1000</v>
      </c>
    </row>
    <row r="3619" ht="16.5" spans="1:5">
      <c r="A3619" s="151">
        <v>3618</v>
      </c>
      <c r="B3619" s="152" t="s">
        <v>12058</v>
      </c>
      <c r="C3619" s="156" t="s">
        <v>16629</v>
      </c>
      <c r="D3619" s="159">
        <v>10</v>
      </c>
      <c r="E3619" s="155">
        <f t="shared" si="130"/>
        <v>1000</v>
      </c>
    </row>
    <row r="3620" ht="16.5" spans="1:5">
      <c r="A3620" s="151">
        <v>3619</v>
      </c>
      <c r="B3620" s="152" t="s">
        <v>12061</v>
      </c>
      <c r="C3620" s="153" t="s">
        <v>16629</v>
      </c>
      <c r="D3620" s="154">
        <v>10</v>
      </c>
      <c r="E3620" s="155">
        <f t="shared" si="130"/>
        <v>1000</v>
      </c>
    </row>
    <row r="3621" ht="16.5" spans="1:5">
      <c r="A3621" s="151">
        <v>3620</v>
      </c>
      <c r="B3621" s="152" t="s">
        <v>12064</v>
      </c>
      <c r="C3621" s="153" t="s">
        <v>16629</v>
      </c>
      <c r="D3621" s="154">
        <v>10</v>
      </c>
      <c r="E3621" s="155">
        <f t="shared" si="130"/>
        <v>1000</v>
      </c>
    </row>
    <row r="3622" ht="16.5" spans="1:5">
      <c r="A3622" s="151">
        <v>3621</v>
      </c>
      <c r="B3622" s="152" t="s">
        <v>12067</v>
      </c>
      <c r="C3622" s="153" t="s">
        <v>16629</v>
      </c>
      <c r="D3622" s="154">
        <v>10</v>
      </c>
      <c r="E3622" s="155">
        <f t="shared" si="130"/>
        <v>1000</v>
      </c>
    </row>
    <row r="3623" ht="16.5" spans="1:5">
      <c r="A3623" s="151">
        <v>3622</v>
      </c>
      <c r="B3623" s="152" t="s">
        <v>12070</v>
      </c>
      <c r="C3623" s="156" t="s">
        <v>16629</v>
      </c>
      <c r="D3623" s="159">
        <v>10</v>
      </c>
      <c r="E3623" s="155">
        <f t="shared" si="130"/>
        <v>1000</v>
      </c>
    </row>
    <row r="3624" ht="16.5" spans="1:5">
      <c r="A3624" s="151">
        <v>3623</v>
      </c>
      <c r="B3624" s="152" t="s">
        <v>12073</v>
      </c>
      <c r="C3624" s="162" t="s">
        <v>16631</v>
      </c>
      <c r="D3624" s="163">
        <v>1000</v>
      </c>
      <c r="E3624" s="163">
        <f>D3624*100</f>
        <v>100000</v>
      </c>
    </row>
    <row r="3625" ht="16.5" spans="1:5">
      <c r="A3625" s="151">
        <v>3624</v>
      </c>
      <c r="B3625" s="152" t="s">
        <v>12078</v>
      </c>
      <c r="C3625" s="166" t="s">
        <v>16632</v>
      </c>
      <c r="D3625" s="166">
        <f>IFERROR(__xludf.DUMMYFUNCTION("""COMPUTED_VALUE"""),10000)</f>
        <v>10000</v>
      </c>
      <c r="E3625" s="168">
        <f>IFERROR(__xludf.DUMMYFUNCTION("""COMPUTED_VALUE"""),1500000)</f>
        <v>1500000</v>
      </c>
    </row>
    <row r="3626" ht="16.5" spans="1:5">
      <c r="A3626" s="151">
        <v>3625</v>
      </c>
      <c r="B3626" s="152" t="s">
        <v>12079</v>
      </c>
      <c r="C3626" s="166" t="s">
        <v>16632</v>
      </c>
      <c r="D3626" s="166">
        <f>IFERROR(__xludf.DUMMYFUNCTION("""COMPUTED_VALUE"""),15000)</f>
        <v>15000</v>
      </c>
      <c r="E3626" s="168">
        <f>IFERROR(__xludf.DUMMYFUNCTION("""COMPUTED_VALUE"""),1500000)</f>
        <v>1500000</v>
      </c>
    </row>
    <row r="3627" ht="16.5" spans="1:5">
      <c r="A3627" s="151">
        <v>3626</v>
      </c>
      <c r="B3627" s="152" t="s">
        <v>12080</v>
      </c>
      <c r="C3627" s="156" t="s">
        <v>16629</v>
      </c>
      <c r="D3627" s="159">
        <v>10</v>
      </c>
      <c r="E3627" s="155">
        <f>+D3627*100</f>
        <v>1000</v>
      </c>
    </row>
    <row r="3628" ht="16.5" spans="1:5">
      <c r="A3628" s="151">
        <v>3627</v>
      </c>
      <c r="B3628" s="152" t="s">
        <v>12083</v>
      </c>
      <c r="C3628" s="160" t="s">
        <v>16630</v>
      </c>
      <c r="D3628" s="41">
        <v>10</v>
      </c>
      <c r="E3628" s="161">
        <f>SUM(D3628*100)</f>
        <v>1000</v>
      </c>
    </row>
    <row r="3629" ht="16.5" spans="1:5">
      <c r="A3629" s="151">
        <v>3628</v>
      </c>
      <c r="B3629" s="152" t="s">
        <v>12086</v>
      </c>
      <c r="C3629" s="160" t="s">
        <v>16630</v>
      </c>
      <c r="D3629" s="160">
        <v>10</v>
      </c>
      <c r="E3629" s="161">
        <f>SUM(D3629*100)</f>
        <v>1000</v>
      </c>
    </row>
    <row r="3630" ht="16.5" spans="1:5">
      <c r="A3630" s="151">
        <v>3629</v>
      </c>
      <c r="B3630" s="152" t="s">
        <v>12090</v>
      </c>
      <c r="C3630" s="160" t="s">
        <v>16630</v>
      </c>
      <c r="D3630" s="160">
        <v>10</v>
      </c>
      <c r="E3630" s="161">
        <f>SUM(D3630*100)</f>
        <v>1000</v>
      </c>
    </row>
    <row r="3631" ht="16.5" spans="1:5">
      <c r="A3631" s="151">
        <v>3630</v>
      </c>
      <c r="B3631" s="152" t="s">
        <v>12093</v>
      </c>
      <c r="C3631" s="156" t="s">
        <v>16629</v>
      </c>
      <c r="D3631" s="159">
        <v>10</v>
      </c>
      <c r="E3631" s="155">
        <f>+D3631*100</f>
        <v>1000</v>
      </c>
    </row>
    <row r="3632" ht="16.5" spans="1:5">
      <c r="A3632" s="151">
        <v>3631</v>
      </c>
      <c r="B3632" s="152" t="s">
        <v>12096</v>
      </c>
      <c r="C3632" s="162" t="s">
        <v>16631</v>
      </c>
      <c r="D3632" s="163">
        <v>2000</v>
      </c>
      <c r="E3632" s="163">
        <f>D3632*100</f>
        <v>200000</v>
      </c>
    </row>
    <row r="3633" ht="16.5" spans="1:5">
      <c r="A3633" s="151">
        <v>3632</v>
      </c>
      <c r="B3633" s="152" t="s">
        <v>12101</v>
      </c>
      <c r="C3633" s="153" t="s">
        <v>16629</v>
      </c>
      <c r="D3633" s="154">
        <v>10</v>
      </c>
      <c r="E3633" s="155">
        <f t="shared" ref="E3633:E3648" si="131">+D3633*100</f>
        <v>1000</v>
      </c>
    </row>
    <row r="3634" ht="16.5" spans="1:5">
      <c r="A3634" s="151">
        <v>3633</v>
      </c>
      <c r="B3634" s="152" t="s">
        <v>12104</v>
      </c>
      <c r="C3634" s="156" t="s">
        <v>16629</v>
      </c>
      <c r="D3634" s="159">
        <v>10</v>
      </c>
      <c r="E3634" s="155">
        <f t="shared" si="131"/>
        <v>1000</v>
      </c>
    </row>
    <row r="3635" ht="16.5" spans="1:5">
      <c r="A3635" s="151">
        <v>3634</v>
      </c>
      <c r="B3635" s="152" t="s">
        <v>12107</v>
      </c>
      <c r="C3635" s="153" t="s">
        <v>16629</v>
      </c>
      <c r="D3635" s="158">
        <v>10</v>
      </c>
      <c r="E3635" s="155">
        <f t="shared" si="131"/>
        <v>1000</v>
      </c>
    </row>
    <row r="3636" ht="16.5" spans="1:5">
      <c r="A3636" s="151">
        <v>3635</v>
      </c>
      <c r="B3636" s="152" t="s">
        <v>12110</v>
      </c>
      <c r="C3636" s="156" t="s">
        <v>16629</v>
      </c>
      <c r="D3636" s="159">
        <v>10</v>
      </c>
      <c r="E3636" s="155">
        <f t="shared" si="131"/>
        <v>1000</v>
      </c>
    </row>
    <row r="3637" ht="16.5" spans="1:5">
      <c r="A3637" s="151">
        <v>3636</v>
      </c>
      <c r="B3637" s="152" t="s">
        <v>12113</v>
      </c>
      <c r="C3637" s="153" t="s">
        <v>16629</v>
      </c>
      <c r="D3637" s="154">
        <v>10</v>
      </c>
      <c r="E3637" s="155">
        <f t="shared" si="131"/>
        <v>1000</v>
      </c>
    </row>
    <row r="3638" ht="16.5" spans="1:5">
      <c r="A3638" s="151">
        <v>3637</v>
      </c>
      <c r="B3638" s="152" t="s">
        <v>12116</v>
      </c>
      <c r="C3638" s="156" t="s">
        <v>16629</v>
      </c>
      <c r="D3638" s="154">
        <v>10</v>
      </c>
      <c r="E3638" s="155">
        <f t="shared" si="131"/>
        <v>1000</v>
      </c>
    </row>
    <row r="3639" ht="16.5" spans="1:5">
      <c r="A3639" s="151">
        <v>3638</v>
      </c>
      <c r="B3639" s="152" t="s">
        <v>12119</v>
      </c>
      <c r="C3639" s="153" t="s">
        <v>16629</v>
      </c>
      <c r="D3639" s="154">
        <v>10</v>
      </c>
      <c r="E3639" s="155">
        <f t="shared" si="131"/>
        <v>1000</v>
      </c>
    </row>
    <row r="3640" ht="16.5" spans="1:5">
      <c r="A3640" s="151">
        <v>3639</v>
      </c>
      <c r="B3640" s="152" t="s">
        <v>12122</v>
      </c>
      <c r="C3640" s="153" t="s">
        <v>16629</v>
      </c>
      <c r="D3640" s="154">
        <v>10</v>
      </c>
      <c r="E3640" s="155">
        <f t="shared" si="131"/>
        <v>1000</v>
      </c>
    </row>
    <row r="3641" ht="16.5" spans="1:5">
      <c r="A3641" s="151">
        <v>3640</v>
      </c>
      <c r="B3641" s="152" t="s">
        <v>12125</v>
      </c>
      <c r="C3641" s="156" t="s">
        <v>16629</v>
      </c>
      <c r="D3641" s="157">
        <v>10</v>
      </c>
      <c r="E3641" s="155">
        <f t="shared" si="131"/>
        <v>1000</v>
      </c>
    </row>
    <row r="3642" ht="16.5" spans="1:5">
      <c r="A3642" s="151">
        <v>3641</v>
      </c>
      <c r="B3642" s="152" t="s">
        <v>12129</v>
      </c>
      <c r="C3642" s="160" t="s">
        <v>16630</v>
      </c>
      <c r="D3642" s="172">
        <v>20</v>
      </c>
      <c r="E3642" s="161">
        <f t="shared" si="131"/>
        <v>2000</v>
      </c>
    </row>
    <row r="3643" ht="16.5" spans="1:5">
      <c r="A3643" s="151">
        <v>3642</v>
      </c>
      <c r="B3643" s="152" t="s">
        <v>12132</v>
      </c>
      <c r="C3643" s="156" t="s">
        <v>16629</v>
      </c>
      <c r="D3643" s="157">
        <v>10</v>
      </c>
      <c r="E3643" s="155">
        <f t="shared" si="131"/>
        <v>1000</v>
      </c>
    </row>
    <row r="3644" ht="16.5" spans="1:5">
      <c r="A3644" s="151">
        <v>3643</v>
      </c>
      <c r="B3644" s="152" t="s">
        <v>12135</v>
      </c>
      <c r="C3644" s="153" t="s">
        <v>16629</v>
      </c>
      <c r="D3644" s="158">
        <v>10</v>
      </c>
      <c r="E3644" s="155">
        <f t="shared" si="131"/>
        <v>1000</v>
      </c>
    </row>
    <row r="3645" ht="16.5" spans="1:5">
      <c r="A3645" s="151">
        <v>3644</v>
      </c>
      <c r="B3645" s="152" t="s">
        <v>12138</v>
      </c>
      <c r="C3645" s="156" t="s">
        <v>16629</v>
      </c>
      <c r="D3645" s="157">
        <v>10</v>
      </c>
      <c r="E3645" s="155">
        <f t="shared" si="131"/>
        <v>1000</v>
      </c>
    </row>
    <row r="3646" ht="16.5" spans="1:5">
      <c r="A3646" s="151">
        <v>3645</v>
      </c>
      <c r="B3646" s="152" t="s">
        <v>12141</v>
      </c>
      <c r="C3646" s="156" t="s">
        <v>16629</v>
      </c>
      <c r="D3646" s="157">
        <v>10</v>
      </c>
      <c r="E3646" s="155">
        <f t="shared" si="131"/>
        <v>1000</v>
      </c>
    </row>
    <row r="3647" ht="16.5" spans="1:5">
      <c r="A3647" s="151">
        <v>3646</v>
      </c>
      <c r="B3647" s="152" t="s">
        <v>12144</v>
      </c>
      <c r="C3647" s="153" t="s">
        <v>16629</v>
      </c>
      <c r="D3647" s="158">
        <v>10</v>
      </c>
      <c r="E3647" s="155">
        <f t="shared" si="131"/>
        <v>1000</v>
      </c>
    </row>
    <row r="3648" ht="16.5" spans="1:5">
      <c r="A3648" s="151">
        <v>3647</v>
      </c>
      <c r="B3648" s="152" t="s">
        <v>12147</v>
      </c>
      <c r="C3648" s="156" t="s">
        <v>16629</v>
      </c>
      <c r="D3648" s="158">
        <v>10</v>
      </c>
      <c r="E3648" s="155">
        <f t="shared" si="131"/>
        <v>1000</v>
      </c>
    </row>
    <row r="3649" ht="16.5" spans="1:5">
      <c r="A3649" s="151">
        <v>3648</v>
      </c>
      <c r="B3649" s="152" t="s">
        <v>12150</v>
      </c>
      <c r="C3649" s="160" t="s">
        <v>16630</v>
      </c>
      <c r="D3649" s="160">
        <v>600</v>
      </c>
      <c r="E3649" s="161">
        <f>SUM(D3649*100)</f>
        <v>60000</v>
      </c>
    </row>
    <row r="3650" ht="16.5" spans="1:5">
      <c r="A3650" s="151">
        <v>3649</v>
      </c>
      <c r="B3650" s="152" t="s">
        <v>12154</v>
      </c>
      <c r="C3650" s="156" t="s">
        <v>16629</v>
      </c>
      <c r="D3650" s="159">
        <v>10</v>
      </c>
      <c r="E3650" s="155">
        <f t="shared" ref="E3650:E3667" si="132">+D3650*100</f>
        <v>1000</v>
      </c>
    </row>
    <row r="3651" ht="16.5" spans="1:5">
      <c r="A3651" s="151">
        <v>3650</v>
      </c>
      <c r="B3651" s="152" t="s">
        <v>12157</v>
      </c>
      <c r="C3651" s="156" t="s">
        <v>16629</v>
      </c>
      <c r="D3651" s="157">
        <v>10</v>
      </c>
      <c r="E3651" s="155">
        <f t="shared" si="132"/>
        <v>1000</v>
      </c>
    </row>
    <row r="3652" ht="16.5" spans="1:5">
      <c r="A3652" s="151">
        <v>3651</v>
      </c>
      <c r="B3652" s="152" t="s">
        <v>12160</v>
      </c>
      <c r="C3652" s="156" t="s">
        <v>16629</v>
      </c>
      <c r="D3652" s="159">
        <v>10</v>
      </c>
      <c r="E3652" s="155">
        <f t="shared" si="132"/>
        <v>1000</v>
      </c>
    </row>
    <row r="3653" ht="16.5" spans="1:5">
      <c r="A3653" s="151">
        <v>3652</v>
      </c>
      <c r="B3653" s="152" t="s">
        <v>12163</v>
      </c>
      <c r="C3653" s="153" t="s">
        <v>16629</v>
      </c>
      <c r="D3653" s="154">
        <v>10</v>
      </c>
      <c r="E3653" s="155">
        <f t="shared" si="132"/>
        <v>1000</v>
      </c>
    </row>
    <row r="3654" ht="16.5" spans="1:5">
      <c r="A3654" s="151">
        <v>3653</v>
      </c>
      <c r="B3654" s="152" t="s">
        <v>12166</v>
      </c>
      <c r="C3654" s="156" t="s">
        <v>16629</v>
      </c>
      <c r="D3654" s="159">
        <v>10</v>
      </c>
      <c r="E3654" s="155">
        <f t="shared" si="132"/>
        <v>1000</v>
      </c>
    </row>
    <row r="3655" ht="16.5" spans="1:5">
      <c r="A3655" s="151">
        <v>3654</v>
      </c>
      <c r="B3655" s="152" t="s">
        <v>12170</v>
      </c>
      <c r="C3655" s="156" t="s">
        <v>16629</v>
      </c>
      <c r="D3655" s="157">
        <v>10</v>
      </c>
      <c r="E3655" s="155">
        <f t="shared" si="132"/>
        <v>1000</v>
      </c>
    </row>
    <row r="3656" ht="16.5" spans="1:5">
      <c r="A3656" s="151">
        <v>3655</v>
      </c>
      <c r="B3656" s="152" t="s">
        <v>12173</v>
      </c>
      <c r="C3656" s="156" t="s">
        <v>16629</v>
      </c>
      <c r="D3656" s="159">
        <v>10</v>
      </c>
      <c r="E3656" s="155">
        <f t="shared" si="132"/>
        <v>1000</v>
      </c>
    </row>
    <row r="3657" ht="16.5" spans="1:5">
      <c r="A3657" s="151">
        <v>3656</v>
      </c>
      <c r="B3657" s="152" t="s">
        <v>12176</v>
      </c>
      <c r="C3657" s="153" t="s">
        <v>16629</v>
      </c>
      <c r="D3657" s="154">
        <v>10</v>
      </c>
      <c r="E3657" s="155">
        <f t="shared" si="132"/>
        <v>1000</v>
      </c>
    </row>
    <row r="3658" ht="16.5" spans="1:5">
      <c r="A3658" s="151">
        <v>3657</v>
      </c>
      <c r="B3658" s="152" t="s">
        <v>12179</v>
      </c>
      <c r="C3658" s="156" t="s">
        <v>16629</v>
      </c>
      <c r="D3658" s="154">
        <v>10</v>
      </c>
      <c r="E3658" s="155">
        <f t="shared" si="132"/>
        <v>1000</v>
      </c>
    </row>
    <row r="3659" ht="16.5" spans="1:5">
      <c r="A3659" s="151">
        <v>3658</v>
      </c>
      <c r="B3659" s="152" t="s">
        <v>12182</v>
      </c>
      <c r="C3659" s="153" t="s">
        <v>16629</v>
      </c>
      <c r="D3659" s="154">
        <v>10</v>
      </c>
      <c r="E3659" s="155">
        <f t="shared" si="132"/>
        <v>1000</v>
      </c>
    </row>
    <row r="3660" ht="16.5" spans="1:5">
      <c r="A3660" s="151">
        <v>3659</v>
      </c>
      <c r="B3660" s="152" t="s">
        <v>12185</v>
      </c>
      <c r="C3660" s="153" t="s">
        <v>16629</v>
      </c>
      <c r="D3660" s="154">
        <v>10</v>
      </c>
      <c r="E3660" s="155">
        <f t="shared" si="132"/>
        <v>1000</v>
      </c>
    </row>
    <row r="3661" ht="16.5" spans="1:5">
      <c r="A3661" s="151">
        <v>3660</v>
      </c>
      <c r="B3661" s="152" t="s">
        <v>12188</v>
      </c>
      <c r="C3661" s="153" t="s">
        <v>16629</v>
      </c>
      <c r="D3661" s="154">
        <v>10</v>
      </c>
      <c r="E3661" s="155">
        <f t="shared" si="132"/>
        <v>1000</v>
      </c>
    </row>
    <row r="3662" ht="16.5" spans="1:5">
      <c r="A3662" s="151">
        <v>3661</v>
      </c>
      <c r="B3662" s="152" t="s">
        <v>12191</v>
      </c>
      <c r="C3662" s="153" t="s">
        <v>16629</v>
      </c>
      <c r="D3662" s="154">
        <v>10</v>
      </c>
      <c r="E3662" s="155">
        <f t="shared" si="132"/>
        <v>1000</v>
      </c>
    </row>
    <row r="3663" ht="16.5" spans="1:5">
      <c r="A3663" s="151">
        <v>3662</v>
      </c>
      <c r="B3663" s="152" t="s">
        <v>12194</v>
      </c>
      <c r="C3663" s="153" t="s">
        <v>16629</v>
      </c>
      <c r="D3663" s="158">
        <v>10</v>
      </c>
      <c r="E3663" s="155">
        <f t="shared" si="132"/>
        <v>1000</v>
      </c>
    </row>
    <row r="3664" ht="16.5" spans="1:5">
      <c r="A3664" s="151">
        <v>3663</v>
      </c>
      <c r="B3664" s="152" t="s">
        <v>12197</v>
      </c>
      <c r="C3664" s="153" t="s">
        <v>16629</v>
      </c>
      <c r="D3664" s="154">
        <v>10</v>
      </c>
      <c r="E3664" s="155">
        <f t="shared" si="132"/>
        <v>1000</v>
      </c>
    </row>
    <row r="3665" ht="16.5" spans="1:5">
      <c r="A3665" s="151">
        <v>3664</v>
      </c>
      <c r="B3665" s="152" t="s">
        <v>12200</v>
      </c>
      <c r="C3665" s="156" t="s">
        <v>16629</v>
      </c>
      <c r="D3665" s="159">
        <v>10</v>
      </c>
      <c r="E3665" s="155">
        <f t="shared" si="132"/>
        <v>1000</v>
      </c>
    </row>
    <row r="3666" ht="16.5" spans="1:5">
      <c r="A3666" s="151">
        <v>3665</v>
      </c>
      <c r="B3666" s="152" t="s">
        <v>12204</v>
      </c>
      <c r="C3666" s="156" t="s">
        <v>16629</v>
      </c>
      <c r="D3666" s="159">
        <v>10</v>
      </c>
      <c r="E3666" s="155">
        <f t="shared" si="132"/>
        <v>1000</v>
      </c>
    </row>
    <row r="3667" ht="16.5" spans="1:5">
      <c r="A3667" s="151">
        <v>3666</v>
      </c>
      <c r="B3667" s="152" t="s">
        <v>12208</v>
      </c>
      <c r="C3667" s="153" t="s">
        <v>16629</v>
      </c>
      <c r="D3667" s="154">
        <v>10</v>
      </c>
      <c r="E3667" s="155">
        <f t="shared" si="132"/>
        <v>1000</v>
      </c>
    </row>
    <row r="3668" ht="16.5" spans="1:5">
      <c r="A3668" s="151">
        <v>3667</v>
      </c>
      <c r="B3668" s="152" t="s">
        <v>12212</v>
      </c>
      <c r="C3668" s="160" t="s">
        <v>16630</v>
      </c>
      <c r="D3668" s="41">
        <v>30</v>
      </c>
      <c r="E3668" s="161">
        <f>SUM(D3668*100)</f>
        <v>3000</v>
      </c>
    </row>
    <row r="3669" ht="16.5" spans="1:5">
      <c r="A3669" s="151">
        <v>3668</v>
      </c>
      <c r="B3669" s="152" t="s">
        <v>12215</v>
      </c>
      <c r="C3669" s="162" t="s">
        <v>16633</v>
      </c>
      <c r="D3669" s="171">
        <f>G3669/100</f>
        <v>0</v>
      </c>
      <c r="E3669" s="171">
        <f>G3669</f>
        <v>0</v>
      </c>
    </row>
    <row r="3670" ht="16.5" spans="1:5">
      <c r="A3670" s="151">
        <v>3669</v>
      </c>
      <c r="B3670" s="152" t="s">
        <v>12219</v>
      </c>
      <c r="C3670" s="156" t="s">
        <v>16629</v>
      </c>
      <c r="D3670" s="159">
        <v>10</v>
      </c>
      <c r="E3670" s="155">
        <f>+D3670*100</f>
        <v>1000</v>
      </c>
    </row>
    <row r="3671" ht="16.5" spans="1:5">
      <c r="A3671" s="151">
        <v>3670</v>
      </c>
      <c r="B3671" s="152" t="s">
        <v>12222</v>
      </c>
      <c r="C3671" s="156" t="s">
        <v>16629</v>
      </c>
      <c r="D3671" s="159">
        <v>20</v>
      </c>
      <c r="E3671" s="155">
        <f>+D3671*100</f>
        <v>2000</v>
      </c>
    </row>
    <row r="3672" ht="16.5" spans="1:5">
      <c r="A3672" s="151">
        <v>3671</v>
      </c>
      <c r="B3672" s="152" t="s">
        <v>12225</v>
      </c>
      <c r="C3672" s="156" t="s">
        <v>16629</v>
      </c>
      <c r="D3672" s="159">
        <v>10</v>
      </c>
      <c r="E3672" s="155">
        <f>+D3672*100</f>
        <v>1000</v>
      </c>
    </row>
    <row r="3673" ht="16.5" spans="1:5">
      <c r="A3673" s="151">
        <v>3672</v>
      </c>
      <c r="B3673" s="152" t="s">
        <v>12229</v>
      </c>
      <c r="C3673" s="160" t="s">
        <v>16630</v>
      </c>
      <c r="D3673" s="165">
        <v>10</v>
      </c>
      <c r="E3673" s="161">
        <f>SUM(D3673*100)</f>
        <v>1000</v>
      </c>
    </row>
    <row r="3674" ht="16.5" spans="1:5">
      <c r="A3674" s="151">
        <v>3673</v>
      </c>
      <c r="B3674" s="152" t="s">
        <v>12232</v>
      </c>
      <c r="C3674" s="156" t="s">
        <v>16629</v>
      </c>
      <c r="D3674" s="157">
        <v>10</v>
      </c>
      <c r="E3674" s="155">
        <f t="shared" ref="E3674:E3681" si="133">+D3674*100</f>
        <v>1000</v>
      </c>
    </row>
    <row r="3675" ht="16.5" spans="1:5">
      <c r="A3675" s="151">
        <v>3674</v>
      </c>
      <c r="B3675" s="152" t="s">
        <v>12235</v>
      </c>
      <c r="C3675" s="153" t="s">
        <v>16629</v>
      </c>
      <c r="D3675" s="154">
        <v>10</v>
      </c>
      <c r="E3675" s="155">
        <f t="shared" si="133"/>
        <v>1000</v>
      </c>
    </row>
    <row r="3676" ht="16.5" spans="1:5">
      <c r="A3676" s="151">
        <v>3675</v>
      </c>
      <c r="B3676" s="152" t="s">
        <v>12238</v>
      </c>
      <c r="C3676" s="153" t="s">
        <v>16629</v>
      </c>
      <c r="D3676" s="154">
        <v>10</v>
      </c>
      <c r="E3676" s="155">
        <f t="shared" si="133"/>
        <v>1000</v>
      </c>
    </row>
    <row r="3677" ht="16.5" spans="1:5">
      <c r="A3677" s="151">
        <v>3676</v>
      </c>
      <c r="B3677" s="152" t="s">
        <v>12241</v>
      </c>
      <c r="C3677" s="156" t="s">
        <v>16629</v>
      </c>
      <c r="D3677" s="159">
        <v>10</v>
      </c>
      <c r="E3677" s="155">
        <f t="shared" si="133"/>
        <v>1000</v>
      </c>
    </row>
    <row r="3678" ht="16.5" spans="1:5">
      <c r="A3678" s="151">
        <v>3677</v>
      </c>
      <c r="B3678" s="152" t="s">
        <v>12244</v>
      </c>
      <c r="C3678" s="156" t="s">
        <v>16629</v>
      </c>
      <c r="D3678" s="159">
        <v>10</v>
      </c>
      <c r="E3678" s="155">
        <f t="shared" si="133"/>
        <v>1000</v>
      </c>
    </row>
    <row r="3679" ht="16.5" spans="1:5">
      <c r="A3679" s="151">
        <v>3678</v>
      </c>
      <c r="B3679" s="152" t="s">
        <v>12247</v>
      </c>
      <c r="C3679" s="156" t="s">
        <v>16629</v>
      </c>
      <c r="D3679" s="159">
        <v>10</v>
      </c>
      <c r="E3679" s="155">
        <f t="shared" si="133"/>
        <v>1000</v>
      </c>
    </row>
    <row r="3680" ht="16.5" spans="1:5">
      <c r="A3680" s="151">
        <v>3679</v>
      </c>
      <c r="B3680" s="152" t="s">
        <v>12251</v>
      </c>
      <c r="C3680" s="153" t="s">
        <v>16629</v>
      </c>
      <c r="D3680" s="154">
        <v>10</v>
      </c>
      <c r="E3680" s="155">
        <f t="shared" si="133"/>
        <v>1000</v>
      </c>
    </row>
    <row r="3681" ht="16.5" spans="1:5">
      <c r="A3681" s="151">
        <v>3680</v>
      </c>
      <c r="B3681" s="152" t="s">
        <v>12254</v>
      </c>
      <c r="C3681" s="153" t="s">
        <v>16629</v>
      </c>
      <c r="D3681" s="158">
        <v>10</v>
      </c>
      <c r="E3681" s="155">
        <f t="shared" si="133"/>
        <v>1000</v>
      </c>
    </row>
    <row r="3682" ht="16.5" spans="1:5">
      <c r="A3682" s="151">
        <v>3681</v>
      </c>
      <c r="B3682" s="152" t="s">
        <v>12257</v>
      </c>
      <c r="C3682" s="166" t="s">
        <v>16632</v>
      </c>
      <c r="D3682" s="36">
        <v>10000</v>
      </c>
      <c r="E3682" s="45">
        <v>3500000</v>
      </c>
    </row>
    <row r="3683" ht="16.5" spans="1:5">
      <c r="A3683" s="151">
        <v>3682</v>
      </c>
      <c r="B3683" s="152" t="s">
        <v>12261</v>
      </c>
      <c r="C3683" s="156" t="s">
        <v>16629</v>
      </c>
      <c r="D3683" s="157">
        <v>10</v>
      </c>
      <c r="E3683" s="155">
        <f t="shared" ref="E3683:E3688" si="134">+D3683*100</f>
        <v>1000</v>
      </c>
    </row>
    <row r="3684" ht="16.5" spans="1:5">
      <c r="A3684" s="151">
        <v>3683</v>
      </c>
      <c r="B3684" s="152" t="s">
        <v>12264</v>
      </c>
      <c r="C3684" s="153" t="s">
        <v>16629</v>
      </c>
      <c r="D3684" s="154">
        <v>10</v>
      </c>
      <c r="E3684" s="155">
        <f t="shared" si="134"/>
        <v>1000</v>
      </c>
    </row>
    <row r="3685" ht="16.5" spans="1:5">
      <c r="A3685" s="151">
        <v>3684</v>
      </c>
      <c r="B3685" s="152" t="s">
        <v>12267</v>
      </c>
      <c r="C3685" s="156" t="s">
        <v>16629</v>
      </c>
      <c r="D3685" s="159">
        <v>10</v>
      </c>
      <c r="E3685" s="155">
        <f t="shared" si="134"/>
        <v>1000</v>
      </c>
    </row>
    <row r="3686" ht="16.5" spans="1:5">
      <c r="A3686" s="151">
        <v>3685</v>
      </c>
      <c r="B3686" s="152" t="s">
        <v>12270</v>
      </c>
      <c r="C3686" s="156" t="s">
        <v>16629</v>
      </c>
      <c r="D3686" s="157">
        <v>10</v>
      </c>
      <c r="E3686" s="155">
        <f t="shared" si="134"/>
        <v>1000</v>
      </c>
    </row>
    <row r="3687" ht="16.5" spans="1:5">
      <c r="A3687" s="151">
        <v>3686</v>
      </c>
      <c r="B3687" s="152" t="s">
        <v>12273</v>
      </c>
      <c r="C3687" s="153" t="s">
        <v>16629</v>
      </c>
      <c r="D3687" s="158">
        <v>10</v>
      </c>
      <c r="E3687" s="155">
        <f t="shared" si="134"/>
        <v>1000</v>
      </c>
    </row>
    <row r="3688" ht="16.5" spans="1:5">
      <c r="A3688" s="151">
        <v>3687</v>
      </c>
      <c r="B3688" s="152" t="s">
        <v>12276</v>
      </c>
      <c r="C3688" s="153" t="s">
        <v>16629</v>
      </c>
      <c r="D3688" s="154">
        <v>10</v>
      </c>
      <c r="E3688" s="155">
        <f t="shared" si="134"/>
        <v>1000</v>
      </c>
    </row>
    <row r="3689" ht="16.5" spans="1:5">
      <c r="A3689" s="151">
        <v>3688</v>
      </c>
      <c r="B3689" s="152" t="s">
        <v>12279</v>
      </c>
      <c r="C3689" s="160" t="s">
        <v>16630</v>
      </c>
      <c r="D3689" s="164">
        <v>10</v>
      </c>
      <c r="E3689" s="161">
        <f>SUM(D3689*100)</f>
        <v>1000</v>
      </c>
    </row>
    <row r="3690" ht="16.5" spans="1:5">
      <c r="A3690" s="151">
        <v>3689</v>
      </c>
      <c r="B3690" s="152" t="s">
        <v>12282</v>
      </c>
      <c r="C3690" s="160" t="s">
        <v>16630</v>
      </c>
      <c r="D3690" s="41">
        <v>50</v>
      </c>
      <c r="E3690" s="161">
        <f>SUM(D3690*100)</f>
        <v>5000</v>
      </c>
    </row>
    <row r="3691" ht="16.5" spans="1:5">
      <c r="A3691" s="151">
        <v>3690</v>
      </c>
      <c r="B3691" s="152" t="s">
        <v>12285</v>
      </c>
      <c r="C3691" s="156" t="s">
        <v>16629</v>
      </c>
      <c r="D3691" s="159">
        <v>10</v>
      </c>
      <c r="E3691" s="155">
        <f>+D3691*100</f>
        <v>1000</v>
      </c>
    </row>
    <row r="3692" ht="16.5" spans="1:5">
      <c r="A3692" s="151">
        <v>3691</v>
      </c>
      <c r="B3692" s="152" t="s">
        <v>12289</v>
      </c>
      <c r="C3692" s="153" t="s">
        <v>16629</v>
      </c>
      <c r="D3692" s="154">
        <v>10</v>
      </c>
      <c r="E3692" s="155">
        <f>+D3692*100</f>
        <v>1000</v>
      </c>
    </row>
    <row r="3693" ht="16.5" spans="1:5">
      <c r="A3693" s="151">
        <v>3692</v>
      </c>
      <c r="B3693" s="152" t="s">
        <v>12292</v>
      </c>
      <c r="C3693" s="153" t="s">
        <v>16629</v>
      </c>
      <c r="D3693" s="154">
        <v>10</v>
      </c>
      <c r="E3693" s="155">
        <f>+D3693*100</f>
        <v>1000</v>
      </c>
    </row>
    <row r="3694" ht="16.5" spans="1:5">
      <c r="A3694" s="151">
        <v>3693</v>
      </c>
      <c r="B3694" s="152" t="s">
        <v>12295</v>
      </c>
      <c r="C3694" s="162" t="s">
        <v>16631</v>
      </c>
      <c r="D3694" s="163">
        <v>2000</v>
      </c>
      <c r="E3694" s="163">
        <f>D3694*100</f>
        <v>200000</v>
      </c>
    </row>
    <row r="3695" ht="16.5" spans="1:5">
      <c r="A3695" s="151">
        <v>3694</v>
      </c>
      <c r="B3695" s="152" t="s">
        <v>12299</v>
      </c>
      <c r="C3695" s="162" t="s">
        <v>16633</v>
      </c>
      <c r="D3695" s="171">
        <f>G3695/100</f>
        <v>0</v>
      </c>
      <c r="E3695" s="171">
        <f>G3695</f>
        <v>0</v>
      </c>
    </row>
    <row r="3696" ht="16.5" spans="1:5">
      <c r="A3696" s="151">
        <v>3695</v>
      </c>
      <c r="B3696" s="152" t="s">
        <v>12301</v>
      </c>
      <c r="C3696" s="162" t="s">
        <v>16631</v>
      </c>
      <c r="D3696" s="169">
        <v>1000</v>
      </c>
      <c r="E3696" s="170">
        <f>D3696*100</f>
        <v>100000</v>
      </c>
    </row>
    <row r="3697" ht="16.5" spans="1:5">
      <c r="A3697" s="151">
        <v>3696</v>
      </c>
      <c r="B3697" s="152" t="s">
        <v>12305</v>
      </c>
      <c r="C3697" s="160" t="s">
        <v>16630</v>
      </c>
      <c r="D3697" s="160">
        <v>100</v>
      </c>
      <c r="E3697" s="161">
        <f>SUM(D3697*100)</f>
        <v>10000</v>
      </c>
    </row>
    <row r="3698" ht="16.5" spans="1:5">
      <c r="A3698" s="151">
        <v>3697</v>
      </c>
      <c r="B3698" s="152" t="s">
        <v>12308</v>
      </c>
      <c r="C3698" s="153" t="s">
        <v>16629</v>
      </c>
      <c r="D3698" s="154">
        <v>10</v>
      </c>
      <c r="E3698" s="155">
        <f>+D3698*100</f>
        <v>1000</v>
      </c>
    </row>
    <row r="3699" ht="16.5" spans="1:5">
      <c r="A3699" s="151">
        <v>3698</v>
      </c>
      <c r="B3699" s="152" t="s">
        <v>12311</v>
      </c>
      <c r="C3699" s="153" t="s">
        <v>16629</v>
      </c>
      <c r="D3699" s="154">
        <v>10</v>
      </c>
      <c r="E3699" s="155">
        <f>+D3699*100</f>
        <v>1000</v>
      </c>
    </row>
    <row r="3700" ht="16.5" spans="1:5">
      <c r="A3700" s="151">
        <v>3699</v>
      </c>
      <c r="B3700" s="152" t="s">
        <v>12314</v>
      </c>
      <c r="C3700" s="160" t="s">
        <v>16630</v>
      </c>
      <c r="D3700" s="160">
        <v>30</v>
      </c>
      <c r="E3700" s="161">
        <f>SUM(D3700*100)</f>
        <v>3000</v>
      </c>
    </row>
    <row r="3701" ht="16.5" spans="1:5">
      <c r="A3701" s="151">
        <v>3700</v>
      </c>
      <c r="B3701" s="152" t="s">
        <v>12318</v>
      </c>
      <c r="C3701" s="156" t="s">
        <v>16629</v>
      </c>
      <c r="D3701" s="159">
        <v>10</v>
      </c>
      <c r="E3701" s="155">
        <f t="shared" ref="E3701:E3732" si="135">+D3701*100</f>
        <v>1000</v>
      </c>
    </row>
    <row r="3702" ht="16.5" spans="1:5">
      <c r="A3702" s="151">
        <v>3701</v>
      </c>
      <c r="B3702" s="152" t="s">
        <v>12322</v>
      </c>
      <c r="C3702" s="153" t="s">
        <v>16629</v>
      </c>
      <c r="D3702" s="154">
        <v>10</v>
      </c>
      <c r="E3702" s="155">
        <f t="shared" si="135"/>
        <v>1000</v>
      </c>
    </row>
    <row r="3703" ht="16.5" spans="1:5">
      <c r="A3703" s="151">
        <v>3702</v>
      </c>
      <c r="B3703" s="152" t="s">
        <v>12325</v>
      </c>
      <c r="C3703" s="156" t="s">
        <v>16629</v>
      </c>
      <c r="D3703" s="159">
        <v>10</v>
      </c>
      <c r="E3703" s="155">
        <f t="shared" si="135"/>
        <v>1000</v>
      </c>
    </row>
    <row r="3704" ht="16.5" spans="1:5">
      <c r="A3704" s="151">
        <v>3703</v>
      </c>
      <c r="B3704" s="152" t="s">
        <v>12329</v>
      </c>
      <c r="C3704" s="156" t="s">
        <v>16629</v>
      </c>
      <c r="D3704" s="154">
        <v>10</v>
      </c>
      <c r="E3704" s="155">
        <f t="shared" si="135"/>
        <v>1000</v>
      </c>
    </row>
    <row r="3705" ht="16.5" spans="1:5">
      <c r="A3705" s="151">
        <v>3704</v>
      </c>
      <c r="B3705" s="152" t="s">
        <v>12333</v>
      </c>
      <c r="C3705" s="153" t="s">
        <v>16629</v>
      </c>
      <c r="D3705" s="154">
        <v>10</v>
      </c>
      <c r="E3705" s="155">
        <f t="shared" si="135"/>
        <v>1000</v>
      </c>
    </row>
    <row r="3706" ht="16.5" spans="1:5">
      <c r="A3706" s="151">
        <v>3705</v>
      </c>
      <c r="B3706" s="152" t="s">
        <v>12336</v>
      </c>
      <c r="C3706" s="153" t="s">
        <v>16629</v>
      </c>
      <c r="D3706" s="154">
        <v>10</v>
      </c>
      <c r="E3706" s="155">
        <f t="shared" si="135"/>
        <v>1000</v>
      </c>
    </row>
    <row r="3707" ht="16.5" spans="1:5">
      <c r="A3707" s="151">
        <v>3706</v>
      </c>
      <c r="B3707" s="152" t="s">
        <v>12340</v>
      </c>
      <c r="C3707" s="156" t="s">
        <v>16629</v>
      </c>
      <c r="D3707" s="159">
        <v>10</v>
      </c>
      <c r="E3707" s="155">
        <f t="shared" si="135"/>
        <v>1000</v>
      </c>
    </row>
    <row r="3708" ht="16.5" spans="1:5">
      <c r="A3708" s="151">
        <v>3707</v>
      </c>
      <c r="B3708" s="152" t="s">
        <v>12343</v>
      </c>
      <c r="C3708" s="156" t="s">
        <v>16629</v>
      </c>
      <c r="D3708" s="157">
        <v>10</v>
      </c>
      <c r="E3708" s="155">
        <f t="shared" si="135"/>
        <v>1000</v>
      </c>
    </row>
    <row r="3709" ht="16.5" spans="1:5">
      <c r="A3709" s="151">
        <v>3708</v>
      </c>
      <c r="B3709" s="152" t="s">
        <v>12347</v>
      </c>
      <c r="C3709" s="153" t="s">
        <v>16629</v>
      </c>
      <c r="D3709" s="158">
        <v>10</v>
      </c>
      <c r="E3709" s="155">
        <f t="shared" si="135"/>
        <v>1000</v>
      </c>
    </row>
    <row r="3710" ht="16.5" spans="1:5">
      <c r="A3710" s="151">
        <v>3709</v>
      </c>
      <c r="B3710" s="152" t="s">
        <v>12351</v>
      </c>
      <c r="C3710" s="153" t="s">
        <v>16629</v>
      </c>
      <c r="D3710" s="158">
        <v>10</v>
      </c>
      <c r="E3710" s="155">
        <f t="shared" si="135"/>
        <v>1000</v>
      </c>
    </row>
    <row r="3711" ht="16.5" spans="1:5">
      <c r="A3711" s="151">
        <v>3710</v>
      </c>
      <c r="B3711" s="152" t="s">
        <v>12354</v>
      </c>
      <c r="C3711" s="156" t="s">
        <v>16629</v>
      </c>
      <c r="D3711" s="159">
        <v>10</v>
      </c>
      <c r="E3711" s="155">
        <f t="shared" si="135"/>
        <v>1000</v>
      </c>
    </row>
    <row r="3712" ht="16.5" spans="1:5">
      <c r="A3712" s="151">
        <v>3711</v>
      </c>
      <c r="B3712" s="152" t="s">
        <v>12358</v>
      </c>
      <c r="C3712" s="153" t="s">
        <v>16629</v>
      </c>
      <c r="D3712" s="154">
        <v>10</v>
      </c>
      <c r="E3712" s="155">
        <f t="shared" si="135"/>
        <v>1000</v>
      </c>
    </row>
    <row r="3713" ht="16.5" spans="1:5">
      <c r="A3713" s="151">
        <v>3712</v>
      </c>
      <c r="B3713" s="152" t="s">
        <v>12361</v>
      </c>
      <c r="C3713" s="153" t="s">
        <v>16629</v>
      </c>
      <c r="D3713" s="154">
        <v>10</v>
      </c>
      <c r="E3713" s="155">
        <f t="shared" si="135"/>
        <v>1000</v>
      </c>
    </row>
    <row r="3714" ht="16.5" spans="1:5">
      <c r="A3714" s="151">
        <v>3713</v>
      </c>
      <c r="B3714" s="152" t="s">
        <v>12364</v>
      </c>
      <c r="C3714" s="153" t="s">
        <v>16629</v>
      </c>
      <c r="D3714" s="154">
        <v>10</v>
      </c>
      <c r="E3714" s="155">
        <f t="shared" si="135"/>
        <v>1000</v>
      </c>
    </row>
    <row r="3715" ht="16.5" spans="1:5">
      <c r="A3715" s="151">
        <v>3714</v>
      </c>
      <c r="B3715" s="152" t="s">
        <v>12367</v>
      </c>
      <c r="C3715" s="153" t="s">
        <v>16629</v>
      </c>
      <c r="D3715" s="154">
        <v>10</v>
      </c>
      <c r="E3715" s="155">
        <f t="shared" si="135"/>
        <v>1000</v>
      </c>
    </row>
    <row r="3716" ht="16.5" spans="1:5">
      <c r="A3716" s="151">
        <v>3715</v>
      </c>
      <c r="B3716" s="152" t="s">
        <v>12371</v>
      </c>
      <c r="C3716" s="156" t="s">
        <v>16629</v>
      </c>
      <c r="D3716" s="159">
        <v>10</v>
      </c>
      <c r="E3716" s="155">
        <f t="shared" si="135"/>
        <v>1000</v>
      </c>
    </row>
    <row r="3717" ht="16.5" spans="1:5">
      <c r="A3717" s="151">
        <v>3716</v>
      </c>
      <c r="B3717" s="152" t="s">
        <v>12374</v>
      </c>
      <c r="C3717" s="156" t="s">
        <v>16629</v>
      </c>
      <c r="D3717" s="157">
        <v>10</v>
      </c>
      <c r="E3717" s="155">
        <f t="shared" si="135"/>
        <v>1000</v>
      </c>
    </row>
    <row r="3718" ht="16.5" spans="1:5">
      <c r="A3718" s="151">
        <v>3717</v>
      </c>
      <c r="B3718" s="152" t="s">
        <v>12378</v>
      </c>
      <c r="C3718" s="153" t="s">
        <v>16629</v>
      </c>
      <c r="D3718" s="154">
        <v>10</v>
      </c>
      <c r="E3718" s="155">
        <f t="shared" si="135"/>
        <v>1000</v>
      </c>
    </row>
    <row r="3719" ht="16.5" spans="1:5">
      <c r="A3719" s="151">
        <v>3718</v>
      </c>
      <c r="B3719" s="152" t="s">
        <v>12381</v>
      </c>
      <c r="C3719" s="153" t="s">
        <v>16629</v>
      </c>
      <c r="D3719" s="154">
        <v>10</v>
      </c>
      <c r="E3719" s="155">
        <f t="shared" si="135"/>
        <v>1000</v>
      </c>
    </row>
    <row r="3720" ht="16.5" spans="1:5">
      <c r="A3720" s="151">
        <v>3719</v>
      </c>
      <c r="B3720" s="152" t="s">
        <v>12384</v>
      </c>
      <c r="C3720" s="153" t="s">
        <v>16629</v>
      </c>
      <c r="D3720" s="154">
        <v>10</v>
      </c>
      <c r="E3720" s="155">
        <f t="shared" si="135"/>
        <v>1000</v>
      </c>
    </row>
    <row r="3721" ht="16.5" spans="1:5">
      <c r="A3721" s="151">
        <v>3720</v>
      </c>
      <c r="B3721" s="152" t="s">
        <v>12388</v>
      </c>
      <c r="C3721" s="153" t="s">
        <v>16629</v>
      </c>
      <c r="D3721" s="154">
        <v>10</v>
      </c>
      <c r="E3721" s="155">
        <f t="shared" si="135"/>
        <v>1000</v>
      </c>
    </row>
    <row r="3722" ht="16.5" spans="1:5">
      <c r="A3722" s="151">
        <v>3721</v>
      </c>
      <c r="B3722" s="152" t="s">
        <v>12391</v>
      </c>
      <c r="C3722" s="153" t="s">
        <v>16629</v>
      </c>
      <c r="D3722" s="158">
        <v>10</v>
      </c>
      <c r="E3722" s="155">
        <f t="shared" si="135"/>
        <v>1000</v>
      </c>
    </row>
    <row r="3723" ht="16.5" spans="1:5">
      <c r="A3723" s="151">
        <v>3722</v>
      </c>
      <c r="B3723" s="152" t="s">
        <v>12394</v>
      </c>
      <c r="C3723" s="156" t="s">
        <v>16629</v>
      </c>
      <c r="D3723" s="159">
        <v>10</v>
      </c>
      <c r="E3723" s="155">
        <f t="shared" si="135"/>
        <v>1000</v>
      </c>
    </row>
    <row r="3724" ht="16.5" spans="1:5">
      <c r="A3724" s="151">
        <v>3723</v>
      </c>
      <c r="B3724" s="152" t="s">
        <v>12397</v>
      </c>
      <c r="C3724" s="156" t="s">
        <v>16629</v>
      </c>
      <c r="D3724" s="154">
        <v>10</v>
      </c>
      <c r="E3724" s="155">
        <f t="shared" si="135"/>
        <v>1000</v>
      </c>
    </row>
    <row r="3725" ht="16.5" spans="1:5">
      <c r="A3725" s="151">
        <v>3724</v>
      </c>
      <c r="B3725" s="152" t="s">
        <v>12400</v>
      </c>
      <c r="C3725" s="153" t="s">
        <v>16629</v>
      </c>
      <c r="D3725" s="154">
        <v>10</v>
      </c>
      <c r="E3725" s="155">
        <f t="shared" si="135"/>
        <v>1000</v>
      </c>
    </row>
    <row r="3726" ht="16.5" spans="1:5">
      <c r="A3726" s="151">
        <v>3725</v>
      </c>
      <c r="B3726" s="152" t="s">
        <v>12403</v>
      </c>
      <c r="C3726" s="156" t="s">
        <v>16629</v>
      </c>
      <c r="D3726" s="154">
        <v>10</v>
      </c>
      <c r="E3726" s="155">
        <f t="shared" si="135"/>
        <v>1000</v>
      </c>
    </row>
    <row r="3727" ht="16.5" spans="1:5">
      <c r="A3727" s="151">
        <v>3726</v>
      </c>
      <c r="B3727" s="152" t="s">
        <v>12406</v>
      </c>
      <c r="C3727" s="156" t="s">
        <v>16629</v>
      </c>
      <c r="D3727" s="159">
        <v>10</v>
      </c>
      <c r="E3727" s="155">
        <f t="shared" si="135"/>
        <v>1000</v>
      </c>
    </row>
    <row r="3728" ht="16.5" spans="1:5">
      <c r="A3728" s="151">
        <v>3727</v>
      </c>
      <c r="B3728" s="152" t="s">
        <v>12409</v>
      </c>
      <c r="C3728" s="156" t="s">
        <v>16629</v>
      </c>
      <c r="D3728" s="154">
        <v>10</v>
      </c>
      <c r="E3728" s="155">
        <f t="shared" si="135"/>
        <v>1000</v>
      </c>
    </row>
    <row r="3729" ht="16.5" spans="1:5">
      <c r="A3729" s="151">
        <v>3728</v>
      </c>
      <c r="B3729" s="152" t="s">
        <v>12412</v>
      </c>
      <c r="C3729" s="153" t="s">
        <v>16629</v>
      </c>
      <c r="D3729" s="154">
        <v>10</v>
      </c>
      <c r="E3729" s="155">
        <f t="shared" si="135"/>
        <v>1000</v>
      </c>
    </row>
    <row r="3730" ht="16.5" spans="1:5">
      <c r="A3730" s="151">
        <v>3729</v>
      </c>
      <c r="B3730" s="152" t="s">
        <v>12415</v>
      </c>
      <c r="C3730" s="156" t="s">
        <v>16629</v>
      </c>
      <c r="D3730" s="157">
        <v>10</v>
      </c>
      <c r="E3730" s="155">
        <f t="shared" si="135"/>
        <v>1000</v>
      </c>
    </row>
    <row r="3731" ht="16.5" spans="1:5">
      <c r="A3731" s="151">
        <v>3730</v>
      </c>
      <c r="B3731" s="152" t="s">
        <v>12418</v>
      </c>
      <c r="C3731" s="156" t="s">
        <v>16629</v>
      </c>
      <c r="D3731" s="159">
        <v>10</v>
      </c>
      <c r="E3731" s="155">
        <f t="shared" si="135"/>
        <v>1000</v>
      </c>
    </row>
    <row r="3732" ht="16.5" spans="1:5">
      <c r="A3732" s="151">
        <v>3731</v>
      </c>
      <c r="B3732" s="152" t="s">
        <v>12421</v>
      </c>
      <c r="C3732" s="153" t="s">
        <v>16629</v>
      </c>
      <c r="D3732" s="158">
        <v>10</v>
      </c>
      <c r="E3732" s="155">
        <f t="shared" si="135"/>
        <v>1000</v>
      </c>
    </row>
    <row r="3733" ht="16.5" spans="1:5">
      <c r="A3733" s="151">
        <v>3732</v>
      </c>
      <c r="B3733" s="152" t="s">
        <v>12424</v>
      </c>
      <c r="C3733" s="162" t="s">
        <v>16631</v>
      </c>
      <c r="D3733" s="163">
        <v>1000</v>
      </c>
      <c r="E3733" s="163">
        <f>D3733*100</f>
        <v>100000</v>
      </c>
    </row>
    <row r="3734" ht="16.5" spans="1:5">
      <c r="A3734" s="151">
        <v>3733</v>
      </c>
      <c r="B3734" s="152" t="s">
        <v>12429</v>
      </c>
      <c r="C3734" s="153" t="s">
        <v>16629</v>
      </c>
      <c r="D3734" s="154">
        <v>10</v>
      </c>
      <c r="E3734" s="155">
        <f t="shared" ref="E3734:E3755" si="136">+D3734*100</f>
        <v>1000</v>
      </c>
    </row>
    <row r="3735" ht="16.5" spans="1:5">
      <c r="A3735" s="151">
        <v>3734</v>
      </c>
      <c r="B3735" s="152" t="s">
        <v>12433</v>
      </c>
      <c r="C3735" s="153" t="s">
        <v>16629</v>
      </c>
      <c r="D3735" s="154">
        <v>10</v>
      </c>
      <c r="E3735" s="155">
        <f t="shared" si="136"/>
        <v>1000</v>
      </c>
    </row>
    <row r="3736" ht="16.5" spans="1:5">
      <c r="A3736" s="151">
        <v>3735</v>
      </c>
      <c r="B3736" s="152" t="s">
        <v>12436</v>
      </c>
      <c r="C3736" s="153" t="s">
        <v>16629</v>
      </c>
      <c r="D3736" s="154">
        <v>10</v>
      </c>
      <c r="E3736" s="155">
        <f t="shared" si="136"/>
        <v>1000</v>
      </c>
    </row>
    <row r="3737" ht="16.5" spans="1:5">
      <c r="A3737" s="151">
        <v>3736</v>
      </c>
      <c r="B3737" s="152" t="s">
        <v>12439</v>
      </c>
      <c r="C3737" s="153" t="s">
        <v>16629</v>
      </c>
      <c r="D3737" s="154">
        <v>10</v>
      </c>
      <c r="E3737" s="155">
        <f t="shared" si="136"/>
        <v>1000</v>
      </c>
    </row>
    <row r="3738" ht="16.5" spans="1:5">
      <c r="A3738" s="151">
        <v>3737</v>
      </c>
      <c r="B3738" s="152" t="s">
        <v>12442</v>
      </c>
      <c r="C3738" s="153" t="s">
        <v>16629</v>
      </c>
      <c r="D3738" s="154">
        <v>10</v>
      </c>
      <c r="E3738" s="155">
        <f t="shared" si="136"/>
        <v>1000</v>
      </c>
    </row>
    <row r="3739" ht="16.5" spans="1:5">
      <c r="A3739" s="151">
        <v>3738</v>
      </c>
      <c r="B3739" s="152" t="s">
        <v>12445</v>
      </c>
      <c r="C3739" s="156" t="s">
        <v>16629</v>
      </c>
      <c r="D3739" s="159">
        <v>10</v>
      </c>
      <c r="E3739" s="155">
        <f t="shared" si="136"/>
        <v>1000</v>
      </c>
    </row>
    <row r="3740" ht="16.5" spans="1:5">
      <c r="A3740" s="151">
        <v>3739</v>
      </c>
      <c r="B3740" s="152" t="s">
        <v>12448</v>
      </c>
      <c r="C3740" s="156" t="s">
        <v>16629</v>
      </c>
      <c r="D3740" s="157">
        <v>10</v>
      </c>
      <c r="E3740" s="155">
        <f t="shared" si="136"/>
        <v>1000</v>
      </c>
    </row>
    <row r="3741" ht="16.5" spans="1:5">
      <c r="A3741" s="151">
        <v>3740</v>
      </c>
      <c r="B3741" s="152" t="s">
        <v>12451</v>
      </c>
      <c r="C3741" s="153" t="s">
        <v>16629</v>
      </c>
      <c r="D3741" s="154">
        <v>10</v>
      </c>
      <c r="E3741" s="155">
        <f t="shared" si="136"/>
        <v>1000</v>
      </c>
    </row>
    <row r="3742" ht="16.5" spans="1:5">
      <c r="A3742" s="151">
        <v>3741</v>
      </c>
      <c r="B3742" s="152" t="s">
        <v>12454</v>
      </c>
      <c r="C3742" s="156" t="s">
        <v>16629</v>
      </c>
      <c r="D3742" s="157">
        <v>10</v>
      </c>
      <c r="E3742" s="155">
        <f t="shared" si="136"/>
        <v>1000</v>
      </c>
    </row>
    <row r="3743" ht="16.5" spans="1:5">
      <c r="A3743" s="151">
        <v>3742</v>
      </c>
      <c r="B3743" s="152" t="s">
        <v>12457</v>
      </c>
      <c r="C3743" s="153" t="s">
        <v>16629</v>
      </c>
      <c r="D3743" s="154">
        <v>10</v>
      </c>
      <c r="E3743" s="155">
        <f t="shared" si="136"/>
        <v>1000</v>
      </c>
    </row>
    <row r="3744" ht="16.5" spans="1:5">
      <c r="A3744" s="151">
        <v>3743</v>
      </c>
      <c r="B3744" s="152" t="s">
        <v>12461</v>
      </c>
      <c r="C3744" s="153" t="s">
        <v>16629</v>
      </c>
      <c r="D3744" s="158">
        <v>10</v>
      </c>
      <c r="E3744" s="155">
        <f t="shared" si="136"/>
        <v>1000</v>
      </c>
    </row>
    <row r="3745" ht="16.5" spans="1:5">
      <c r="A3745" s="151">
        <v>3744</v>
      </c>
      <c r="B3745" s="152" t="s">
        <v>12465</v>
      </c>
      <c r="C3745" s="156" t="s">
        <v>16629</v>
      </c>
      <c r="D3745" s="159">
        <v>10</v>
      </c>
      <c r="E3745" s="155">
        <f t="shared" si="136"/>
        <v>1000</v>
      </c>
    </row>
    <row r="3746" ht="16.5" spans="1:5">
      <c r="A3746" s="151">
        <v>3745</v>
      </c>
      <c r="B3746" s="152" t="s">
        <v>12468</v>
      </c>
      <c r="C3746" s="156" t="s">
        <v>16629</v>
      </c>
      <c r="D3746" s="159">
        <v>10</v>
      </c>
      <c r="E3746" s="155">
        <f t="shared" si="136"/>
        <v>1000</v>
      </c>
    </row>
    <row r="3747" ht="16.5" spans="1:5">
      <c r="A3747" s="151">
        <v>3746</v>
      </c>
      <c r="B3747" s="152" t="s">
        <v>12471</v>
      </c>
      <c r="C3747" s="156" t="s">
        <v>16629</v>
      </c>
      <c r="D3747" s="159">
        <v>10</v>
      </c>
      <c r="E3747" s="155">
        <f t="shared" si="136"/>
        <v>1000</v>
      </c>
    </row>
    <row r="3748" ht="16.5" spans="1:5">
      <c r="A3748" s="151">
        <v>3747</v>
      </c>
      <c r="B3748" s="152" t="s">
        <v>12474</v>
      </c>
      <c r="C3748" s="156" t="s">
        <v>16629</v>
      </c>
      <c r="D3748" s="159">
        <v>10</v>
      </c>
      <c r="E3748" s="155">
        <f t="shared" si="136"/>
        <v>1000</v>
      </c>
    </row>
    <row r="3749" ht="16.5" spans="1:5">
      <c r="A3749" s="151">
        <v>3748</v>
      </c>
      <c r="B3749" s="152" t="s">
        <v>12477</v>
      </c>
      <c r="C3749" s="153" t="s">
        <v>16629</v>
      </c>
      <c r="D3749" s="154">
        <v>10</v>
      </c>
      <c r="E3749" s="155">
        <f t="shared" si="136"/>
        <v>1000</v>
      </c>
    </row>
    <row r="3750" ht="16.5" spans="1:5">
      <c r="A3750" s="151">
        <v>3749</v>
      </c>
      <c r="B3750" s="152" t="s">
        <v>12480</v>
      </c>
      <c r="C3750" s="153" t="s">
        <v>16629</v>
      </c>
      <c r="D3750" s="154">
        <v>10</v>
      </c>
      <c r="E3750" s="155">
        <f t="shared" si="136"/>
        <v>1000</v>
      </c>
    </row>
    <row r="3751" ht="16.5" spans="1:5">
      <c r="A3751" s="151">
        <v>3750</v>
      </c>
      <c r="B3751" s="152" t="s">
        <v>12483</v>
      </c>
      <c r="C3751" s="156" t="s">
        <v>16629</v>
      </c>
      <c r="D3751" s="157">
        <v>10</v>
      </c>
      <c r="E3751" s="155">
        <f t="shared" si="136"/>
        <v>1000</v>
      </c>
    </row>
    <row r="3752" ht="16.5" spans="1:5">
      <c r="A3752" s="151">
        <v>3751</v>
      </c>
      <c r="B3752" s="152" t="s">
        <v>12486</v>
      </c>
      <c r="C3752" s="153" t="s">
        <v>16629</v>
      </c>
      <c r="D3752" s="154">
        <v>10</v>
      </c>
      <c r="E3752" s="155">
        <f t="shared" si="136"/>
        <v>1000</v>
      </c>
    </row>
    <row r="3753" ht="16.5" spans="1:5">
      <c r="A3753" s="151">
        <v>3752</v>
      </c>
      <c r="B3753" s="152" t="s">
        <v>12489</v>
      </c>
      <c r="C3753" s="153" t="s">
        <v>16629</v>
      </c>
      <c r="D3753" s="158">
        <v>10</v>
      </c>
      <c r="E3753" s="155">
        <f t="shared" si="136"/>
        <v>1000</v>
      </c>
    </row>
    <row r="3754" ht="16.5" spans="1:5">
      <c r="A3754" s="151">
        <v>3753</v>
      </c>
      <c r="B3754" s="152" t="s">
        <v>12492</v>
      </c>
      <c r="C3754" s="153" t="s">
        <v>16629</v>
      </c>
      <c r="D3754" s="154">
        <v>10</v>
      </c>
      <c r="E3754" s="155">
        <f t="shared" si="136"/>
        <v>1000</v>
      </c>
    </row>
    <row r="3755" ht="16.5" spans="1:5">
      <c r="A3755" s="151">
        <v>3754</v>
      </c>
      <c r="B3755" s="152" t="s">
        <v>12495</v>
      </c>
      <c r="C3755" s="156" t="s">
        <v>16629</v>
      </c>
      <c r="D3755" s="154">
        <v>10</v>
      </c>
      <c r="E3755" s="155">
        <f t="shared" si="136"/>
        <v>1000</v>
      </c>
    </row>
    <row r="3756" ht="16.5" spans="1:5">
      <c r="A3756" s="151">
        <v>3755</v>
      </c>
      <c r="B3756" s="152" t="s">
        <v>12499</v>
      </c>
      <c r="C3756" s="162" t="s">
        <v>16631</v>
      </c>
      <c r="D3756" s="163">
        <v>10000</v>
      </c>
      <c r="E3756" s="163">
        <f>D3756*100</f>
        <v>1000000</v>
      </c>
    </row>
    <row r="3757" ht="16.5" spans="1:5">
      <c r="A3757" s="151">
        <v>3756</v>
      </c>
      <c r="B3757" s="152" t="s">
        <v>12503</v>
      </c>
      <c r="C3757" s="160" t="s">
        <v>16630</v>
      </c>
      <c r="D3757" s="160">
        <v>50</v>
      </c>
      <c r="E3757" s="161">
        <f>SUM(D3757*100)</f>
        <v>5000</v>
      </c>
    </row>
    <row r="3758" ht="16.5" spans="1:5">
      <c r="A3758" s="151">
        <v>3757</v>
      </c>
      <c r="B3758" s="152" t="s">
        <v>12507</v>
      </c>
      <c r="C3758" s="162" t="s">
        <v>16631</v>
      </c>
      <c r="D3758" s="163">
        <v>1000</v>
      </c>
      <c r="E3758" s="163">
        <f>D3758*100</f>
        <v>100000</v>
      </c>
    </row>
    <row r="3759" ht="16.5" spans="1:5">
      <c r="A3759" s="151">
        <v>3758</v>
      </c>
      <c r="B3759" s="152" t="s">
        <v>12511</v>
      </c>
      <c r="C3759" s="153" t="s">
        <v>16629</v>
      </c>
      <c r="D3759" s="154">
        <v>10</v>
      </c>
      <c r="E3759" s="155">
        <f>+D3759*100</f>
        <v>1000</v>
      </c>
    </row>
    <row r="3760" ht="16.5" spans="1:5">
      <c r="A3760" s="151">
        <v>3759</v>
      </c>
      <c r="B3760" s="152" t="s">
        <v>12515</v>
      </c>
      <c r="C3760" s="156" t="s">
        <v>16629</v>
      </c>
      <c r="D3760" s="159">
        <v>10</v>
      </c>
      <c r="E3760" s="155">
        <f>+D3760*100</f>
        <v>1000</v>
      </c>
    </row>
    <row r="3761" ht="16.5" spans="1:5">
      <c r="A3761" s="151">
        <v>3760</v>
      </c>
      <c r="B3761" s="152" t="s">
        <v>12518</v>
      </c>
      <c r="C3761" s="156" t="s">
        <v>16629</v>
      </c>
      <c r="D3761" s="159">
        <v>10</v>
      </c>
      <c r="E3761" s="155">
        <f>+D3761*100</f>
        <v>1000</v>
      </c>
    </row>
    <row r="3762" ht="16.5" spans="1:5">
      <c r="A3762" s="151">
        <v>3761</v>
      </c>
      <c r="B3762" s="152" t="s">
        <v>12521</v>
      </c>
      <c r="C3762" s="156" t="s">
        <v>16629</v>
      </c>
      <c r="D3762" s="159">
        <v>10</v>
      </c>
      <c r="E3762" s="155">
        <f>+D3762*100</f>
        <v>1000</v>
      </c>
    </row>
    <row r="3763" ht="16.5" spans="1:5">
      <c r="A3763" s="151">
        <v>3762</v>
      </c>
      <c r="B3763" s="152" t="s">
        <v>12525</v>
      </c>
      <c r="C3763" s="160" t="s">
        <v>16630</v>
      </c>
      <c r="D3763" s="160">
        <v>480</v>
      </c>
      <c r="E3763" s="161">
        <f>SUM(D3763*100)</f>
        <v>48000</v>
      </c>
    </row>
    <row r="3764" ht="16.5" spans="1:5">
      <c r="A3764" s="151">
        <v>3763</v>
      </c>
      <c r="B3764" s="152" t="s">
        <v>12530</v>
      </c>
      <c r="C3764" s="153" t="s">
        <v>16629</v>
      </c>
      <c r="D3764" s="158">
        <v>10</v>
      </c>
      <c r="E3764" s="155">
        <f>+D3764*100</f>
        <v>1000</v>
      </c>
    </row>
    <row r="3765" ht="16.5" spans="1:5">
      <c r="A3765" s="151">
        <v>3764</v>
      </c>
      <c r="B3765" s="152" t="s">
        <v>12533</v>
      </c>
      <c r="C3765" s="160" t="s">
        <v>16630</v>
      </c>
      <c r="D3765" s="160">
        <v>50</v>
      </c>
      <c r="E3765" s="161">
        <f>SUM(D3765*100)</f>
        <v>5000</v>
      </c>
    </row>
    <row r="3766" ht="16.5" spans="1:5">
      <c r="A3766" s="151">
        <v>3765</v>
      </c>
      <c r="B3766" s="152" t="s">
        <v>12536</v>
      </c>
      <c r="C3766" s="156" t="s">
        <v>16629</v>
      </c>
      <c r="D3766" s="159">
        <v>10</v>
      </c>
      <c r="E3766" s="155">
        <f t="shared" ref="E3766:E3772" si="137">+D3766*100</f>
        <v>1000</v>
      </c>
    </row>
    <row r="3767" ht="16.5" spans="1:5">
      <c r="A3767" s="151">
        <v>3766</v>
      </c>
      <c r="B3767" s="152" t="s">
        <v>12539</v>
      </c>
      <c r="C3767" s="156" t="s">
        <v>16629</v>
      </c>
      <c r="D3767" s="159">
        <v>10</v>
      </c>
      <c r="E3767" s="155">
        <f t="shared" si="137"/>
        <v>1000</v>
      </c>
    </row>
    <row r="3768" ht="16.5" spans="1:5">
      <c r="A3768" s="151">
        <v>3767</v>
      </c>
      <c r="B3768" s="152" t="s">
        <v>12542</v>
      </c>
      <c r="C3768" s="153" t="s">
        <v>16629</v>
      </c>
      <c r="D3768" s="154">
        <v>10</v>
      </c>
      <c r="E3768" s="155">
        <f t="shared" si="137"/>
        <v>1000</v>
      </c>
    </row>
    <row r="3769" ht="16.5" spans="1:5">
      <c r="A3769" s="151">
        <v>3768</v>
      </c>
      <c r="B3769" s="152" t="s">
        <v>12546</v>
      </c>
      <c r="C3769" s="153" t="s">
        <v>16629</v>
      </c>
      <c r="D3769" s="158">
        <v>10</v>
      </c>
      <c r="E3769" s="155">
        <f t="shared" si="137"/>
        <v>1000</v>
      </c>
    </row>
    <row r="3770" ht="16.5" spans="1:5">
      <c r="A3770" s="151">
        <v>3769</v>
      </c>
      <c r="B3770" s="152" t="s">
        <v>12549</v>
      </c>
      <c r="C3770" s="153" t="s">
        <v>16629</v>
      </c>
      <c r="D3770" s="158">
        <v>10</v>
      </c>
      <c r="E3770" s="155">
        <f t="shared" si="137"/>
        <v>1000</v>
      </c>
    </row>
    <row r="3771" ht="16.5" spans="1:5">
      <c r="A3771" s="151">
        <v>3770</v>
      </c>
      <c r="B3771" s="152" t="s">
        <v>12552</v>
      </c>
      <c r="C3771" s="153" t="s">
        <v>16629</v>
      </c>
      <c r="D3771" s="154">
        <v>10</v>
      </c>
      <c r="E3771" s="155">
        <f t="shared" si="137"/>
        <v>1000</v>
      </c>
    </row>
    <row r="3772" ht="16.5" spans="1:5">
      <c r="A3772" s="151">
        <v>3771</v>
      </c>
      <c r="B3772" s="152" t="s">
        <v>12555</v>
      </c>
      <c r="C3772" s="153" t="s">
        <v>16629</v>
      </c>
      <c r="D3772" s="158">
        <v>10</v>
      </c>
      <c r="E3772" s="155">
        <f t="shared" si="137"/>
        <v>1000</v>
      </c>
    </row>
    <row r="3773" ht="16.5" spans="1:5">
      <c r="A3773" s="151">
        <v>3772</v>
      </c>
      <c r="B3773" s="152" t="s">
        <v>12558</v>
      </c>
      <c r="C3773" s="160" t="s">
        <v>16630</v>
      </c>
      <c r="D3773" s="160">
        <v>100</v>
      </c>
      <c r="E3773" s="161">
        <f>SUM(D3773*100)</f>
        <v>10000</v>
      </c>
    </row>
    <row r="3774" ht="16.5" spans="1:5">
      <c r="A3774" s="151">
        <v>3773</v>
      </c>
      <c r="B3774" s="152" t="s">
        <v>12561</v>
      </c>
      <c r="C3774" s="160" t="s">
        <v>16630</v>
      </c>
      <c r="D3774" s="160">
        <v>20</v>
      </c>
      <c r="E3774" s="161">
        <f>SUM(D3774*100)</f>
        <v>2000</v>
      </c>
    </row>
    <row r="3775" ht="16.5" spans="1:5">
      <c r="A3775" s="151">
        <v>3774</v>
      </c>
      <c r="B3775" s="152" t="s">
        <v>12565</v>
      </c>
      <c r="C3775" s="160" t="s">
        <v>16630</v>
      </c>
      <c r="D3775" s="160">
        <v>10</v>
      </c>
      <c r="E3775" s="161">
        <f>SUM(D3775*100)</f>
        <v>1000</v>
      </c>
    </row>
    <row r="3776" ht="16.5" spans="1:5">
      <c r="A3776" s="151">
        <v>3775</v>
      </c>
      <c r="B3776" s="152" t="s">
        <v>12569</v>
      </c>
      <c r="C3776" s="160" t="s">
        <v>16630</v>
      </c>
      <c r="D3776" s="160">
        <v>1000</v>
      </c>
      <c r="E3776" s="161">
        <f>SUM(D3776*100)</f>
        <v>100000</v>
      </c>
    </row>
    <row r="3777" ht="16.5" spans="1:5">
      <c r="A3777" s="151">
        <v>3776</v>
      </c>
      <c r="B3777" s="152" t="s">
        <v>12572</v>
      </c>
      <c r="C3777" s="156" t="s">
        <v>16629</v>
      </c>
      <c r="D3777" s="159">
        <v>10</v>
      </c>
      <c r="E3777" s="155">
        <f>+D3777*100</f>
        <v>1000</v>
      </c>
    </row>
    <row r="3778" ht="16.5" spans="1:5">
      <c r="A3778" s="151">
        <v>3777</v>
      </c>
      <c r="B3778" s="152" t="s">
        <v>12575</v>
      </c>
      <c r="C3778" s="162" t="s">
        <v>16633</v>
      </c>
      <c r="D3778" s="171">
        <f>G3778/100</f>
        <v>0</v>
      </c>
      <c r="E3778" s="171">
        <f>G3778</f>
        <v>0</v>
      </c>
    </row>
    <row r="3779" ht="16.5" spans="1:5">
      <c r="A3779" s="151">
        <v>3778</v>
      </c>
      <c r="B3779" s="152" t="s">
        <v>12580</v>
      </c>
      <c r="C3779" s="153" t="s">
        <v>16629</v>
      </c>
      <c r="D3779" s="158">
        <v>10</v>
      </c>
      <c r="E3779" s="155">
        <f>+D3779*100</f>
        <v>1000</v>
      </c>
    </row>
    <row r="3780" ht="16.5" spans="1:5">
      <c r="A3780" s="151">
        <v>3779</v>
      </c>
      <c r="B3780" s="152" t="s">
        <v>12583</v>
      </c>
      <c r="C3780" s="153" t="s">
        <v>16629</v>
      </c>
      <c r="D3780" s="154">
        <v>10</v>
      </c>
      <c r="E3780" s="155">
        <f>+D3780*100</f>
        <v>1000</v>
      </c>
    </row>
    <row r="3781" ht="16.5" spans="1:5">
      <c r="A3781" s="151">
        <v>3780</v>
      </c>
      <c r="B3781" s="152" t="s">
        <v>12587</v>
      </c>
      <c r="C3781" s="162" t="s">
        <v>16633</v>
      </c>
      <c r="D3781" s="171">
        <f>G3781/100</f>
        <v>0</v>
      </c>
      <c r="E3781" s="171">
        <f>G3781</f>
        <v>0</v>
      </c>
    </row>
    <row r="3782" ht="16.5" spans="1:5">
      <c r="A3782" s="151">
        <v>3781</v>
      </c>
      <c r="B3782" s="152" t="s">
        <v>12592</v>
      </c>
      <c r="C3782" s="160" t="s">
        <v>16630</v>
      </c>
      <c r="D3782" s="160">
        <v>100</v>
      </c>
      <c r="E3782" s="161">
        <f>SUM(D3782*100)</f>
        <v>10000</v>
      </c>
    </row>
    <row r="3783" ht="16.5" spans="1:5">
      <c r="A3783" s="151">
        <v>3782</v>
      </c>
      <c r="B3783" s="152" t="s">
        <v>12596</v>
      </c>
      <c r="C3783" s="160" t="s">
        <v>16630</v>
      </c>
      <c r="D3783" s="160">
        <v>100</v>
      </c>
      <c r="E3783" s="161">
        <f>SUM(D3783*100)</f>
        <v>10000</v>
      </c>
    </row>
    <row r="3784" ht="16.5" spans="1:5">
      <c r="A3784" s="151">
        <v>3783</v>
      </c>
      <c r="B3784" s="152" t="s">
        <v>12600</v>
      </c>
      <c r="C3784" s="153" t="s">
        <v>16629</v>
      </c>
      <c r="D3784" s="158">
        <v>10</v>
      </c>
      <c r="E3784" s="155">
        <f>+D3784*100</f>
        <v>1000</v>
      </c>
    </row>
    <row r="3785" ht="16.5" spans="1:5">
      <c r="A3785" s="151">
        <v>3784</v>
      </c>
      <c r="B3785" s="152" t="s">
        <v>12604</v>
      </c>
      <c r="C3785" s="156" t="s">
        <v>16629</v>
      </c>
      <c r="D3785" s="157">
        <v>10</v>
      </c>
      <c r="E3785" s="155">
        <f>+D3785*100</f>
        <v>1000</v>
      </c>
    </row>
    <row r="3786" ht="16.5" spans="1:5">
      <c r="A3786" s="151">
        <v>3785</v>
      </c>
      <c r="B3786" s="152" t="s">
        <v>12607</v>
      </c>
      <c r="C3786" s="156" t="s">
        <v>16629</v>
      </c>
      <c r="D3786" s="159">
        <v>10</v>
      </c>
      <c r="E3786" s="155">
        <f>+D3786*100</f>
        <v>1000</v>
      </c>
    </row>
    <row r="3787" ht="16.5" spans="1:5">
      <c r="A3787" s="151">
        <v>3786</v>
      </c>
      <c r="B3787" s="152" t="s">
        <v>12611</v>
      </c>
      <c r="C3787" s="162" t="s">
        <v>16631</v>
      </c>
      <c r="D3787" s="163">
        <v>1000</v>
      </c>
      <c r="E3787" s="163">
        <f>D3787*100</f>
        <v>100000</v>
      </c>
    </row>
    <row r="3788" ht="16.5" spans="1:5">
      <c r="A3788" s="151">
        <v>3787</v>
      </c>
      <c r="B3788" s="152" t="s">
        <v>12615</v>
      </c>
      <c r="C3788" s="160" t="s">
        <v>16630</v>
      </c>
      <c r="D3788" s="160">
        <v>10</v>
      </c>
      <c r="E3788" s="161">
        <f>SUM(D3788*100)</f>
        <v>1000</v>
      </c>
    </row>
    <row r="3789" ht="16.5" spans="1:5">
      <c r="A3789" s="151">
        <v>3788</v>
      </c>
      <c r="B3789" s="152" t="s">
        <v>12619</v>
      </c>
      <c r="C3789" s="162" t="s">
        <v>16631</v>
      </c>
      <c r="D3789" s="169">
        <v>1000</v>
      </c>
      <c r="E3789" s="170">
        <f>D3789*100</f>
        <v>100000</v>
      </c>
    </row>
    <row r="3790" ht="16.5" spans="1:5">
      <c r="A3790" s="151">
        <v>3789</v>
      </c>
      <c r="B3790" s="152" t="s">
        <v>12619</v>
      </c>
      <c r="C3790" s="160" t="s">
        <v>16630</v>
      </c>
      <c r="D3790" s="160">
        <v>2000</v>
      </c>
      <c r="E3790" s="161">
        <f>SUM(D3790*100)</f>
        <v>200000</v>
      </c>
    </row>
    <row r="3791" ht="16.5" spans="1:5">
      <c r="A3791" s="151">
        <v>3790</v>
      </c>
      <c r="B3791" s="152" t="s">
        <v>12619</v>
      </c>
      <c r="C3791" s="162" t="s">
        <v>16633</v>
      </c>
      <c r="D3791" s="171">
        <f>G3791/100</f>
        <v>0</v>
      </c>
      <c r="E3791" s="171">
        <f>G3791</f>
        <v>0</v>
      </c>
    </row>
    <row r="3792" ht="16.5" spans="1:5">
      <c r="A3792" s="151">
        <v>3791</v>
      </c>
      <c r="B3792" s="152" t="s">
        <v>12624</v>
      </c>
      <c r="C3792" s="160" t="s">
        <v>16630</v>
      </c>
      <c r="D3792" s="160">
        <v>100</v>
      </c>
      <c r="E3792" s="161">
        <f>SUM(D3792*100)</f>
        <v>10000</v>
      </c>
    </row>
    <row r="3793" ht="16.5" spans="1:5">
      <c r="A3793" s="151">
        <v>3792</v>
      </c>
      <c r="B3793" s="152" t="s">
        <v>12628</v>
      </c>
      <c r="C3793" s="160" t="s">
        <v>16630</v>
      </c>
      <c r="D3793" s="160">
        <v>500</v>
      </c>
      <c r="E3793" s="161">
        <f>SUM(D3793*100)</f>
        <v>50000</v>
      </c>
    </row>
    <row r="3794" ht="16.5" spans="1:5">
      <c r="A3794" s="151">
        <v>3793</v>
      </c>
      <c r="B3794" s="152" t="s">
        <v>12632</v>
      </c>
      <c r="C3794" s="160" t="s">
        <v>16630</v>
      </c>
      <c r="D3794" s="41">
        <v>100</v>
      </c>
      <c r="E3794" s="161">
        <f>SUM(D3794*100)</f>
        <v>10000</v>
      </c>
    </row>
    <row r="3795" ht="16.5" spans="1:5">
      <c r="A3795" s="151">
        <v>3794</v>
      </c>
      <c r="B3795" s="152" t="s">
        <v>12635</v>
      </c>
      <c r="C3795" s="160" t="s">
        <v>16630</v>
      </c>
      <c r="D3795" s="160">
        <v>100</v>
      </c>
      <c r="E3795" s="161">
        <f>SUM(D3795*100)</f>
        <v>10000</v>
      </c>
    </row>
    <row r="3796" ht="16.5" spans="1:5">
      <c r="A3796" s="151">
        <v>3795</v>
      </c>
      <c r="B3796" s="152" t="s">
        <v>12639</v>
      </c>
      <c r="C3796" s="156" t="s">
        <v>16629</v>
      </c>
      <c r="D3796" s="157">
        <v>10</v>
      </c>
      <c r="E3796" s="155">
        <f>+D3796*100</f>
        <v>1000</v>
      </c>
    </row>
    <row r="3797" ht="16.5" spans="1:5">
      <c r="A3797" s="151">
        <v>3796</v>
      </c>
      <c r="B3797" s="152" t="s">
        <v>12642</v>
      </c>
      <c r="C3797" s="153" t="s">
        <v>16629</v>
      </c>
      <c r="D3797" s="158">
        <v>10</v>
      </c>
      <c r="E3797" s="155">
        <f>+D3797*100</f>
        <v>1000</v>
      </c>
    </row>
    <row r="3798" ht="16.5" spans="1:5">
      <c r="A3798" s="151">
        <v>3797</v>
      </c>
      <c r="B3798" s="152" t="s">
        <v>12646</v>
      </c>
      <c r="C3798" s="162" t="s">
        <v>16631</v>
      </c>
      <c r="D3798" s="163">
        <v>1000</v>
      </c>
      <c r="E3798" s="163">
        <f>D3798*100</f>
        <v>100000</v>
      </c>
    </row>
    <row r="3799" ht="16.5" spans="1:5">
      <c r="A3799" s="151">
        <v>3798</v>
      </c>
      <c r="B3799" s="152" t="s">
        <v>12646</v>
      </c>
      <c r="C3799" s="162" t="s">
        <v>16633</v>
      </c>
      <c r="D3799" s="171">
        <f>G3799/100</f>
        <v>0</v>
      </c>
      <c r="E3799" s="171">
        <f>G3799</f>
        <v>0</v>
      </c>
    </row>
    <row r="3800" ht="16.5" spans="1:5">
      <c r="A3800" s="151">
        <v>3799</v>
      </c>
      <c r="B3800" s="152" t="s">
        <v>12651</v>
      </c>
      <c r="C3800" s="156" t="s">
        <v>16629</v>
      </c>
      <c r="D3800" s="159">
        <v>10</v>
      </c>
      <c r="E3800" s="155">
        <f>+D3800*100</f>
        <v>1000</v>
      </c>
    </row>
    <row r="3801" ht="16.5" spans="1:5">
      <c r="A3801" s="151">
        <v>3800</v>
      </c>
      <c r="B3801" s="152" t="s">
        <v>12655</v>
      </c>
      <c r="C3801" s="160" t="s">
        <v>16630</v>
      </c>
      <c r="D3801" s="41">
        <v>100</v>
      </c>
      <c r="E3801" s="161">
        <f>SUM(D3801*100)</f>
        <v>10000</v>
      </c>
    </row>
    <row r="3802" ht="16.5" spans="1:5">
      <c r="A3802" s="151">
        <v>3801</v>
      </c>
      <c r="B3802" s="152" t="s">
        <v>12658</v>
      </c>
      <c r="C3802" s="156" t="s">
        <v>16629</v>
      </c>
      <c r="D3802" s="159">
        <v>10</v>
      </c>
      <c r="E3802" s="155">
        <f>+D3802*100</f>
        <v>1000</v>
      </c>
    </row>
    <row r="3803" ht="16.5" spans="1:5">
      <c r="A3803" s="151">
        <v>3802</v>
      </c>
      <c r="B3803" s="152" t="s">
        <v>12662</v>
      </c>
      <c r="C3803" s="156" t="s">
        <v>16629</v>
      </c>
      <c r="D3803" s="159">
        <v>10</v>
      </c>
      <c r="E3803" s="155">
        <f>+D3803*100</f>
        <v>1000</v>
      </c>
    </row>
    <row r="3804" ht="16.5" spans="1:5">
      <c r="A3804" s="151">
        <v>3803</v>
      </c>
      <c r="B3804" s="152" t="s">
        <v>12666</v>
      </c>
      <c r="C3804" s="156" t="s">
        <v>16629</v>
      </c>
      <c r="D3804" s="159">
        <v>10</v>
      </c>
      <c r="E3804" s="155">
        <f>+D3804*100</f>
        <v>1000</v>
      </c>
    </row>
    <row r="3805" ht="16.5" spans="1:5">
      <c r="A3805" s="151">
        <v>3804</v>
      </c>
      <c r="B3805" s="152" t="s">
        <v>12669</v>
      </c>
      <c r="C3805" s="160" t="s">
        <v>16630</v>
      </c>
      <c r="D3805" s="160">
        <v>500</v>
      </c>
      <c r="E3805" s="161">
        <f t="shared" ref="E3805:E3813" si="138">SUM(D3805*100)</f>
        <v>50000</v>
      </c>
    </row>
    <row r="3806" ht="16.5" spans="1:5">
      <c r="A3806" s="151">
        <v>3805</v>
      </c>
      <c r="B3806" s="152" t="s">
        <v>12673</v>
      </c>
      <c r="C3806" s="160" t="s">
        <v>16630</v>
      </c>
      <c r="D3806" s="160">
        <v>300</v>
      </c>
      <c r="E3806" s="161">
        <f t="shared" si="138"/>
        <v>30000</v>
      </c>
    </row>
    <row r="3807" ht="16.5" spans="1:5">
      <c r="A3807" s="151">
        <v>3806</v>
      </c>
      <c r="B3807" s="152" t="s">
        <v>12676</v>
      </c>
      <c r="C3807" s="160" t="s">
        <v>16630</v>
      </c>
      <c r="D3807" s="160">
        <v>10</v>
      </c>
      <c r="E3807" s="161">
        <f t="shared" si="138"/>
        <v>1000</v>
      </c>
    </row>
    <row r="3808" ht="16.5" spans="1:5">
      <c r="A3808" s="151">
        <v>3807</v>
      </c>
      <c r="B3808" s="152" t="s">
        <v>12679</v>
      </c>
      <c r="C3808" s="160" t="s">
        <v>16630</v>
      </c>
      <c r="D3808" s="160">
        <v>50</v>
      </c>
      <c r="E3808" s="161">
        <f t="shared" si="138"/>
        <v>5000</v>
      </c>
    </row>
    <row r="3809" ht="16.5" spans="1:5">
      <c r="A3809" s="151">
        <v>3808</v>
      </c>
      <c r="B3809" s="152" t="s">
        <v>12683</v>
      </c>
      <c r="C3809" s="160" t="s">
        <v>16630</v>
      </c>
      <c r="D3809" s="160">
        <v>10</v>
      </c>
      <c r="E3809" s="161">
        <f t="shared" si="138"/>
        <v>1000</v>
      </c>
    </row>
    <row r="3810" ht="16.5" spans="1:5">
      <c r="A3810" s="151">
        <v>3809</v>
      </c>
      <c r="B3810" s="152" t="s">
        <v>12687</v>
      </c>
      <c r="C3810" s="160" t="s">
        <v>16630</v>
      </c>
      <c r="D3810" s="160">
        <v>10</v>
      </c>
      <c r="E3810" s="161">
        <f t="shared" si="138"/>
        <v>1000</v>
      </c>
    </row>
    <row r="3811" ht="16.5" spans="1:5">
      <c r="A3811" s="151">
        <v>3810</v>
      </c>
      <c r="B3811" s="152" t="s">
        <v>12691</v>
      </c>
      <c r="C3811" s="160" t="s">
        <v>16630</v>
      </c>
      <c r="D3811" s="160">
        <v>100</v>
      </c>
      <c r="E3811" s="161">
        <f t="shared" si="138"/>
        <v>10000</v>
      </c>
    </row>
    <row r="3812" ht="16.5" spans="1:5">
      <c r="A3812" s="151">
        <v>3811</v>
      </c>
      <c r="B3812" s="152" t="s">
        <v>12694</v>
      </c>
      <c r="C3812" s="160" t="s">
        <v>16630</v>
      </c>
      <c r="D3812" s="160">
        <v>100</v>
      </c>
      <c r="E3812" s="161">
        <f t="shared" si="138"/>
        <v>10000</v>
      </c>
    </row>
    <row r="3813" ht="16.5" spans="1:5">
      <c r="A3813" s="151">
        <v>3812</v>
      </c>
      <c r="B3813" s="152" t="s">
        <v>12698</v>
      </c>
      <c r="C3813" s="160" t="s">
        <v>16630</v>
      </c>
      <c r="D3813" s="160">
        <v>50</v>
      </c>
      <c r="E3813" s="161">
        <f t="shared" si="138"/>
        <v>5000</v>
      </c>
    </row>
    <row r="3814" ht="16.5" spans="1:5">
      <c r="A3814" s="151">
        <v>3813</v>
      </c>
      <c r="B3814" s="152" t="s">
        <v>12701</v>
      </c>
      <c r="C3814" s="156" t="s">
        <v>16629</v>
      </c>
      <c r="D3814" s="157">
        <v>10</v>
      </c>
      <c r="E3814" s="155">
        <f>+D3814*100</f>
        <v>1000</v>
      </c>
    </row>
    <row r="3815" ht="16.5" spans="1:5">
      <c r="A3815" s="151">
        <v>3814</v>
      </c>
      <c r="B3815" s="152" t="s">
        <v>12705</v>
      </c>
      <c r="C3815" s="162" t="s">
        <v>16631</v>
      </c>
      <c r="D3815" s="163">
        <v>1000</v>
      </c>
      <c r="E3815" s="163">
        <f>D3815*100</f>
        <v>100000</v>
      </c>
    </row>
    <row r="3816" ht="16.5" spans="1:5">
      <c r="A3816" s="151">
        <v>3815</v>
      </c>
      <c r="B3816" s="152" t="s">
        <v>12710</v>
      </c>
      <c r="C3816" s="160" t="s">
        <v>16630</v>
      </c>
      <c r="D3816" s="160">
        <v>10</v>
      </c>
      <c r="E3816" s="161">
        <f>SUM(D3816*100)</f>
        <v>1000</v>
      </c>
    </row>
    <row r="3817" ht="16.5" spans="1:5">
      <c r="A3817" s="151">
        <v>3816</v>
      </c>
      <c r="B3817" s="152" t="s">
        <v>12713</v>
      </c>
      <c r="C3817" s="153" t="s">
        <v>16629</v>
      </c>
      <c r="D3817" s="154">
        <v>10</v>
      </c>
      <c r="E3817" s="155">
        <f>+D3817*100</f>
        <v>1000</v>
      </c>
    </row>
    <row r="3818" ht="16.5" spans="1:5">
      <c r="A3818" s="151">
        <v>3817</v>
      </c>
      <c r="B3818" s="152" t="s">
        <v>12716</v>
      </c>
      <c r="C3818" s="162" t="s">
        <v>16631</v>
      </c>
      <c r="D3818" s="163">
        <v>2000</v>
      </c>
      <c r="E3818" s="163">
        <f>D3818*100</f>
        <v>200000</v>
      </c>
    </row>
    <row r="3819" ht="16.5" spans="1:5">
      <c r="A3819" s="151">
        <v>3818</v>
      </c>
      <c r="B3819" s="152" t="s">
        <v>12721</v>
      </c>
      <c r="C3819" s="160" t="s">
        <v>16630</v>
      </c>
      <c r="D3819" s="160">
        <v>10</v>
      </c>
      <c r="E3819" s="161">
        <f>SUM(D3819*100)</f>
        <v>1000</v>
      </c>
    </row>
    <row r="3820" ht="16.5" spans="1:5">
      <c r="A3820" s="151">
        <v>3819</v>
      </c>
      <c r="B3820" s="152" t="s">
        <v>12726</v>
      </c>
      <c r="C3820" s="162" t="s">
        <v>16631</v>
      </c>
      <c r="D3820" s="163">
        <v>2000</v>
      </c>
      <c r="E3820" s="163">
        <f>D3820*100</f>
        <v>200000</v>
      </c>
    </row>
    <row r="3821" ht="16.5" spans="1:5">
      <c r="A3821" s="151">
        <v>3820</v>
      </c>
      <c r="B3821" s="152" t="s">
        <v>12731</v>
      </c>
      <c r="C3821" s="160" t="s">
        <v>16630</v>
      </c>
      <c r="D3821" s="160">
        <v>200</v>
      </c>
      <c r="E3821" s="161">
        <f>SUM(D3821*100)</f>
        <v>20000</v>
      </c>
    </row>
    <row r="3822" ht="16.5" spans="1:5">
      <c r="A3822" s="151">
        <v>3821</v>
      </c>
      <c r="B3822" s="152" t="s">
        <v>12734</v>
      </c>
      <c r="C3822" s="160" t="s">
        <v>16630</v>
      </c>
      <c r="D3822" s="160">
        <v>200</v>
      </c>
      <c r="E3822" s="161">
        <f>SUM(D3822*100)</f>
        <v>20000</v>
      </c>
    </row>
    <row r="3823" ht="16.5" spans="1:5">
      <c r="A3823" s="151">
        <v>3822</v>
      </c>
      <c r="B3823" s="152" t="s">
        <v>12737</v>
      </c>
      <c r="C3823" s="162" t="s">
        <v>16631</v>
      </c>
      <c r="D3823" s="163">
        <v>2000</v>
      </c>
      <c r="E3823" s="163">
        <f>D3823*100</f>
        <v>200000</v>
      </c>
    </row>
    <row r="3824" ht="16.5" spans="1:5">
      <c r="A3824" s="151">
        <v>3823</v>
      </c>
      <c r="B3824" s="152" t="s">
        <v>12742</v>
      </c>
      <c r="C3824" s="160" t="s">
        <v>16630</v>
      </c>
      <c r="D3824" s="160">
        <v>100</v>
      </c>
      <c r="E3824" s="161">
        <f>SUM(D3824*100)</f>
        <v>10000</v>
      </c>
    </row>
    <row r="3825" ht="16.5" spans="1:5">
      <c r="A3825" s="151">
        <v>3824</v>
      </c>
      <c r="B3825" s="152" t="s">
        <v>12746</v>
      </c>
      <c r="C3825" s="160" t="s">
        <v>16630</v>
      </c>
      <c r="D3825" s="160">
        <v>100</v>
      </c>
      <c r="E3825" s="161">
        <f>SUM(D3825*100)</f>
        <v>10000</v>
      </c>
    </row>
    <row r="3826" ht="16.5" spans="1:5">
      <c r="A3826" s="151">
        <v>3825</v>
      </c>
      <c r="B3826" s="152" t="s">
        <v>12750</v>
      </c>
      <c r="C3826" s="166" t="s">
        <v>16632</v>
      </c>
      <c r="D3826" s="166">
        <f>IFERROR(__xludf.DUMMYFUNCTION("""COMPUTED_VALUE"""),15000)</f>
        <v>15000</v>
      </c>
      <c r="E3826" s="168">
        <f>IFERROR(__xludf.DUMMYFUNCTION("""COMPUTED_VALUE"""),1500000)</f>
        <v>1500000</v>
      </c>
    </row>
    <row r="3827" ht="16.5" spans="1:5">
      <c r="A3827" s="151">
        <v>3826</v>
      </c>
      <c r="B3827" s="152" t="s">
        <v>12751</v>
      </c>
      <c r="C3827" s="166" t="s">
        <v>16632</v>
      </c>
      <c r="D3827" s="166">
        <f>IFERROR(__xludf.DUMMYFUNCTION("""COMPUTED_VALUE"""),10000)</f>
        <v>10000</v>
      </c>
      <c r="E3827" s="168">
        <f>IFERROR(__xludf.DUMMYFUNCTION("""COMPUTED_VALUE"""),1500000)</f>
        <v>1500000</v>
      </c>
    </row>
    <row r="3828" ht="16.5" spans="1:5">
      <c r="A3828" s="151">
        <v>3827</v>
      </c>
      <c r="B3828" s="152" t="s">
        <v>12751</v>
      </c>
      <c r="C3828" s="166" t="s">
        <v>16632</v>
      </c>
      <c r="D3828" s="166">
        <f>IFERROR(__xludf.DUMMYFUNCTION("""COMPUTED_VALUE"""),10000)</f>
        <v>10000</v>
      </c>
      <c r="E3828" s="168">
        <f>IFERROR(__xludf.DUMMYFUNCTION("""COMPUTED_VALUE"""),1500000)</f>
        <v>1500000</v>
      </c>
    </row>
    <row r="3829" ht="16.5" spans="1:5">
      <c r="A3829" s="151">
        <v>3828</v>
      </c>
      <c r="B3829" s="152" t="s">
        <v>12752</v>
      </c>
      <c r="C3829" s="160" t="s">
        <v>16630</v>
      </c>
      <c r="D3829" s="160">
        <v>5000</v>
      </c>
      <c r="E3829" s="161">
        <f>SUM(D3829*10)</f>
        <v>50000</v>
      </c>
    </row>
    <row r="3830" ht="16.5" spans="1:5">
      <c r="A3830" s="151">
        <v>3829</v>
      </c>
      <c r="B3830" s="152" t="s">
        <v>12756</v>
      </c>
      <c r="C3830" s="160" t="s">
        <v>16630</v>
      </c>
      <c r="D3830" s="160">
        <v>25</v>
      </c>
      <c r="E3830" s="161">
        <f>SUM(D3830*100)</f>
        <v>2500</v>
      </c>
    </row>
    <row r="3831" ht="16.5" spans="1:5">
      <c r="A3831" s="151">
        <v>3830</v>
      </c>
      <c r="B3831" s="152" t="s">
        <v>12759</v>
      </c>
      <c r="C3831" s="160" t="s">
        <v>16630</v>
      </c>
      <c r="D3831" s="160">
        <v>40</v>
      </c>
      <c r="E3831" s="161">
        <f>SUM(D3831*100)</f>
        <v>4000</v>
      </c>
    </row>
    <row r="3832" ht="16.5" spans="1:5">
      <c r="A3832" s="151">
        <v>3831</v>
      </c>
      <c r="B3832" s="152" t="s">
        <v>12764</v>
      </c>
      <c r="C3832" s="156" t="s">
        <v>16629</v>
      </c>
      <c r="D3832" s="180">
        <v>10</v>
      </c>
      <c r="E3832" s="155">
        <f>+D3832*100</f>
        <v>1000</v>
      </c>
    </row>
    <row r="3833" ht="16.5" spans="1:5">
      <c r="A3833" s="151">
        <v>3832</v>
      </c>
      <c r="B3833" s="152" t="s">
        <v>12767</v>
      </c>
      <c r="C3833" s="156" t="s">
        <v>16629</v>
      </c>
      <c r="D3833" s="157">
        <v>10</v>
      </c>
      <c r="E3833" s="155">
        <f>+D3833*100</f>
        <v>1000</v>
      </c>
    </row>
    <row r="3834" ht="16.5" spans="1:5">
      <c r="A3834" s="151">
        <v>3833</v>
      </c>
      <c r="B3834" s="152" t="s">
        <v>12770</v>
      </c>
      <c r="C3834" s="156" t="s">
        <v>16629</v>
      </c>
      <c r="D3834" s="157">
        <v>10</v>
      </c>
      <c r="E3834" s="155">
        <f>+D3834*100</f>
        <v>1000</v>
      </c>
    </row>
    <row r="3835" ht="16.5" spans="1:5">
      <c r="A3835" s="151">
        <v>3834</v>
      </c>
      <c r="B3835" s="152" t="s">
        <v>12774</v>
      </c>
      <c r="C3835" s="153" t="s">
        <v>16629</v>
      </c>
      <c r="D3835" s="154">
        <v>10</v>
      </c>
      <c r="E3835" s="155">
        <f>+D3835*100</f>
        <v>1000</v>
      </c>
    </row>
    <row r="3836" ht="16.5" spans="1:5">
      <c r="A3836" s="151">
        <v>3835</v>
      </c>
      <c r="B3836" s="152" t="s">
        <v>12777</v>
      </c>
      <c r="C3836" s="156" t="s">
        <v>16629</v>
      </c>
      <c r="D3836" s="159">
        <v>10</v>
      </c>
      <c r="E3836" s="155">
        <f>+D3836*100</f>
        <v>1000</v>
      </c>
    </row>
    <row r="3837" ht="16.5" spans="1:5">
      <c r="A3837" s="151">
        <v>3836</v>
      </c>
      <c r="B3837" s="152" t="s">
        <v>12781</v>
      </c>
      <c r="C3837" s="160" t="s">
        <v>16630</v>
      </c>
      <c r="D3837" s="160">
        <v>500</v>
      </c>
      <c r="E3837" s="161">
        <f>SUM(D3837*100)</f>
        <v>50000</v>
      </c>
    </row>
    <row r="3838" ht="16.5" spans="1:5">
      <c r="A3838" s="151">
        <v>3837</v>
      </c>
      <c r="B3838" s="152" t="s">
        <v>12784</v>
      </c>
      <c r="C3838" s="162" t="s">
        <v>16631</v>
      </c>
      <c r="D3838" s="163">
        <v>1000</v>
      </c>
      <c r="E3838" s="163">
        <f>D3838*100</f>
        <v>100000</v>
      </c>
    </row>
    <row r="3839" ht="16.5" spans="1:5">
      <c r="A3839" s="151">
        <v>3838</v>
      </c>
      <c r="B3839" s="152" t="s">
        <v>12789</v>
      </c>
      <c r="C3839" s="153" t="s">
        <v>16629</v>
      </c>
      <c r="D3839" s="154">
        <v>10</v>
      </c>
      <c r="E3839" s="155">
        <f>+D3839*100</f>
        <v>1000</v>
      </c>
    </row>
    <row r="3840" ht="16.5" spans="1:5">
      <c r="A3840" s="151">
        <v>3839</v>
      </c>
      <c r="B3840" s="152" t="s">
        <v>12792</v>
      </c>
      <c r="C3840" s="156" t="s">
        <v>16629</v>
      </c>
      <c r="D3840" s="157">
        <v>10</v>
      </c>
      <c r="E3840" s="155">
        <f>+D3840*100</f>
        <v>1000</v>
      </c>
    </row>
    <row r="3841" ht="16.5" spans="1:5">
      <c r="A3841" s="151">
        <v>3840</v>
      </c>
      <c r="B3841" s="152" t="s">
        <v>12796</v>
      </c>
      <c r="C3841" s="153" t="s">
        <v>16629</v>
      </c>
      <c r="D3841" s="154">
        <v>10</v>
      </c>
      <c r="E3841" s="155">
        <f>+D3841*100</f>
        <v>1000</v>
      </c>
    </row>
    <row r="3842" ht="16.5" spans="1:5">
      <c r="A3842" s="151">
        <v>3841</v>
      </c>
      <c r="B3842" s="152" t="s">
        <v>12799</v>
      </c>
      <c r="C3842" s="156" t="s">
        <v>16629</v>
      </c>
      <c r="D3842" s="159">
        <v>10</v>
      </c>
      <c r="E3842" s="155">
        <f>+D3842*100</f>
        <v>1000</v>
      </c>
    </row>
    <row r="3843" ht="16.5" spans="1:5">
      <c r="A3843" s="151">
        <v>3842</v>
      </c>
      <c r="B3843" s="152" t="s">
        <v>12803</v>
      </c>
      <c r="C3843" s="153" t="s">
        <v>16629</v>
      </c>
      <c r="D3843" s="154">
        <v>10</v>
      </c>
      <c r="E3843" s="155">
        <f>+D3843*100</f>
        <v>1000</v>
      </c>
    </row>
    <row r="3844" ht="16.5" spans="1:5">
      <c r="A3844" s="151">
        <v>3843</v>
      </c>
      <c r="B3844" s="152" t="s">
        <v>12807</v>
      </c>
      <c r="C3844" s="160" t="s">
        <v>16630</v>
      </c>
      <c r="D3844" s="160">
        <v>500</v>
      </c>
      <c r="E3844" s="161">
        <f>SUM(D3844*100)</f>
        <v>50000</v>
      </c>
    </row>
    <row r="3845" ht="16.5" spans="1:5">
      <c r="A3845" s="151">
        <v>3844</v>
      </c>
      <c r="B3845" s="152" t="s">
        <v>12810</v>
      </c>
      <c r="C3845" s="156" t="s">
        <v>16629</v>
      </c>
      <c r="D3845" s="157">
        <v>10</v>
      </c>
      <c r="E3845" s="155">
        <f>+D3845*100</f>
        <v>1000</v>
      </c>
    </row>
    <row r="3846" ht="16.5" spans="1:5">
      <c r="A3846" s="151">
        <v>3845</v>
      </c>
      <c r="B3846" s="152" t="s">
        <v>12814</v>
      </c>
      <c r="C3846" s="153" t="s">
        <v>16629</v>
      </c>
      <c r="D3846" s="158">
        <v>10</v>
      </c>
      <c r="E3846" s="155">
        <f>+D3846*100</f>
        <v>1000</v>
      </c>
    </row>
    <row r="3847" ht="16.5" spans="1:5">
      <c r="A3847" s="151">
        <v>3846</v>
      </c>
      <c r="B3847" s="152" t="s">
        <v>12817</v>
      </c>
      <c r="C3847" s="156" t="s">
        <v>16629</v>
      </c>
      <c r="D3847" s="159">
        <v>10</v>
      </c>
      <c r="E3847" s="155">
        <f>+D3847*100</f>
        <v>1000</v>
      </c>
    </row>
    <row r="3848" ht="16.5" spans="1:5">
      <c r="A3848" s="151">
        <v>3847</v>
      </c>
      <c r="B3848" s="152" t="s">
        <v>12821</v>
      </c>
      <c r="C3848" s="153" t="s">
        <v>16629</v>
      </c>
      <c r="D3848" s="154">
        <v>10</v>
      </c>
      <c r="E3848" s="155">
        <f>+D3848*100</f>
        <v>1000</v>
      </c>
    </row>
    <row r="3849" ht="16.5" spans="1:5">
      <c r="A3849" s="151">
        <v>3848</v>
      </c>
      <c r="B3849" s="152" t="s">
        <v>12824</v>
      </c>
      <c r="C3849" s="160" t="s">
        <v>16630</v>
      </c>
      <c r="D3849" s="160">
        <v>10</v>
      </c>
      <c r="E3849" s="161">
        <f>SUM(D3849*100)</f>
        <v>1000</v>
      </c>
    </row>
    <row r="3850" ht="16.5" spans="1:5">
      <c r="A3850" s="151">
        <v>3849</v>
      </c>
      <c r="B3850" s="152" t="s">
        <v>12827</v>
      </c>
      <c r="C3850" s="160" t="s">
        <v>16630</v>
      </c>
      <c r="D3850" s="160">
        <v>200</v>
      </c>
      <c r="E3850" s="161">
        <f>SUM(D3850*100)</f>
        <v>20000</v>
      </c>
    </row>
    <row r="3851" ht="16.5" spans="1:5">
      <c r="A3851" s="151">
        <v>3850</v>
      </c>
      <c r="B3851" s="152" t="s">
        <v>12830</v>
      </c>
      <c r="C3851" s="153" t="s">
        <v>16629</v>
      </c>
      <c r="D3851" s="180">
        <v>10</v>
      </c>
      <c r="E3851" s="155">
        <f>+D3851*100</f>
        <v>1000</v>
      </c>
    </row>
    <row r="3852" ht="16.5" spans="1:5">
      <c r="A3852" s="151">
        <v>3851</v>
      </c>
      <c r="B3852" s="152" t="s">
        <v>12833</v>
      </c>
      <c r="C3852" s="156" t="s">
        <v>16629</v>
      </c>
      <c r="D3852" s="157">
        <v>10</v>
      </c>
      <c r="E3852" s="155">
        <f>+D3852*100</f>
        <v>1000</v>
      </c>
    </row>
    <row r="3853" ht="16.5" spans="1:5">
      <c r="A3853" s="151">
        <v>3852</v>
      </c>
      <c r="B3853" s="152" t="s">
        <v>12836</v>
      </c>
      <c r="C3853" s="153" t="s">
        <v>16629</v>
      </c>
      <c r="D3853" s="158">
        <v>10</v>
      </c>
      <c r="E3853" s="155">
        <f>+D3853*100</f>
        <v>1000</v>
      </c>
    </row>
    <row r="3854" ht="16.5" spans="1:5">
      <c r="A3854" s="151">
        <v>3853</v>
      </c>
      <c r="B3854" s="152" t="s">
        <v>12839</v>
      </c>
      <c r="C3854" s="153" t="s">
        <v>16629</v>
      </c>
      <c r="D3854" s="154">
        <v>10</v>
      </c>
      <c r="E3854" s="155">
        <f>+D3854*100</f>
        <v>1000</v>
      </c>
    </row>
    <row r="3855" ht="16.5" spans="1:5">
      <c r="A3855" s="151">
        <v>3854</v>
      </c>
      <c r="B3855" s="152" t="s">
        <v>12842</v>
      </c>
      <c r="C3855" s="160" t="s">
        <v>16630</v>
      </c>
      <c r="D3855" s="41">
        <v>250</v>
      </c>
      <c r="E3855" s="161">
        <f>SUM(D3855*100)</f>
        <v>25000</v>
      </c>
    </row>
    <row r="3856" ht="16.5" spans="1:5">
      <c r="A3856" s="151">
        <v>3855</v>
      </c>
      <c r="B3856" s="152" t="s">
        <v>12845</v>
      </c>
      <c r="C3856" s="153" t="s">
        <v>16629</v>
      </c>
      <c r="D3856" s="158">
        <v>10</v>
      </c>
      <c r="E3856" s="155">
        <f t="shared" ref="E3856:E3862" si="139">+D3856*100</f>
        <v>1000</v>
      </c>
    </row>
    <row r="3857" ht="16.5" spans="1:5">
      <c r="A3857" s="151">
        <v>3856</v>
      </c>
      <c r="B3857" s="152" t="s">
        <v>12849</v>
      </c>
      <c r="C3857" s="156" t="s">
        <v>16629</v>
      </c>
      <c r="D3857" s="157">
        <v>10</v>
      </c>
      <c r="E3857" s="155">
        <f t="shared" si="139"/>
        <v>1000</v>
      </c>
    </row>
    <row r="3858" ht="16.5" spans="1:5">
      <c r="A3858" s="151">
        <v>3857</v>
      </c>
      <c r="B3858" s="152" t="s">
        <v>12852</v>
      </c>
      <c r="C3858" s="156" t="s">
        <v>16629</v>
      </c>
      <c r="D3858" s="154">
        <v>10</v>
      </c>
      <c r="E3858" s="155">
        <f t="shared" si="139"/>
        <v>1000</v>
      </c>
    </row>
    <row r="3859" ht="16.5" spans="1:5">
      <c r="A3859" s="151">
        <v>3858</v>
      </c>
      <c r="B3859" s="152" t="s">
        <v>12856</v>
      </c>
      <c r="C3859" s="156" t="s">
        <v>16629</v>
      </c>
      <c r="D3859" s="157">
        <v>10</v>
      </c>
      <c r="E3859" s="155">
        <f t="shared" si="139"/>
        <v>1000</v>
      </c>
    </row>
    <row r="3860" ht="16.5" spans="1:5">
      <c r="A3860" s="151">
        <v>3859</v>
      </c>
      <c r="B3860" s="152" t="s">
        <v>12860</v>
      </c>
      <c r="C3860" s="153" t="s">
        <v>16629</v>
      </c>
      <c r="D3860" s="154">
        <v>10</v>
      </c>
      <c r="E3860" s="155">
        <f t="shared" si="139"/>
        <v>1000</v>
      </c>
    </row>
    <row r="3861" ht="16.5" spans="1:5">
      <c r="A3861" s="151">
        <v>3860</v>
      </c>
      <c r="B3861" s="152" t="s">
        <v>12864</v>
      </c>
      <c r="C3861" s="156" t="s">
        <v>16629</v>
      </c>
      <c r="D3861" s="159">
        <v>10</v>
      </c>
      <c r="E3861" s="155">
        <f t="shared" si="139"/>
        <v>1000</v>
      </c>
    </row>
    <row r="3862" ht="16.5" spans="1:5">
      <c r="A3862" s="151">
        <v>3861</v>
      </c>
      <c r="B3862" s="152" t="s">
        <v>12867</v>
      </c>
      <c r="C3862" s="156" t="s">
        <v>16629</v>
      </c>
      <c r="D3862" s="157">
        <v>10</v>
      </c>
      <c r="E3862" s="155">
        <f t="shared" si="139"/>
        <v>1000</v>
      </c>
    </row>
    <row r="3863" ht="16.5" spans="1:5">
      <c r="A3863" s="151">
        <v>3862</v>
      </c>
      <c r="B3863" s="152" t="s">
        <v>12871</v>
      </c>
      <c r="C3863" s="160" t="s">
        <v>16630</v>
      </c>
      <c r="D3863" s="160">
        <v>40</v>
      </c>
      <c r="E3863" s="161">
        <f>SUM(D3863*100)</f>
        <v>4000</v>
      </c>
    </row>
    <row r="3864" ht="16.5" spans="1:5">
      <c r="A3864" s="151">
        <v>3863</v>
      </c>
      <c r="B3864" s="152" t="s">
        <v>12874</v>
      </c>
      <c r="C3864" s="153" t="s">
        <v>16629</v>
      </c>
      <c r="D3864" s="158">
        <v>10</v>
      </c>
      <c r="E3864" s="155">
        <f>+D3864*100</f>
        <v>1000</v>
      </c>
    </row>
    <row r="3865" ht="16.5" spans="1:5">
      <c r="A3865" s="151">
        <v>3864</v>
      </c>
      <c r="B3865" s="152" t="s">
        <v>12877</v>
      </c>
      <c r="C3865" s="156" t="s">
        <v>16629</v>
      </c>
      <c r="D3865" s="157">
        <v>10</v>
      </c>
      <c r="E3865" s="155">
        <f>+D3865*100</f>
        <v>1000</v>
      </c>
    </row>
    <row r="3866" ht="16.5" spans="1:5">
      <c r="A3866" s="151">
        <v>3865</v>
      </c>
      <c r="B3866" s="152" t="s">
        <v>12880</v>
      </c>
      <c r="C3866" s="162" t="s">
        <v>16633</v>
      </c>
      <c r="D3866" s="171">
        <f>G3866/100</f>
        <v>0</v>
      </c>
      <c r="E3866" s="171">
        <f>G3866</f>
        <v>0</v>
      </c>
    </row>
    <row r="3867" ht="16.5" spans="1:5">
      <c r="A3867" s="151">
        <v>3866</v>
      </c>
      <c r="B3867" s="152" t="s">
        <v>12884</v>
      </c>
      <c r="C3867" s="156" t="s">
        <v>16629</v>
      </c>
      <c r="D3867" s="157">
        <v>10</v>
      </c>
      <c r="E3867" s="155">
        <f>+D3867*100</f>
        <v>1000</v>
      </c>
    </row>
    <row r="3868" ht="16.5" spans="1:5">
      <c r="A3868" s="151">
        <v>3867</v>
      </c>
      <c r="B3868" s="152" t="s">
        <v>12887</v>
      </c>
      <c r="C3868" s="156" t="s">
        <v>16629</v>
      </c>
      <c r="D3868" s="157">
        <v>10</v>
      </c>
      <c r="E3868" s="155">
        <f>+D3868*100</f>
        <v>1000</v>
      </c>
    </row>
    <row r="3869" ht="16.5" spans="1:5">
      <c r="A3869" s="151">
        <v>3868</v>
      </c>
      <c r="B3869" s="152" t="s">
        <v>12891</v>
      </c>
      <c r="C3869" s="156" t="s">
        <v>16629</v>
      </c>
      <c r="D3869" s="159">
        <v>10</v>
      </c>
      <c r="E3869" s="155">
        <f>+D3869*100</f>
        <v>1000</v>
      </c>
    </row>
    <row r="3870" ht="16.5" spans="1:5">
      <c r="A3870" s="151">
        <v>3869</v>
      </c>
      <c r="B3870" s="152" t="s">
        <v>12894</v>
      </c>
      <c r="C3870" s="156" t="s">
        <v>16629</v>
      </c>
      <c r="D3870" s="157">
        <v>10</v>
      </c>
      <c r="E3870" s="155">
        <f>+D3870*100</f>
        <v>1000</v>
      </c>
    </row>
    <row r="3871" ht="16.5" spans="1:5">
      <c r="A3871" s="151">
        <v>3870</v>
      </c>
      <c r="B3871" s="152" t="s">
        <v>12898</v>
      </c>
      <c r="C3871" s="156" t="s">
        <v>16629</v>
      </c>
      <c r="D3871" s="157">
        <v>10</v>
      </c>
      <c r="E3871" s="155">
        <f>+D3871*100</f>
        <v>1000</v>
      </c>
    </row>
    <row r="3872" ht="16.5" spans="1:5">
      <c r="A3872" s="151">
        <v>3871</v>
      </c>
      <c r="B3872" s="152" t="s">
        <v>12901</v>
      </c>
      <c r="C3872" s="162" t="s">
        <v>16633</v>
      </c>
      <c r="D3872" s="171">
        <f>G3872/100</f>
        <v>0</v>
      </c>
      <c r="E3872" s="171">
        <f>G3872</f>
        <v>0</v>
      </c>
    </row>
    <row r="3873" ht="16.5" spans="1:5">
      <c r="A3873" s="151">
        <v>3872</v>
      </c>
      <c r="B3873" s="152" t="s">
        <v>12905</v>
      </c>
      <c r="C3873" s="160" t="s">
        <v>16630</v>
      </c>
      <c r="D3873" s="160">
        <v>10</v>
      </c>
      <c r="E3873" s="161">
        <f>SUM(D3873*100)</f>
        <v>1000</v>
      </c>
    </row>
    <row r="3874" ht="16.5" spans="1:5">
      <c r="A3874" s="151">
        <v>3873</v>
      </c>
      <c r="B3874" s="152" t="s">
        <v>12908</v>
      </c>
      <c r="C3874" s="156" t="s">
        <v>16629</v>
      </c>
      <c r="D3874" s="159">
        <v>10</v>
      </c>
      <c r="E3874" s="155">
        <f t="shared" ref="E3874:E3898" si="140">+D3874*100</f>
        <v>1000</v>
      </c>
    </row>
    <row r="3875" ht="16.5" spans="1:5">
      <c r="A3875" s="151">
        <v>3874</v>
      </c>
      <c r="B3875" s="152" t="s">
        <v>12912</v>
      </c>
      <c r="C3875" s="156" t="s">
        <v>16629</v>
      </c>
      <c r="D3875" s="159">
        <v>10</v>
      </c>
      <c r="E3875" s="155">
        <f t="shared" si="140"/>
        <v>1000</v>
      </c>
    </row>
    <row r="3876" ht="16.5" spans="1:5">
      <c r="A3876" s="151">
        <v>3875</v>
      </c>
      <c r="B3876" s="152" t="s">
        <v>12915</v>
      </c>
      <c r="C3876" s="153" t="s">
        <v>16629</v>
      </c>
      <c r="D3876" s="158">
        <v>10</v>
      </c>
      <c r="E3876" s="155">
        <f t="shared" si="140"/>
        <v>1000</v>
      </c>
    </row>
    <row r="3877" ht="16.5" spans="1:5">
      <c r="A3877" s="151">
        <v>3876</v>
      </c>
      <c r="B3877" s="152" t="s">
        <v>12918</v>
      </c>
      <c r="C3877" s="156" t="s">
        <v>16629</v>
      </c>
      <c r="D3877" s="159">
        <v>10</v>
      </c>
      <c r="E3877" s="155">
        <f t="shared" si="140"/>
        <v>1000</v>
      </c>
    </row>
    <row r="3878" ht="16.5" spans="1:5">
      <c r="A3878" s="151">
        <v>3877</v>
      </c>
      <c r="B3878" s="152" t="s">
        <v>12922</v>
      </c>
      <c r="C3878" s="153" t="s">
        <v>16629</v>
      </c>
      <c r="D3878" s="154">
        <v>10</v>
      </c>
      <c r="E3878" s="155">
        <f t="shared" si="140"/>
        <v>1000</v>
      </c>
    </row>
    <row r="3879" ht="16.5" spans="1:5">
      <c r="A3879" s="151">
        <v>3878</v>
      </c>
      <c r="B3879" s="152" t="s">
        <v>12925</v>
      </c>
      <c r="C3879" s="156" t="s">
        <v>16629</v>
      </c>
      <c r="D3879" s="159">
        <v>10</v>
      </c>
      <c r="E3879" s="155">
        <f t="shared" si="140"/>
        <v>1000</v>
      </c>
    </row>
    <row r="3880" ht="16.5" spans="1:5">
      <c r="A3880" s="151">
        <v>3879</v>
      </c>
      <c r="B3880" s="152" t="s">
        <v>12928</v>
      </c>
      <c r="C3880" s="153" t="s">
        <v>16629</v>
      </c>
      <c r="D3880" s="154">
        <v>10</v>
      </c>
      <c r="E3880" s="155">
        <f t="shared" si="140"/>
        <v>1000</v>
      </c>
    </row>
    <row r="3881" ht="16.5" spans="1:5">
      <c r="A3881" s="151">
        <v>3880</v>
      </c>
      <c r="B3881" s="152" t="s">
        <v>12931</v>
      </c>
      <c r="C3881" s="153" t="s">
        <v>16629</v>
      </c>
      <c r="D3881" s="158">
        <v>10</v>
      </c>
      <c r="E3881" s="155">
        <f t="shared" si="140"/>
        <v>1000</v>
      </c>
    </row>
    <row r="3882" ht="16.5" spans="1:5">
      <c r="A3882" s="151">
        <v>3881</v>
      </c>
      <c r="B3882" s="152" t="s">
        <v>12934</v>
      </c>
      <c r="C3882" s="153" t="s">
        <v>16629</v>
      </c>
      <c r="D3882" s="158">
        <v>10</v>
      </c>
      <c r="E3882" s="155">
        <f t="shared" si="140"/>
        <v>1000</v>
      </c>
    </row>
    <row r="3883" ht="16.5" spans="1:5">
      <c r="A3883" s="151">
        <v>3882</v>
      </c>
      <c r="B3883" s="152" t="s">
        <v>12937</v>
      </c>
      <c r="C3883" s="153" t="s">
        <v>16629</v>
      </c>
      <c r="D3883" s="154">
        <v>10</v>
      </c>
      <c r="E3883" s="155">
        <f t="shared" si="140"/>
        <v>1000</v>
      </c>
    </row>
    <row r="3884" ht="16.5" spans="1:5">
      <c r="A3884" s="151">
        <v>3883</v>
      </c>
      <c r="B3884" s="152" t="s">
        <v>12941</v>
      </c>
      <c r="C3884" s="156" t="s">
        <v>16629</v>
      </c>
      <c r="D3884" s="159">
        <v>10</v>
      </c>
      <c r="E3884" s="155">
        <f t="shared" si="140"/>
        <v>1000</v>
      </c>
    </row>
    <row r="3885" ht="16.5" spans="1:5">
      <c r="A3885" s="151">
        <v>3884</v>
      </c>
      <c r="B3885" s="152" t="s">
        <v>12945</v>
      </c>
      <c r="C3885" s="153" t="s">
        <v>16629</v>
      </c>
      <c r="D3885" s="154">
        <v>10</v>
      </c>
      <c r="E3885" s="155">
        <f t="shared" si="140"/>
        <v>1000</v>
      </c>
    </row>
    <row r="3886" ht="16.5" spans="1:5">
      <c r="A3886" s="151">
        <v>3885</v>
      </c>
      <c r="B3886" s="152" t="s">
        <v>12948</v>
      </c>
      <c r="C3886" s="156" t="s">
        <v>16629</v>
      </c>
      <c r="D3886" s="157">
        <v>10</v>
      </c>
      <c r="E3886" s="155">
        <f t="shared" si="140"/>
        <v>1000</v>
      </c>
    </row>
    <row r="3887" ht="16.5" spans="1:5">
      <c r="A3887" s="151">
        <v>3886</v>
      </c>
      <c r="B3887" s="152" t="s">
        <v>12951</v>
      </c>
      <c r="C3887" s="153" t="s">
        <v>16629</v>
      </c>
      <c r="D3887" s="154">
        <v>10</v>
      </c>
      <c r="E3887" s="155">
        <f t="shared" si="140"/>
        <v>1000</v>
      </c>
    </row>
    <row r="3888" ht="16.5" spans="1:5">
      <c r="A3888" s="151">
        <v>3887</v>
      </c>
      <c r="B3888" s="152" t="s">
        <v>12955</v>
      </c>
      <c r="C3888" s="156" t="s">
        <v>16629</v>
      </c>
      <c r="D3888" s="159">
        <v>10</v>
      </c>
      <c r="E3888" s="155">
        <f t="shared" si="140"/>
        <v>1000</v>
      </c>
    </row>
    <row r="3889" ht="16.5" spans="1:5">
      <c r="A3889" s="151">
        <v>3888</v>
      </c>
      <c r="B3889" s="152" t="s">
        <v>12958</v>
      </c>
      <c r="C3889" s="153" t="s">
        <v>16629</v>
      </c>
      <c r="D3889" s="154">
        <v>10</v>
      </c>
      <c r="E3889" s="155">
        <f t="shared" si="140"/>
        <v>1000</v>
      </c>
    </row>
    <row r="3890" ht="16.5" spans="1:5">
      <c r="A3890" s="151">
        <v>3889</v>
      </c>
      <c r="B3890" s="152" t="s">
        <v>12961</v>
      </c>
      <c r="C3890" s="156" t="s">
        <v>16629</v>
      </c>
      <c r="D3890" s="157">
        <v>10</v>
      </c>
      <c r="E3890" s="155">
        <f t="shared" si="140"/>
        <v>1000</v>
      </c>
    </row>
    <row r="3891" ht="16.5" spans="1:5">
      <c r="A3891" s="151">
        <v>3890</v>
      </c>
      <c r="B3891" s="152" t="s">
        <v>12964</v>
      </c>
      <c r="C3891" s="156" t="s">
        <v>16629</v>
      </c>
      <c r="D3891" s="159">
        <v>10</v>
      </c>
      <c r="E3891" s="155">
        <f t="shared" si="140"/>
        <v>1000</v>
      </c>
    </row>
    <row r="3892" ht="16.5" spans="1:5">
      <c r="A3892" s="151">
        <v>3891</v>
      </c>
      <c r="B3892" s="152" t="s">
        <v>12967</v>
      </c>
      <c r="C3892" s="156" t="s">
        <v>16629</v>
      </c>
      <c r="D3892" s="159">
        <v>10</v>
      </c>
      <c r="E3892" s="155">
        <f t="shared" si="140"/>
        <v>1000</v>
      </c>
    </row>
    <row r="3893" ht="16.5" spans="1:5">
      <c r="A3893" s="151">
        <v>3892</v>
      </c>
      <c r="B3893" s="152" t="s">
        <v>12971</v>
      </c>
      <c r="C3893" s="153" t="s">
        <v>16629</v>
      </c>
      <c r="D3893" s="158">
        <v>10</v>
      </c>
      <c r="E3893" s="155">
        <f t="shared" si="140"/>
        <v>1000</v>
      </c>
    </row>
    <row r="3894" ht="16.5" spans="1:5">
      <c r="A3894" s="151">
        <v>3893</v>
      </c>
      <c r="B3894" s="152" t="s">
        <v>12974</v>
      </c>
      <c r="C3894" s="156" t="s">
        <v>16629</v>
      </c>
      <c r="D3894" s="159">
        <v>10</v>
      </c>
      <c r="E3894" s="155">
        <f t="shared" si="140"/>
        <v>1000</v>
      </c>
    </row>
    <row r="3895" ht="16.5" spans="1:5">
      <c r="A3895" s="151">
        <v>3894</v>
      </c>
      <c r="B3895" s="152" t="s">
        <v>12977</v>
      </c>
      <c r="C3895" s="156" t="s">
        <v>16629</v>
      </c>
      <c r="D3895" s="159">
        <v>10</v>
      </c>
      <c r="E3895" s="155">
        <f t="shared" si="140"/>
        <v>1000</v>
      </c>
    </row>
    <row r="3896" ht="16.5" spans="1:5">
      <c r="A3896" s="151">
        <v>3895</v>
      </c>
      <c r="B3896" s="152" t="s">
        <v>12980</v>
      </c>
      <c r="C3896" s="153" t="s">
        <v>16629</v>
      </c>
      <c r="D3896" s="154">
        <v>10</v>
      </c>
      <c r="E3896" s="155">
        <f t="shared" si="140"/>
        <v>1000</v>
      </c>
    </row>
    <row r="3897" ht="16.5" spans="1:5">
      <c r="A3897" s="151">
        <v>3896</v>
      </c>
      <c r="B3897" s="152" t="s">
        <v>12984</v>
      </c>
      <c r="C3897" s="156" t="s">
        <v>16629</v>
      </c>
      <c r="D3897" s="154">
        <v>10</v>
      </c>
      <c r="E3897" s="155">
        <f t="shared" si="140"/>
        <v>1000</v>
      </c>
    </row>
    <row r="3898" ht="16.5" spans="1:5">
      <c r="A3898" s="151">
        <v>3897</v>
      </c>
      <c r="B3898" s="152" t="s">
        <v>12988</v>
      </c>
      <c r="C3898" s="156" t="s">
        <v>16629</v>
      </c>
      <c r="D3898" s="159">
        <v>10</v>
      </c>
      <c r="E3898" s="155">
        <f t="shared" si="140"/>
        <v>1000</v>
      </c>
    </row>
    <row r="3899" ht="16.5" spans="1:5">
      <c r="A3899" s="151">
        <v>3898</v>
      </c>
      <c r="B3899" s="152" t="s">
        <v>12991</v>
      </c>
      <c r="C3899" s="160" t="s">
        <v>16630</v>
      </c>
      <c r="D3899" s="160">
        <v>100</v>
      </c>
      <c r="E3899" s="161">
        <f>SUM(D3899*100)</f>
        <v>10000</v>
      </c>
    </row>
    <row r="3900" ht="16.5" spans="1:5">
      <c r="A3900" s="151">
        <v>3899</v>
      </c>
      <c r="B3900" s="152" t="s">
        <v>12995</v>
      </c>
      <c r="C3900" s="156" t="s">
        <v>16629</v>
      </c>
      <c r="D3900" s="157">
        <v>10</v>
      </c>
      <c r="E3900" s="155">
        <f>+D3900*100</f>
        <v>1000</v>
      </c>
    </row>
    <row r="3901" ht="16.5" spans="1:5">
      <c r="A3901" s="151">
        <v>3900</v>
      </c>
      <c r="B3901" s="152" t="s">
        <v>12999</v>
      </c>
      <c r="C3901" s="156" t="s">
        <v>16629</v>
      </c>
      <c r="D3901" s="159">
        <v>10</v>
      </c>
      <c r="E3901" s="155">
        <f>+D3901*100</f>
        <v>1000</v>
      </c>
    </row>
    <row r="3902" ht="16.5" spans="1:5">
      <c r="A3902" s="151">
        <v>3901</v>
      </c>
      <c r="B3902" s="152" t="s">
        <v>13002</v>
      </c>
      <c r="C3902" s="156" t="s">
        <v>16629</v>
      </c>
      <c r="D3902" s="159">
        <v>10</v>
      </c>
      <c r="E3902" s="155">
        <f>+D3902*100</f>
        <v>1000</v>
      </c>
    </row>
    <row r="3903" ht="16.5" spans="1:5">
      <c r="A3903" s="151">
        <v>3902</v>
      </c>
      <c r="B3903" s="152" t="s">
        <v>13005</v>
      </c>
      <c r="C3903" s="160" t="s">
        <v>16630</v>
      </c>
      <c r="D3903" s="160">
        <v>50</v>
      </c>
      <c r="E3903" s="161">
        <f>SUM(D3903*100)</f>
        <v>5000</v>
      </c>
    </row>
    <row r="3904" ht="16.5" spans="1:5">
      <c r="A3904" s="151">
        <v>3903</v>
      </c>
      <c r="B3904" s="152" t="s">
        <v>13008</v>
      </c>
      <c r="C3904" s="153" t="s">
        <v>16629</v>
      </c>
      <c r="D3904" s="158">
        <v>10</v>
      </c>
      <c r="E3904" s="155">
        <f t="shared" ref="E3904:E3910" si="141">+D3904*100</f>
        <v>1000</v>
      </c>
    </row>
    <row r="3905" ht="16.5" spans="1:5">
      <c r="A3905" s="151">
        <v>3904</v>
      </c>
      <c r="B3905" s="152" t="s">
        <v>13011</v>
      </c>
      <c r="C3905" s="156" t="s">
        <v>16629</v>
      </c>
      <c r="D3905" s="157">
        <v>10</v>
      </c>
      <c r="E3905" s="155">
        <f t="shared" si="141"/>
        <v>1000</v>
      </c>
    </row>
    <row r="3906" ht="16.5" spans="1:5">
      <c r="A3906" s="151">
        <v>3905</v>
      </c>
      <c r="B3906" s="152" t="s">
        <v>13014</v>
      </c>
      <c r="C3906" s="156" t="s">
        <v>16629</v>
      </c>
      <c r="D3906" s="157">
        <v>10</v>
      </c>
      <c r="E3906" s="155">
        <f t="shared" si="141"/>
        <v>1000</v>
      </c>
    </row>
    <row r="3907" ht="16.5" spans="1:5">
      <c r="A3907" s="151">
        <v>3906</v>
      </c>
      <c r="B3907" s="152" t="s">
        <v>13017</v>
      </c>
      <c r="C3907" s="153" t="s">
        <v>16629</v>
      </c>
      <c r="D3907" s="158">
        <v>10</v>
      </c>
      <c r="E3907" s="155">
        <f t="shared" si="141"/>
        <v>1000</v>
      </c>
    </row>
    <row r="3908" ht="16.5" spans="1:5">
      <c r="A3908" s="151">
        <v>3907</v>
      </c>
      <c r="B3908" s="152" t="s">
        <v>13020</v>
      </c>
      <c r="C3908" s="156" t="s">
        <v>16629</v>
      </c>
      <c r="D3908" s="157">
        <v>10</v>
      </c>
      <c r="E3908" s="155">
        <f t="shared" si="141"/>
        <v>1000</v>
      </c>
    </row>
    <row r="3909" ht="16.5" spans="1:5">
      <c r="A3909" s="151">
        <v>3908</v>
      </c>
      <c r="B3909" s="152" t="s">
        <v>13024</v>
      </c>
      <c r="C3909" s="156" t="s">
        <v>16629</v>
      </c>
      <c r="D3909" s="159">
        <v>10</v>
      </c>
      <c r="E3909" s="155">
        <f t="shared" si="141"/>
        <v>1000</v>
      </c>
    </row>
    <row r="3910" ht="16.5" spans="1:5">
      <c r="A3910" s="151">
        <v>3909</v>
      </c>
      <c r="B3910" s="152" t="s">
        <v>13028</v>
      </c>
      <c r="C3910" s="156" t="s">
        <v>16629</v>
      </c>
      <c r="D3910" s="159">
        <v>10</v>
      </c>
      <c r="E3910" s="155">
        <f t="shared" si="141"/>
        <v>1000</v>
      </c>
    </row>
    <row r="3911" ht="16.5" spans="1:5">
      <c r="A3911" s="151">
        <v>3910</v>
      </c>
      <c r="B3911" s="152" t="s">
        <v>13031</v>
      </c>
      <c r="C3911" s="160" t="s">
        <v>16630</v>
      </c>
      <c r="D3911" s="160">
        <v>50</v>
      </c>
      <c r="E3911" s="161">
        <f>SUM(D3911*100)</f>
        <v>5000</v>
      </c>
    </row>
    <row r="3912" ht="16.5" spans="1:5">
      <c r="A3912" s="151">
        <v>3911</v>
      </c>
      <c r="B3912" s="152" t="s">
        <v>13035</v>
      </c>
      <c r="C3912" s="153" t="s">
        <v>16629</v>
      </c>
      <c r="D3912" s="154">
        <v>10</v>
      </c>
      <c r="E3912" s="155">
        <f>+D3912*100</f>
        <v>1000</v>
      </c>
    </row>
    <row r="3913" ht="16.5" spans="1:5">
      <c r="A3913" s="151">
        <v>3912</v>
      </c>
      <c r="B3913" s="152" t="s">
        <v>13039</v>
      </c>
      <c r="C3913" s="153" t="s">
        <v>16629</v>
      </c>
      <c r="D3913" s="154">
        <v>10</v>
      </c>
      <c r="E3913" s="155">
        <f>+D3913*100</f>
        <v>1000</v>
      </c>
    </row>
    <row r="3914" ht="16.5" spans="1:5">
      <c r="A3914" s="151">
        <v>3913</v>
      </c>
      <c r="B3914" s="152" t="s">
        <v>13042</v>
      </c>
      <c r="C3914" s="156" t="s">
        <v>16629</v>
      </c>
      <c r="D3914" s="154">
        <v>10</v>
      </c>
      <c r="E3914" s="155">
        <f>+D3914*100</f>
        <v>1000</v>
      </c>
    </row>
    <row r="3915" ht="16.5" spans="1:5">
      <c r="A3915" s="151">
        <v>3914</v>
      </c>
      <c r="B3915" s="152" t="s">
        <v>13045</v>
      </c>
      <c r="C3915" s="156" t="s">
        <v>16629</v>
      </c>
      <c r="D3915" s="159">
        <v>10</v>
      </c>
      <c r="E3915" s="155">
        <f>+D3915*100</f>
        <v>1000</v>
      </c>
    </row>
    <row r="3916" ht="16.5" spans="1:5">
      <c r="A3916" s="151">
        <v>3915</v>
      </c>
      <c r="B3916" s="152" t="s">
        <v>13048</v>
      </c>
      <c r="C3916" s="156" t="s">
        <v>16629</v>
      </c>
      <c r="D3916" s="157">
        <v>10</v>
      </c>
      <c r="E3916" s="155">
        <f>+D3916*100</f>
        <v>1000</v>
      </c>
    </row>
    <row r="3917" ht="16.5" spans="1:5">
      <c r="A3917" s="151">
        <v>3916</v>
      </c>
      <c r="B3917" s="152" t="s">
        <v>13051</v>
      </c>
      <c r="C3917" s="160" t="s">
        <v>16630</v>
      </c>
      <c r="D3917" s="160">
        <v>25</v>
      </c>
      <c r="E3917" s="161">
        <f>SUM(D3917*100)</f>
        <v>2500</v>
      </c>
    </row>
    <row r="3918" ht="16.5" spans="1:5">
      <c r="A3918" s="151">
        <v>3917</v>
      </c>
      <c r="B3918" s="152" t="s">
        <v>13055</v>
      </c>
      <c r="C3918" s="153" t="s">
        <v>16629</v>
      </c>
      <c r="D3918" s="154">
        <v>10</v>
      </c>
      <c r="E3918" s="155">
        <f t="shared" ref="E3918:E3928" si="142">+D3918*100</f>
        <v>1000</v>
      </c>
    </row>
    <row r="3919" ht="16.5" spans="1:5">
      <c r="A3919" s="151">
        <v>3918</v>
      </c>
      <c r="B3919" s="152" t="s">
        <v>13058</v>
      </c>
      <c r="C3919" s="153" t="s">
        <v>16629</v>
      </c>
      <c r="D3919" s="158">
        <v>10</v>
      </c>
      <c r="E3919" s="155">
        <f t="shared" si="142"/>
        <v>1000</v>
      </c>
    </row>
    <row r="3920" ht="16.5" spans="1:5">
      <c r="A3920" s="151">
        <v>3919</v>
      </c>
      <c r="B3920" s="152" t="s">
        <v>13061</v>
      </c>
      <c r="C3920" s="153" t="s">
        <v>16629</v>
      </c>
      <c r="D3920" s="154">
        <v>10</v>
      </c>
      <c r="E3920" s="155">
        <f t="shared" si="142"/>
        <v>1000</v>
      </c>
    </row>
    <row r="3921" ht="16.5" spans="1:5">
      <c r="A3921" s="151">
        <v>3920</v>
      </c>
      <c r="B3921" s="152" t="s">
        <v>13064</v>
      </c>
      <c r="C3921" s="153" t="s">
        <v>16629</v>
      </c>
      <c r="D3921" s="154">
        <v>10</v>
      </c>
      <c r="E3921" s="155">
        <f t="shared" si="142"/>
        <v>1000</v>
      </c>
    </row>
    <row r="3922" ht="16.5" spans="1:5">
      <c r="A3922" s="151">
        <v>3921</v>
      </c>
      <c r="B3922" s="152" t="s">
        <v>13068</v>
      </c>
      <c r="C3922" s="156" t="s">
        <v>16629</v>
      </c>
      <c r="D3922" s="157">
        <v>10</v>
      </c>
      <c r="E3922" s="155">
        <f t="shared" si="142"/>
        <v>1000</v>
      </c>
    </row>
    <row r="3923" ht="16.5" spans="1:5">
      <c r="A3923" s="151">
        <v>3922</v>
      </c>
      <c r="B3923" s="152" t="s">
        <v>13071</v>
      </c>
      <c r="C3923" s="153" t="s">
        <v>16629</v>
      </c>
      <c r="D3923" s="158">
        <v>10</v>
      </c>
      <c r="E3923" s="155">
        <f t="shared" si="142"/>
        <v>1000</v>
      </c>
    </row>
    <row r="3924" ht="16.5" spans="1:5">
      <c r="A3924" s="151">
        <v>3923</v>
      </c>
      <c r="B3924" s="152" t="s">
        <v>13075</v>
      </c>
      <c r="C3924" s="153" t="s">
        <v>16629</v>
      </c>
      <c r="D3924" s="158">
        <v>10</v>
      </c>
      <c r="E3924" s="155">
        <f t="shared" si="142"/>
        <v>1000</v>
      </c>
    </row>
    <row r="3925" ht="16.5" spans="1:5">
      <c r="A3925" s="151">
        <v>3924</v>
      </c>
      <c r="B3925" s="152" t="s">
        <v>13079</v>
      </c>
      <c r="C3925" s="156" t="s">
        <v>16629</v>
      </c>
      <c r="D3925" s="159">
        <v>10</v>
      </c>
      <c r="E3925" s="155">
        <f t="shared" si="142"/>
        <v>1000</v>
      </c>
    </row>
    <row r="3926" ht="16.5" spans="1:5">
      <c r="A3926" s="151">
        <v>3925</v>
      </c>
      <c r="B3926" s="152" t="s">
        <v>13082</v>
      </c>
      <c r="C3926" s="156" t="s">
        <v>16629</v>
      </c>
      <c r="D3926" s="159">
        <v>10</v>
      </c>
      <c r="E3926" s="155">
        <f t="shared" si="142"/>
        <v>1000</v>
      </c>
    </row>
    <row r="3927" ht="16.5" spans="1:5">
      <c r="A3927" s="151">
        <v>3926</v>
      </c>
      <c r="B3927" s="152" t="s">
        <v>13085</v>
      </c>
      <c r="C3927" s="153" t="s">
        <v>16629</v>
      </c>
      <c r="D3927" s="154">
        <v>10</v>
      </c>
      <c r="E3927" s="155">
        <f t="shared" si="142"/>
        <v>1000</v>
      </c>
    </row>
    <row r="3928" ht="16.5" spans="1:5">
      <c r="A3928" s="151">
        <v>3927</v>
      </c>
      <c r="B3928" s="152" t="s">
        <v>13088</v>
      </c>
      <c r="C3928" s="156" t="s">
        <v>16629</v>
      </c>
      <c r="D3928" s="159">
        <v>10</v>
      </c>
      <c r="E3928" s="155">
        <f t="shared" si="142"/>
        <v>1000</v>
      </c>
    </row>
    <row r="3929" ht="16.5" spans="1:5">
      <c r="A3929" s="151">
        <v>3928</v>
      </c>
      <c r="B3929" s="152" t="s">
        <v>13092</v>
      </c>
      <c r="C3929" s="162" t="s">
        <v>16631</v>
      </c>
      <c r="D3929" s="163">
        <v>2000</v>
      </c>
      <c r="E3929" s="163">
        <f>D3929*100</f>
        <v>200000</v>
      </c>
    </row>
    <row r="3930" ht="16.5" spans="1:5">
      <c r="A3930" s="151">
        <v>3929</v>
      </c>
      <c r="B3930" s="152" t="s">
        <v>13097</v>
      </c>
      <c r="C3930" s="160" t="s">
        <v>16630</v>
      </c>
      <c r="D3930" s="160">
        <v>500</v>
      </c>
      <c r="E3930" s="161">
        <f>SUM(D3930*100)</f>
        <v>50000</v>
      </c>
    </row>
    <row r="3931" ht="16.5" spans="1:5">
      <c r="A3931" s="151">
        <v>3930</v>
      </c>
      <c r="B3931" s="152" t="s">
        <v>13099</v>
      </c>
      <c r="C3931" s="166" t="s">
        <v>16632</v>
      </c>
      <c r="D3931" s="166">
        <f>IFERROR(__xludf.DUMMYFUNCTION("""COMPUTED_VALUE"""),10000)</f>
        <v>10000</v>
      </c>
      <c r="E3931" s="168">
        <f>IFERROR(__xludf.DUMMYFUNCTION("""COMPUTED_VALUE"""),1500000)</f>
        <v>1500000</v>
      </c>
    </row>
    <row r="3932" ht="16.5" spans="1:5">
      <c r="A3932" s="151">
        <v>3931</v>
      </c>
      <c r="B3932" s="152" t="s">
        <v>13100</v>
      </c>
      <c r="C3932" s="160" t="s">
        <v>16630</v>
      </c>
      <c r="D3932" s="165">
        <v>100</v>
      </c>
      <c r="E3932" s="161">
        <f>SUM(D3932*100)</f>
        <v>10000</v>
      </c>
    </row>
    <row r="3933" ht="16.5" spans="1:5">
      <c r="A3933" s="151">
        <v>3932</v>
      </c>
      <c r="B3933" s="152" t="s">
        <v>13103</v>
      </c>
      <c r="C3933" s="156" t="s">
        <v>16629</v>
      </c>
      <c r="D3933" s="159">
        <v>10</v>
      </c>
      <c r="E3933" s="155">
        <f>+D3933*100</f>
        <v>1000</v>
      </c>
    </row>
    <row r="3934" ht="16.5" spans="1:5">
      <c r="A3934" s="151">
        <v>3933</v>
      </c>
      <c r="B3934" s="152" t="s">
        <v>13106</v>
      </c>
      <c r="C3934" s="160" t="s">
        <v>16630</v>
      </c>
      <c r="D3934" s="175">
        <v>100</v>
      </c>
      <c r="E3934" s="161">
        <f>SUM(D3934*100)</f>
        <v>10000</v>
      </c>
    </row>
    <row r="3935" ht="16.5" spans="1:5">
      <c r="A3935" s="151">
        <v>3934</v>
      </c>
      <c r="B3935" s="152" t="s">
        <v>13109</v>
      </c>
      <c r="C3935" s="160" t="s">
        <v>16630</v>
      </c>
      <c r="D3935" s="160">
        <v>10</v>
      </c>
      <c r="E3935" s="161">
        <f>SUM(D3935*100)</f>
        <v>1000</v>
      </c>
    </row>
    <row r="3936" ht="16.5" spans="1:5">
      <c r="A3936" s="151">
        <v>3935</v>
      </c>
      <c r="B3936" s="152" t="s">
        <v>13113</v>
      </c>
      <c r="C3936" s="162" t="s">
        <v>16631</v>
      </c>
      <c r="D3936" s="163">
        <v>7000</v>
      </c>
      <c r="E3936" s="163">
        <f>D3936*100</f>
        <v>700000</v>
      </c>
    </row>
    <row r="3937" ht="16.5" spans="1:5">
      <c r="A3937" s="151">
        <v>3936</v>
      </c>
      <c r="B3937" s="152" t="s">
        <v>13118</v>
      </c>
      <c r="C3937" s="156" t="s">
        <v>16629</v>
      </c>
      <c r="D3937" s="157">
        <v>10</v>
      </c>
      <c r="E3937" s="155">
        <f>+D3937*100</f>
        <v>1000</v>
      </c>
    </row>
    <row r="3938" ht="16.5" spans="1:5">
      <c r="A3938" s="151">
        <v>3937</v>
      </c>
      <c r="B3938" s="152" t="s">
        <v>13121</v>
      </c>
      <c r="C3938" s="166" t="s">
        <v>16632</v>
      </c>
      <c r="D3938" s="166">
        <f>IFERROR(__xludf.DUMMYFUNCTION("""COMPUTED_VALUE"""),10000)</f>
        <v>10000</v>
      </c>
      <c r="E3938" s="168">
        <f>IFERROR(__xludf.DUMMYFUNCTION("""COMPUTED_VALUE"""),1500000)</f>
        <v>1500000</v>
      </c>
    </row>
    <row r="3939" ht="16.5" spans="1:5">
      <c r="A3939" s="151">
        <v>3938</v>
      </c>
      <c r="B3939" s="152" t="s">
        <v>13122</v>
      </c>
      <c r="C3939" s="160" t="s">
        <v>16630</v>
      </c>
      <c r="D3939" s="160">
        <v>20</v>
      </c>
      <c r="E3939" s="161">
        <f>SUM(D3939*100)</f>
        <v>2000</v>
      </c>
    </row>
    <row r="3940" ht="16.5" spans="1:5">
      <c r="A3940" s="151">
        <v>3939</v>
      </c>
      <c r="B3940" s="152" t="s">
        <v>13125</v>
      </c>
      <c r="C3940" s="156" t="s">
        <v>16629</v>
      </c>
      <c r="D3940" s="159">
        <v>10</v>
      </c>
      <c r="E3940" s="155">
        <f>+D3940*100</f>
        <v>1000</v>
      </c>
    </row>
    <row r="3941" ht="16.5" spans="1:5">
      <c r="A3941" s="151">
        <v>3940</v>
      </c>
      <c r="B3941" s="152" t="s">
        <v>13128</v>
      </c>
      <c r="C3941" s="156" t="s">
        <v>16629</v>
      </c>
      <c r="D3941" s="159">
        <v>10</v>
      </c>
      <c r="E3941" s="155">
        <f>+D3941*100</f>
        <v>1000</v>
      </c>
    </row>
    <row r="3942" ht="16.5" spans="1:5">
      <c r="A3942" s="151">
        <v>3941</v>
      </c>
      <c r="B3942" s="152" t="s">
        <v>13132</v>
      </c>
      <c r="C3942" s="156" t="s">
        <v>16629</v>
      </c>
      <c r="D3942" s="159">
        <v>10</v>
      </c>
      <c r="E3942" s="155">
        <f>+D3942*100</f>
        <v>1000</v>
      </c>
    </row>
    <row r="3943" ht="16.5" spans="1:5">
      <c r="A3943" s="151">
        <v>3942</v>
      </c>
      <c r="B3943" s="152" t="s">
        <v>13136</v>
      </c>
      <c r="C3943" s="153" t="s">
        <v>16629</v>
      </c>
      <c r="D3943" s="154">
        <v>10</v>
      </c>
      <c r="E3943" s="155">
        <f>+D3943*100</f>
        <v>1000</v>
      </c>
    </row>
    <row r="3944" ht="16.5" spans="1:5">
      <c r="A3944" s="151">
        <v>3943</v>
      </c>
      <c r="B3944" s="152" t="s">
        <v>13139</v>
      </c>
      <c r="C3944" s="160" t="s">
        <v>16630</v>
      </c>
      <c r="D3944" s="160">
        <v>50</v>
      </c>
      <c r="E3944" s="161">
        <f>SUM(D3944*100)</f>
        <v>5000</v>
      </c>
    </row>
    <row r="3945" ht="16.5" spans="1:5">
      <c r="A3945" s="151">
        <v>3944</v>
      </c>
      <c r="B3945" s="152" t="s">
        <v>13143</v>
      </c>
      <c r="C3945" s="153" t="s">
        <v>16629</v>
      </c>
      <c r="D3945" s="158">
        <v>10</v>
      </c>
      <c r="E3945" s="155">
        <f>+D3945*100</f>
        <v>1000</v>
      </c>
    </row>
    <row r="3946" ht="16.5" spans="1:5">
      <c r="A3946" s="151">
        <v>3945</v>
      </c>
      <c r="B3946" s="152" t="s">
        <v>13146</v>
      </c>
      <c r="C3946" s="156" t="s">
        <v>16629</v>
      </c>
      <c r="D3946" s="157">
        <v>10</v>
      </c>
      <c r="E3946" s="155">
        <f>+D3946*100</f>
        <v>1000</v>
      </c>
    </row>
    <row r="3947" ht="16.5" spans="1:5">
      <c r="A3947" s="151">
        <v>3946</v>
      </c>
      <c r="B3947" s="152" t="s">
        <v>13149</v>
      </c>
      <c r="C3947" s="166" t="s">
        <v>16632</v>
      </c>
      <c r="D3947" s="173">
        <v>30000</v>
      </c>
      <c r="E3947" s="45">
        <v>3500000</v>
      </c>
    </row>
    <row r="3948" ht="16.5" spans="1:5">
      <c r="A3948" s="151">
        <v>3947</v>
      </c>
      <c r="B3948" s="152" t="s">
        <v>13154</v>
      </c>
      <c r="C3948" s="153" t="s">
        <v>16629</v>
      </c>
      <c r="D3948" s="158">
        <v>10</v>
      </c>
      <c r="E3948" s="155">
        <f t="shared" ref="E3948:E3953" si="143">+D3948*100</f>
        <v>1000</v>
      </c>
    </row>
    <row r="3949" ht="16.5" spans="1:5">
      <c r="A3949" s="151">
        <v>3948</v>
      </c>
      <c r="B3949" s="152" t="s">
        <v>13157</v>
      </c>
      <c r="C3949" s="153" t="s">
        <v>16629</v>
      </c>
      <c r="D3949" s="154">
        <v>10</v>
      </c>
      <c r="E3949" s="155">
        <f t="shared" si="143"/>
        <v>1000</v>
      </c>
    </row>
    <row r="3950" ht="16.5" spans="1:5">
      <c r="A3950" s="151">
        <v>3949</v>
      </c>
      <c r="B3950" s="152" t="s">
        <v>13160</v>
      </c>
      <c r="C3950" s="153" t="s">
        <v>16629</v>
      </c>
      <c r="D3950" s="158">
        <v>10</v>
      </c>
      <c r="E3950" s="155">
        <f t="shared" si="143"/>
        <v>1000</v>
      </c>
    </row>
    <row r="3951" ht="16.5" spans="1:5">
      <c r="A3951" s="151">
        <v>3950</v>
      </c>
      <c r="B3951" s="152" t="s">
        <v>13163</v>
      </c>
      <c r="C3951" s="153" t="s">
        <v>16629</v>
      </c>
      <c r="D3951" s="154">
        <v>10</v>
      </c>
      <c r="E3951" s="155">
        <f t="shared" si="143"/>
        <v>1000</v>
      </c>
    </row>
    <row r="3952" ht="16.5" spans="1:5">
      <c r="A3952" s="151">
        <v>3951</v>
      </c>
      <c r="B3952" s="152" t="s">
        <v>13167</v>
      </c>
      <c r="C3952" s="153" t="s">
        <v>16629</v>
      </c>
      <c r="D3952" s="154">
        <v>10</v>
      </c>
      <c r="E3952" s="155">
        <f t="shared" si="143"/>
        <v>1000</v>
      </c>
    </row>
    <row r="3953" ht="16.5" spans="1:5">
      <c r="A3953" s="151">
        <v>3952</v>
      </c>
      <c r="B3953" s="152" t="s">
        <v>13171</v>
      </c>
      <c r="C3953" s="153" t="s">
        <v>16629</v>
      </c>
      <c r="D3953" s="154">
        <v>10</v>
      </c>
      <c r="E3953" s="155">
        <f t="shared" si="143"/>
        <v>1000</v>
      </c>
    </row>
    <row r="3954" ht="16.5" spans="1:5">
      <c r="A3954" s="151">
        <v>3953</v>
      </c>
      <c r="B3954" s="152" t="s">
        <v>13174</v>
      </c>
      <c r="C3954" s="160" t="s">
        <v>16630</v>
      </c>
      <c r="D3954" s="160">
        <v>10</v>
      </c>
      <c r="E3954" s="161">
        <f>SUM(D3954*100)</f>
        <v>1000</v>
      </c>
    </row>
    <row r="3955" ht="16.5" spans="1:5">
      <c r="A3955" s="151">
        <v>3954</v>
      </c>
      <c r="B3955" s="152" t="s">
        <v>13179</v>
      </c>
      <c r="C3955" s="160" t="s">
        <v>16630</v>
      </c>
      <c r="D3955" s="160">
        <v>500</v>
      </c>
      <c r="E3955" s="161">
        <f>SUM(D3955*100)</f>
        <v>50000</v>
      </c>
    </row>
    <row r="3956" ht="16.5" spans="1:5">
      <c r="A3956" s="151">
        <v>3955</v>
      </c>
      <c r="B3956" s="152" t="s">
        <v>13182</v>
      </c>
      <c r="C3956" s="162" t="s">
        <v>16631</v>
      </c>
      <c r="D3956" s="163">
        <v>1000</v>
      </c>
      <c r="E3956" s="163">
        <f>D3956*100</f>
        <v>100000</v>
      </c>
    </row>
    <row r="3957" ht="16.5" spans="1:5">
      <c r="A3957" s="151">
        <v>3956</v>
      </c>
      <c r="B3957" s="152" t="s">
        <v>13182</v>
      </c>
      <c r="C3957" s="162" t="s">
        <v>16633</v>
      </c>
      <c r="D3957" s="171">
        <f>G3957/100</f>
        <v>0</v>
      </c>
      <c r="E3957" s="171">
        <f>G3957</f>
        <v>0</v>
      </c>
    </row>
    <row r="3958" ht="16.5" spans="1:5">
      <c r="A3958" s="151">
        <v>3957</v>
      </c>
      <c r="B3958" s="152" t="s">
        <v>13187</v>
      </c>
      <c r="C3958" s="156" t="s">
        <v>16629</v>
      </c>
      <c r="D3958" s="159">
        <v>10</v>
      </c>
      <c r="E3958" s="155">
        <f>+D3958*100</f>
        <v>1000</v>
      </c>
    </row>
    <row r="3959" ht="16.5" spans="1:5">
      <c r="A3959" s="151">
        <v>3958</v>
      </c>
      <c r="B3959" s="152" t="s">
        <v>13191</v>
      </c>
      <c r="C3959" s="166" t="s">
        <v>16632</v>
      </c>
      <c r="D3959" s="166">
        <f>IFERROR(__xludf.DUMMYFUNCTION("""COMPUTED_VALUE"""),10000)</f>
        <v>10000</v>
      </c>
      <c r="E3959" s="168">
        <f>IFERROR(__xludf.DUMMYFUNCTION("""COMPUTED_VALUE"""),1500000)</f>
        <v>1500000</v>
      </c>
    </row>
    <row r="3960" ht="16.5" spans="1:5">
      <c r="A3960" s="151">
        <v>3959</v>
      </c>
      <c r="B3960" s="152" t="s">
        <v>13192</v>
      </c>
      <c r="C3960" s="162" t="s">
        <v>16631</v>
      </c>
      <c r="D3960" s="163">
        <v>4000</v>
      </c>
      <c r="E3960" s="163">
        <f>D3960*100</f>
        <v>400000</v>
      </c>
    </row>
    <row r="3961" ht="16.5" spans="1:5">
      <c r="A3961" s="151">
        <v>3960</v>
      </c>
      <c r="B3961" s="152" t="s">
        <v>13196</v>
      </c>
      <c r="C3961" s="160" t="s">
        <v>16630</v>
      </c>
      <c r="D3961" s="165">
        <v>1000</v>
      </c>
      <c r="E3961" s="161">
        <f>SUM(D3961*100)</f>
        <v>100000</v>
      </c>
    </row>
    <row r="3962" ht="16.5" spans="1:5">
      <c r="A3962" s="151">
        <v>3961</v>
      </c>
      <c r="B3962" s="152" t="s">
        <v>13199</v>
      </c>
      <c r="C3962" s="156" t="s">
        <v>16629</v>
      </c>
      <c r="D3962" s="159">
        <v>10</v>
      </c>
      <c r="E3962" s="155">
        <f>+D3962*100</f>
        <v>1000</v>
      </c>
    </row>
    <row r="3963" ht="16.5" spans="1:5">
      <c r="A3963" s="151">
        <v>3962</v>
      </c>
      <c r="B3963" s="152" t="s">
        <v>13203</v>
      </c>
      <c r="C3963" s="156" t="s">
        <v>16629</v>
      </c>
      <c r="D3963" s="157">
        <v>10</v>
      </c>
      <c r="E3963" s="155">
        <f>+D3963*100</f>
        <v>1000</v>
      </c>
    </row>
    <row r="3964" ht="16.5" spans="1:5">
      <c r="A3964" s="151">
        <v>3963</v>
      </c>
      <c r="B3964" s="152" t="s">
        <v>13206</v>
      </c>
      <c r="C3964" s="156" t="s">
        <v>16629</v>
      </c>
      <c r="D3964" s="159">
        <v>10</v>
      </c>
      <c r="E3964" s="155">
        <f>+D3964*100</f>
        <v>1000</v>
      </c>
    </row>
    <row r="3965" ht="16.5" spans="1:5">
      <c r="A3965" s="151">
        <v>3964</v>
      </c>
      <c r="B3965" s="152" t="s">
        <v>13210</v>
      </c>
      <c r="C3965" s="156" t="s">
        <v>16629</v>
      </c>
      <c r="D3965" s="154">
        <v>10</v>
      </c>
      <c r="E3965" s="155">
        <f>+D3965*100</f>
        <v>1000</v>
      </c>
    </row>
    <row r="3966" ht="16.5" spans="1:5">
      <c r="A3966" s="151">
        <v>3965</v>
      </c>
      <c r="B3966" s="152" t="s">
        <v>13213</v>
      </c>
      <c r="C3966" s="156" t="s">
        <v>16629</v>
      </c>
      <c r="D3966" s="180">
        <v>10</v>
      </c>
      <c r="E3966" s="155">
        <f>+D3966*100</f>
        <v>1000</v>
      </c>
    </row>
    <row r="3967" ht="16.5" spans="1:5">
      <c r="A3967" s="151">
        <v>3966</v>
      </c>
      <c r="B3967" s="152" t="s">
        <v>13216</v>
      </c>
      <c r="C3967" s="160" t="s">
        <v>16630</v>
      </c>
      <c r="D3967" s="160">
        <v>200</v>
      </c>
      <c r="E3967" s="161">
        <f>SUM(D3967*100)</f>
        <v>20000</v>
      </c>
    </row>
    <row r="3968" ht="16.5" spans="1:5">
      <c r="A3968" s="151">
        <v>3967</v>
      </c>
      <c r="B3968" s="152" t="s">
        <v>13220</v>
      </c>
      <c r="C3968" s="162" t="s">
        <v>16631</v>
      </c>
      <c r="D3968" s="163">
        <v>1000</v>
      </c>
      <c r="E3968" s="163">
        <f>D3968*100</f>
        <v>100000</v>
      </c>
    </row>
    <row r="3969" ht="16.5" spans="1:5">
      <c r="A3969" s="151">
        <v>3968</v>
      </c>
      <c r="B3969" s="152" t="s">
        <v>13225</v>
      </c>
      <c r="C3969" s="156" t="s">
        <v>16629</v>
      </c>
      <c r="D3969" s="159">
        <v>10</v>
      </c>
      <c r="E3969" s="155">
        <f>+D3969*100</f>
        <v>1000</v>
      </c>
    </row>
    <row r="3970" ht="16.5" spans="1:5">
      <c r="A3970" s="151">
        <v>3969</v>
      </c>
      <c r="B3970" s="152" t="s">
        <v>13228</v>
      </c>
      <c r="C3970" s="162" t="s">
        <v>16631</v>
      </c>
      <c r="D3970" s="163">
        <v>1000</v>
      </c>
      <c r="E3970" s="163">
        <f>D3970*100</f>
        <v>100000</v>
      </c>
    </row>
    <row r="3971" ht="16.5" spans="1:5">
      <c r="A3971" s="151">
        <v>3970</v>
      </c>
      <c r="B3971" s="152" t="s">
        <v>13233</v>
      </c>
      <c r="C3971" s="166" t="s">
        <v>16632</v>
      </c>
      <c r="D3971" s="151">
        <f>IFERROR(__xludf.DUMMYFUNCTION("""COMPUTED_VALUE"""),10000)</f>
        <v>10000</v>
      </c>
      <c r="E3971" s="167">
        <f>IFERROR(__xludf.DUMMYFUNCTION("""COMPUTED_VALUE"""),1500000)</f>
        <v>1500000</v>
      </c>
    </row>
    <row r="3972" ht="16.5" spans="1:5">
      <c r="A3972" s="151">
        <v>3971</v>
      </c>
      <c r="B3972" s="152" t="s">
        <v>13234</v>
      </c>
      <c r="C3972" s="153" t="s">
        <v>16629</v>
      </c>
      <c r="D3972" s="158">
        <v>20</v>
      </c>
      <c r="E3972" s="155">
        <f t="shared" ref="E3972:E3979" si="144">+D3972*100</f>
        <v>2000</v>
      </c>
    </row>
    <row r="3973" ht="16.5" spans="1:5">
      <c r="A3973" s="151">
        <v>3972</v>
      </c>
      <c r="B3973" s="152" t="s">
        <v>13237</v>
      </c>
      <c r="C3973" s="156" t="s">
        <v>16629</v>
      </c>
      <c r="D3973" s="159">
        <v>10</v>
      </c>
      <c r="E3973" s="155">
        <f t="shared" si="144"/>
        <v>1000</v>
      </c>
    </row>
    <row r="3974" ht="16.5" spans="1:5">
      <c r="A3974" s="151">
        <v>3973</v>
      </c>
      <c r="B3974" s="152" t="s">
        <v>13241</v>
      </c>
      <c r="C3974" s="153" t="s">
        <v>16629</v>
      </c>
      <c r="D3974" s="158">
        <v>10</v>
      </c>
      <c r="E3974" s="155">
        <f t="shared" si="144"/>
        <v>1000</v>
      </c>
    </row>
    <row r="3975" ht="16.5" spans="1:5">
      <c r="A3975" s="151">
        <v>3974</v>
      </c>
      <c r="B3975" s="152" t="s">
        <v>13244</v>
      </c>
      <c r="C3975" s="153" t="s">
        <v>16629</v>
      </c>
      <c r="D3975" s="158">
        <v>10</v>
      </c>
      <c r="E3975" s="155">
        <f t="shared" si="144"/>
        <v>1000</v>
      </c>
    </row>
    <row r="3976" ht="16.5" spans="1:5">
      <c r="A3976" s="151">
        <v>3975</v>
      </c>
      <c r="B3976" s="152" t="s">
        <v>13248</v>
      </c>
      <c r="C3976" s="153" t="s">
        <v>16629</v>
      </c>
      <c r="D3976" s="154">
        <v>10</v>
      </c>
      <c r="E3976" s="155">
        <f t="shared" si="144"/>
        <v>1000</v>
      </c>
    </row>
    <row r="3977" ht="16.5" spans="1:5">
      <c r="A3977" s="151">
        <v>3976</v>
      </c>
      <c r="B3977" s="152" t="s">
        <v>13252</v>
      </c>
      <c r="C3977" s="156" t="s">
        <v>16629</v>
      </c>
      <c r="D3977" s="157">
        <v>10</v>
      </c>
      <c r="E3977" s="155">
        <f t="shared" si="144"/>
        <v>1000</v>
      </c>
    </row>
    <row r="3978" ht="16.5" spans="1:5">
      <c r="A3978" s="151">
        <v>3977</v>
      </c>
      <c r="B3978" s="152" t="s">
        <v>13256</v>
      </c>
      <c r="C3978" s="153" t="s">
        <v>16629</v>
      </c>
      <c r="D3978" s="154">
        <v>10</v>
      </c>
      <c r="E3978" s="155">
        <f t="shared" si="144"/>
        <v>1000</v>
      </c>
    </row>
    <row r="3979" ht="16.5" spans="1:5">
      <c r="A3979" s="151">
        <v>3978</v>
      </c>
      <c r="B3979" s="152" t="s">
        <v>13259</v>
      </c>
      <c r="C3979" s="153" t="s">
        <v>16629</v>
      </c>
      <c r="D3979" s="158">
        <v>10</v>
      </c>
      <c r="E3979" s="155">
        <f t="shared" si="144"/>
        <v>1000</v>
      </c>
    </row>
    <row r="3980" ht="16.5" spans="1:5">
      <c r="A3980" s="151">
        <v>3979</v>
      </c>
      <c r="B3980" s="152" t="s">
        <v>13262</v>
      </c>
      <c r="C3980" s="160" t="s">
        <v>16630</v>
      </c>
      <c r="D3980" s="160">
        <v>10</v>
      </c>
      <c r="E3980" s="161">
        <f>SUM(D3980*100)</f>
        <v>1000</v>
      </c>
    </row>
    <row r="3981" ht="16.5" spans="1:5">
      <c r="A3981" s="151">
        <v>3980</v>
      </c>
      <c r="B3981" s="152" t="s">
        <v>13266</v>
      </c>
      <c r="C3981" s="160" t="s">
        <v>16630</v>
      </c>
      <c r="D3981" s="160">
        <v>1150</v>
      </c>
      <c r="E3981" s="161">
        <f>SUM(D3981*100)</f>
        <v>115000</v>
      </c>
    </row>
    <row r="3982" ht="16.5" spans="1:5">
      <c r="A3982" s="151">
        <v>3981</v>
      </c>
      <c r="B3982" s="152" t="s">
        <v>13269</v>
      </c>
      <c r="C3982" s="156" t="s">
        <v>16629</v>
      </c>
      <c r="D3982" s="157">
        <v>10</v>
      </c>
      <c r="E3982" s="155">
        <f>+D3982*100</f>
        <v>1000</v>
      </c>
    </row>
    <row r="3983" ht="16.5" spans="1:5">
      <c r="A3983" s="151">
        <v>3982</v>
      </c>
      <c r="B3983" s="152" t="s">
        <v>13273</v>
      </c>
      <c r="C3983" s="153" t="s">
        <v>16629</v>
      </c>
      <c r="D3983" s="154">
        <v>10</v>
      </c>
      <c r="E3983" s="155">
        <f>+D3983*100</f>
        <v>1000</v>
      </c>
    </row>
    <row r="3984" ht="16.5" spans="1:5">
      <c r="A3984" s="151">
        <v>3983</v>
      </c>
      <c r="B3984" s="152" t="s">
        <v>13276</v>
      </c>
      <c r="C3984" s="153" t="s">
        <v>16629</v>
      </c>
      <c r="D3984" s="154">
        <v>10</v>
      </c>
      <c r="E3984" s="155">
        <f>+D3984*100</f>
        <v>1000</v>
      </c>
    </row>
    <row r="3985" ht="16.5" spans="1:5">
      <c r="A3985" s="151">
        <v>3984</v>
      </c>
      <c r="B3985" s="152" t="s">
        <v>13279</v>
      </c>
      <c r="C3985" s="160" t="s">
        <v>16630</v>
      </c>
      <c r="D3985" s="160">
        <v>10</v>
      </c>
      <c r="E3985" s="161">
        <f>SUM(D3985*100)</f>
        <v>1000</v>
      </c>
    </row>
    <row r="3986" ht="16.5" spans="1:5">
      <c r="A3986" s="151">
        <v>3985</v>
      </c>
      <c r="B3986" s="152" t="s">
        <v>13283</v>
      </c>
      <c r="C3986" s="156" t="s">
        <v>16629</v>
      </c>
      <c r="D3986" s="159">
        <v>10</v>
      </c>
      <c r="E3986" s="155">
        <f>+D3986*100</f>
        <v>1000</v>
      </c>
    </row>
    <row r="3987" ht="16.5" spans="1:5">
      <c r="A3987" s="151">
        <v>3986</v>
      </c>
      <c r="B3987" s="152" t="s">
        <v>13286</v>
      </c>
      <c r="C3987" s="156" t="s">
        <v>16629</v>
      </c>
      <c r="D3987" s="159">
        <v>10</v>
      </c>
      <c r="E3987" s="155">
        <f>+D3987*100</f>
        <v>1000</v>
      </c>
    </row>
    <row r="3988" ht="16.5" spans="1:5">
      <c r="A3988" s="151">
        <v>3987</v>
      </c>
      <c r="B3988" s="152" t="s">
        <v>13290</v>
      </c>
      <c r="C3988" s="162" t="s">
        <v>16631</v>
      </c>
      <c r="D3988" s="169">
        <v>2000</v>
      </c>
      <c r="E3988" s="170">
        <f>D3988*100</f>
        <v>200000</v>
      </c>
    </row>
    <row r="3989" ht="16.5" spans="1:5">
      <c r="A3989" s="151">
        <v>3988</v>
      </c>
      <c r="B3989" s="152" t="s">
        <v>13294</v>
      </c>
      <c r="C3989" s="153" t="s">
        <v>16629</v>
      </c>
      <c r="D3989" s="158">
        <v>10</v>
      </c>
      <c r="E3989" s="155">
        <f>+D3989*100</f>
        <v>1000</v>
      </c>
    </row>
    <row r="3990" ht="16.5" spans="1:5">
      <c r="A3990" s="151">
        <v>3989</v>
      </c>
      <c r="B3990" s="152" t="s">
        <v>13297</v>
      </c>
      <c r="C3990" s="153" t="s">
        <v>16629</v>
      </c>
      <c r="D3990" s="154">
        <v>10</v>
      </c>
      <c r="E3990" s="155">
        <f>+D3990*100</f>
        <v>1000</v>
      </c>
    </row>
    <row r="3991" ht="16.5" spans="1:5">
      <c r="A3991" s="151">
        <v>3990</v>
      </c>
      <c r="B3991" s="152" t="s">
        <v>13300</v>
      </c>
      <c r="C3991" s="153" t="s">
        <v>16629</v>
      </c>
      <c r="D3991" s="158">
        <v>10</v>
      </c>
      <c r="E3991" s="155">
        <f>+D3991*100</f>
        <v>1000</v>
      </c>
    </row>
    <row r="3992" ht="16.5" spans="1:5">
      <c r="A3992" s="151">
        <v>3991</v>
      </c>
      <c r="B3992" s="152" t="s">
        <v>13303</v>
      </c>
      <c r="C3992" s="153" t="s">
        <v>16629</v>
      </c>
      <c r="D3992" s="158">
        <v>10</v>
      </c>
      <c r="E3992" s="155">
        <f>+D3992*100</f>
        <v>1000</v>
      </c>
    </row>
    <row r="3993" ht="16.5" spans="1:5">
      <c r="A3993" s="151">
        <v>3992</v>
      </c>
      <c r="B3993" s="152" t="s">
        <v>13306</v>
      </c>
      <c r="C3993" s="160" t="s">
        <v>16630</v>
      </c>
      <c r="D3993" s="160">
        <v>10</v>
      </c>
      <c r="E3993" s="161">
        <f>SUM(D3993*100)</f>
        <v>1000</v>
      </c>
    </row>
    <row r="3994" ht="16.5" spans="1:5">
      <c r="A3994" s="151">
        <v>3993</v>
      </c>
      <c r="B3994" s="152" t="s">
        <v>13310</v>
      </c>
      <c r="C3994" s="162" t="s">
        <v>16631</v>
      </c>
      <c r="D3994" s="163">
        <v>1000</v>
      </c>
      <c r="E3994" s="163">
        <f>D3994*100</f>
        <v>100000</v>
      </c>
    </row>
    <row r="3995" ht="16.5" spans="1:5">
      <c r="A3995" s="151">
        <v>3994</v>
      </c>
      <c r="B3995" s="152" t="s">
        <v>13314</v>
      </c>
      <c r="C3995" s="153" t="s">
        <v>16629</v>
      </c>
      <c r="D3995" s="154">
        <v>10</v>
      </c>
      <c r="E3995" s="155">
        <f>+D3995*100</f>
        <v>1000</v>
      </c>
    </row>
    <row r="3996" ht="16.5" spans="1:5">
      <c r="A3996" s="151">
        <v>3995</v>
      </c>
      <c r="B3996" s="152" t="s">
        <v>13317</v>
      </c>
      <c r="C3996" s="156" t="s">
        <v>16629</v>
      </c>
      <c r="D3996" s="157">
        <v>10</v>
      </c>
      <c r="E3996" s="155">
        <f>+D3996*100</f>
        <v>1000</v>
      </c>
    </row>
    <row r="3997" ht="16.5" spans="1:5">
      <c r="A3997" s="151">
        <v>3996</v>
      </c>
      <c r="B3997" s="152" t="s">
        <v>13320</v>
      </c>
      <c r="C3997" s="156" t="s">
        <v>16629</v>
      </c>
      <c r="D3997" s="154">
        <v>10</v>
      </c>
      <c r="E3997" s="155">
        <f>+D3997*100</f>
        <v>1000</v>
      </c>
    </row>
    <row r="3998" ht="16.5" spans="1:5">
      <c r="A3998" s="151">
        <v>3997</v>
      </c>
      <c r="B3998" s="152" t="s">
        <v>13323</v>
      </c>
      <c r="C3998" s="162" t="s">
        <v>16631</v>
      </c>
      <c r="D3998" s="169">
        <v>4000</v>
      </c>
      <c r="E3998" s="170">
        <f>D3998*100</f>
        <v>400000</v>
      </c>
    </row>
    <row r="3999" ht="16.5" spans="1:5">
      <c r="A3999" s="151">
        <v>3998</v>
      </c>
      <c r="B3999" s="152" t="s">
        <v>13328</v>
      </c>
      <c r="C3999" s="160" t="s">
        <v>16630</v>
      </c>
      <c r="D3999" s="160">
        <v>250</v>
      </c>
      <c r="E3999" s="161">
        <f>SUM(D3999*100)</f>
        <v>25000</v>
      </c>
    </row>
    <row r="4000" ht="16.5" spans="1:5">
      <c r="A4000" s="151">
        <v>3999</v>
      </c>
      <c r="B4000" s="152" t="s">
        <v>13331</v>
      </c>
      <c r="C4000" s="162" t="s">
        <v>16631</v>
      </c>
      <c r="D4000" s="163">
        <v>1000</v>
      </c>
      <c r="E4000" s="163">
        <f>D4000*100</f>
        <v>100000</v>
      </c>
    </row>
    <row r="4001" ht="16.5" spans="1:5">
      <c r="A4001" s="151">
        <v>4000</v>
      </c>
      <c r="B4001" s="152" t="s">
        <v>13335</v>
      </c>
      <c r="C4001" s="156" t="s">
        <v>16629</v>
      </c>
      <c r="D4001" s="159">
        <v>10</v>
      </c>
      <c r="E4001" s="155">
        <f>+D4001*100</f>
        <v>1000</v>
      </c>
    </row>
    <row r="4002" ht="16.5" spans="1:5">
      <c r="A4002" s="151">
        <v>4001</v>
      </c>
      <c r="B4002" s="152" t="s">
        <v>13338</v>
      </c>
      <c r="C4002" s="156" t="s">
        <v>16629</v>
      </c>
      <c r="D4002" s="159">
        <v>10</v>
      </c>
      <c r="E4002" s="155">
        <f>+D4002*100</f>
        <v>1000</v>
      </c>
    </row>
    <row r="4003" ht="16.5" spans="1:5">
      <c r="A4003" s="151">
        <v>4002</v>
      </c>
      <c r="B4003" s="152" t="s">
        <v>13342</v>
      </c>
      <c r="C4003" s="156" t="s">
        <v>16629</v>
      </c>
      <c r="D4003" s="159">
        <v>50</v>
      </c>
      <c r="E4003" s="155">
        <f>+D4003*100</f>
        <v>5000</v>
      </c>
    </row>
    <row r="4004" ht="16.5" spans="1:5">
      <c r="A4004" s="151">
        <v>4003</v>
      </c>
      <c r="B4004" s="152" t="s">
        <v>13346</v>
      </c>
      <c r="C4004" s="153" t="s">
        <v>16629</v>
      </c>
      <c r="D4004" s="154">
        <v>10</v>
      </c>
      <c r="E4004" s="155">
        <f>+D4004*100</f>
        <v>1000</v>
      </c>
    </row>
    <row r="4005" ht="16.5" spans="1:5">
      <c r="A4005" s="151">
        <v>4004</v>
      </c>
      <c r="B4005" s="152" t="s">
        <v>13350</v>
      </c>
      <c r="C4005" s="166" t="s">
        <v>16632</v>
      </c>
      <c r="D4005" s="166">
        <f>IFERROR(__xludf.DUMMYFUNCTION("""COMPUTED_VALUE"""),10000)</f>
        <v>10000</v>
      </c>
      <c r="E4005" s="168">
        <f>IFERROR(__xludf.DUMMYFUNCTION("""COMPUTED_VALUE"""),1500000)</f>
        <v>1500000</v>
      </c>
    </row>
    <row r="4006" ht="16.5" spans="1:5">
      <c r="A4006" s="151">
        <v>4005</v>
      </c>
      <c r="B4006" s="152" t="s">
        <v>13351</v>
      </c>
      <c r="C4006" s="153" t="s">
        <v>16629</v>
      </c>
      <c r="D4006" s="158">
        <v>10</v>
      </c>
      <c r="E4006" s="155">
        <f t="shared" ref="E4006:E4012" si="145">+D4006*100</f>
        <v>1000</v>
      </c>
    </row>
    <row r="4007" ht="16.5" spans="1:5">
      <c r="A4007" s="151">
        <v>4006</v>
      </c>
      <c r="B4007" s="152" t="s">
        <v>13354</v>
      </c>
      <c r="C4007" s="156" t="s">
        <v>16629</v>
      </c>
      <c r="D4007" s="157">
        <v>10</v>
      </c>
      <c r="E4007" s="155">
        <f t="shared" si="145"/>
        <v>1000</v>
      </c>
    </row>
    <row r="4008" ht="16.5" spans="1:5">
      <c r="A4008" s="151">
        <v>4007</v>
      </c>
      <c r="B4008" s="152" t="s">
        <v>13358</v>
      </c>
      <c r="C4008" s="153" t="s">
        <v>16629</v>
      </c>
      <c r="D4008" s="158">
        <v>10</v>
      </c>
      <c r="E4008" s="155">
        <f t="shared" si="145"/>
        <v>1000</v>
      </c>
    </row>
    <row r="4009" ht="16.5" spans="1:5">
      <c r="A4009" s="151">
        <v>4008</v>
      </c>
      <c r="B4009" s="152" t="s">
        <v>13361</v>
      </c>
      <c r="C4009" s="156" t="s">
        <v>16629</v>
      </c>
      <c r="D4009" s="157">
        <v>10</v>
      </c>
      <c r="E4009" s="155">
        <f t="shared" si="145"/>
        <v>1000</v>
      </c>
    </row>
    <row r="4010" ht="16.5" spans="1:5">
      <c r="A4010" s="151">
        <v>4009</v>
      </c>
      <c r="B4010" s="152" t="s">
        <v>13364</v>
      </c>
      <c r="C4010" s="156" t="s">
        <v>16629</v>
      </c>
      <c r="D4010" s="159">
        <v>10</v>
      </c>
      <c r="E4010" s="155">
        <f t="shared" si="145"/>
        <v>1000</v>
      </c>
    </row>
    <row r="4011" ht="16.5" spans="1:5">
      <c r="A4011" s="151">
        <v>4010</v>
      </c>
      <c r="B4011" s="152" t="s">
        <v>13367</v>
      </c>
      <c r="C4011" s="153" t="s">
        <v>16629</v>
      </c>
      <c r="D4011" s="158">
        <v>10</v>
      </c>
      <c r="E4011" s="155">
        <f t="shared" si="145"/>
        <v>1000</v>
      </c>
    </row>
    <row r="4012" ht="16.5" spans="1:5">
      <c r="A4012" s="151">
        <v>4011</v>
      </c>
      <c r="B4012" s="152" t="s">
        <v>13370</v>
      </c>
      <c r="C4012" s="156" t="s">
        <v>16629</v>
      </c>
      <c r="D4012" s="157">
        <v>10</v>
      </c>
      <c r="E4012" s="155">
        <f t="shared" si="145"/>
        <v>1000</v>
      </c>
    </row>
    <row r="4013" ht="16.5" spans="1:5">
      <c r="A4013" s="151">
        <v>4012</v>
      </c>
      <c r="B4013" s="152" t="s">
        <v>13373</v>
      </c>
      <c r="C4013" s="160" t="s">
        <v>16630</v>
      </c>
      <c r="D4013" s="160">
        <v>1000</v>
      </c>
      <c r="E4013" s="161">
        <f>SUM(D4013*100)</f>
        <v>100000</v>
      </c>
    </row>
    <row r="4014" ht="16.5" spans="1:5">
      <c r="A4014" s="151">
        <v>4013</v>
      </c>
      <c r="B4014" s="152" t="s">
        <v>13377</v>
      </c>
      <c r="C4014" s="153" t="s">
        <v>16629</v>
      </c>
      <c r="D4014" s="158">
        <v>10</v>
      </c>
      <c r="E4014" s="155">
        <f t="shared" ref="E4014:E4025" si="146">+D4014*100</f>
        <v>1000</v>
      </c>
    </row>
    <row r="4015" ht="16.5" spans="1:5">
      <c r="A4015" s="151">
        <v>4014</v>
      </c>
      <c r="B4015" s="152" t="s">
        <v>13381</v>
      </c>
      <c r="C4015" s="153" t="s">
        <v>16629</v>
      </c>
      <c r="D4015" s="154">
        <v>10</v>
      </c>
      <c r="E4015" s="155">
        <f t="shared" si="146"/>
        <v>1000</v>
      </c>
    </row>
    <row r="4016" ht="16.5" spans="1:5">
      <c r="A4016" s="151">
        <v>4015</v>
      </c>
      <c r="B4016" s="152" t="s">
        <v>13384</v>
      </c>
      <c r="C4016" s="153" t="s">
        <v>16629</v>
      </c>
      <c r="D4016" s="154">
        <v>10</v>
      </c>
      <c r="E4016" s="155">
        <f t="shared" si="146"/>
        <v>1000</v>
      </c>
    </row>
    <row r="4017" ht="16.5" spans="1:5">
      <c r="A4017" s="151">
        <v>4016</v>
      </c>
      <c r="B4017" s="152" t="s">
        <v>13388</v>
      </c>
      <c r="C4017" s="156" t="s">
        <v>16629</v>
      </c>
      <c r="D4017" s="159">
        <v>10</v>
      </c>
      <c r="E4017" s="155">
        <f t="shared" si="146"/>
        <v>1000</v>
      </c>
    </row>
    <row r="4018" ht="16.5" spans="1:5">
      <c r="A4018" s="151">
        <v>4017</v>
      </c>
      <c r="B4018" s="152" t="s">
        <v>13391</v>
      </c>
      <c r="C4018" s="153" t="s">
        <v>16629</v>
      </c>
      <c r="D4018" s="154">
        <v>10</v>
      </c>
      <c r="E4018" s="155">
        <f t="shared" si="146"/>
        <v>1000</v>
      </c>
    </row>
    <row r="4019" ht="16.5" spans="1:5">
      <c r="A4019" s="151">
        <v>4018</v>
      </c>
      <c r="B4019" s="152" t="s">
        <v>13394</v>
      </c>
      <c r="C4019" s="156" t="s">
        <v>16629</v>
      </c>
      <c r="D4019" s="159">
        <v>10</v>
      </c>
      <c r="E4019" s="155">
        <f t="shared" si="146"/>
        <v>1000</v>
      </c>
    </row>
    <row r="4020" ht="16.5" spans="1:5">
      <c r="A4020" s="151">
        <v>4019</v>
      </c>
      <c r="B4020" s="152" t="s">
        <v>13397</v>
      </c>
      <c r="C4020" s="153" t="s">
        <v>16629</v>
      </c>
      <c r="D4020" s="154">
        <v>10</v>
      </c>
      <c r="E4020" s="155">
        <f t="shared" si="146"/>
        <v>1000</v>
      </c>
    </row>
    <row r="4021" ht="16.5" spans="1:5">
      <c r="A4021" s="151">
        <v>4020</v>
      </c>
      <c r="B4021" s="152" t="s">
        <v>13400</v>
      </c>
      <c r="C4021" s="153" t="s">
        <v>16629</v>
      </c>
      <c r="D4021" s="154">
        <v>10</v>
      </c>
      <c r="E4021" s="155">
        <f t="shared" si="146"/>
        <v>1000</v>
      </c>
    </row>
    <row r="4022" ht="16.5" spans="1:5">
      <c r="A4022" s="151">
        <v>4021</v>
      </c>
      <c r="B4022" s="152" t="s">
        <v>13403</v>
      </c>
      <c r="C4022" s="156" t="s">
        <v>16629</v>
      </c>
      <c r="D4022" s="159">
        <v>10</v>
      </c>
      <c r="E4022" s="155">
        <f t="shared" si="146"/>
        <v>1000</v>
      </c>
    </row>
    <row r="4023" ht="16.5" spans="1:5">
      <c r="A4023" s="151">
        <v>4022</v>
      </c>
      <c r="B4023" s="152" t="s">
        <v>13406</v>
      </c>
      <c r="C4023" s="156" t="s">
        <v>16629</v>
      </c>
      <c r="D4023" s="159">
        <v>10</v>
      </c>
      <c r="E4023" s="155">
        <f t="shared" si="146"/>
        <v>1000</v>
      </c>
    </row>
    <row r="4024" ht="16.5" spans="1:5">
      <c r="A4024" s="151">
        <v>4023</v>
      </c>
      <c r="B4024" s="152" t="s">
        <v>13409</v>
      </c>
      <c r="C4024" s="156" t="s">
        <v>16629</v>
      </c>
      <c r="D4024" s="159">
        <v>10</v>
      </c>
      <c r="E4024" s="155">
        <f t="shared" si="146"/>
        <v>1000</v>
      </c>
    </row>
    <row r="4025" ht="16.5" spans="1:5">
      <c r="A4025" s="151">
        <v>4024</v>
      </c>
      <c r="B4025" s="152" t="s">
        <v>13412</v>
      </c>
      <c r="C4025" s="153" t="s">
        <v>16629</v>
      </c>
      <c r="D4025" s="154">
        <v>10</v>
      </c>
      <c r="E4025" s="155">
        <f t="shared" si="146"/>
        <v>1000</v>
      </c>
    </row>
    <row r="4026" ht="16.5" spans="1:5">
      <c r="A4026" s="151">
        <v>4025</v>
      </c>
      <c r="B4026" s="152" t="s">
        <v>13415</v>
      </c>
      <c r="C4026" s="162" t="s">
        <v>16633</v>
      </c>
      <c r="D4026" s="171">
        <f>G4026/100</f>
        <v>0</v>
      </c>
      <c r="E4026" s="171">
        <f>G4026</f>
        <v>0</v>
      </c>
    </row>
    <row r="4027" ht="16.5" spans="1:5">
      <c r="A4027" s="151">
        <v>4026</v>
      </c>
      <c r="B4027" s="152" t="s">
        <v>13420</v>
      </c>
      <c r="C4027" s="156" t="s">
        <v>16629</v>
      </c>
      <c r="D4027" s="159">
        <v>10</v>
      </c>
      <c r="E4027" s="155">
        <f>+D4027*100</f>
        <v>1000</v>
      </c>
    </row>
    <row r="4028" ht="16.5" spans="1:5">
      <c r="A4028" s="151">
        <v>4027</v>
      </c>
      <c r="B4028" s="152" t="s">
        <v>13423</v>
      </c>
      <c r="C4028" s="156" t="s">
        <v>16629</v>
      </c>
      <c r="D4028" s="159">
        <v>10</v>
      </c>
      <c r="E4028" s="155">
        <f>+D4028*100</f>
        <v>1000</v>
      </c>
    </row>
    <row r="4029" ht="16.5" spans="1:5">
      <c r="A4029" s="151">
        <v>4028</v>
      </c>
      <c r="B4029" s="152" t="s">
        <v>13427</v>
      </c>
      <c r="C4029" s="160" t="s">
        <v>16630</v>
      </c>
      <c r="D4029" s="160">
        <v>50</v>
      </c>
      <c r="E4029" s="161">
        <f>SUM(D4029*100)</f>
        <v>5000</v>
      </c>
    </row>
    <row r="4030" ht="16.5" spans="1:5">
      <c r="A4030" s="151">
        <v>4029</v>
      </c>
      <c r="B4030" s="152" t="s">
        <v>13430</v>
      </c>
      <c r="C4030" s="156" t="s">
        <v>16629</v>
      </c>
      <c r="D4030" s="159">
        <v>10</v>
      </c>
      <c r="E4030" s="155">
        <f t="shared" ref="E4030:E4035" si="147">+D4030*100</f>
        <v>1000</v>
      </c>
    </row>
    <row r="4031" ht="16.5" spans="1:5">
      <c r="A4031" s="151">
        <v>4030</v>
      </c>
      <c r="B4031" s="152" t="s">
        <v>13433</v>
      </c>
      <c r="C4031" s="153" t="s">
        <v>16629</v>
      </c>
      <c r="D4031" s="154">
        <v>10</v>
      </c>
      <c r="E4031" s="155">
        <f t="shared" si="147"/>
        <v>1000</v>
      </c>
    </row>
    <row r="4032" ht="16.5" spans="1:5">
      <c r="A4032" s="151">
        <v>4031</v>
      </c>
      <c r="B4032" s="152" t="s">
        <v>13436</v>
      </c>
      <c r="C4032" s="153" t="s">
        <v>16629</v>
      </c>
      <c r="D4032" s="158">
        <v>10</v>
      </c>
      <c r="E4032" s="155">
        <f t="shared" si="147"/>
        <v>1000</v>
      </c>
    </row>
    <row r="4033" ht="16.5" spans="1:5">
      <c r="A4033" s="151">
        <v>4032</v>
      </c>
      <c r="B4033" s="152" t="s">
        <v>13440</v>
      </c>
      <c r="C4033" s="156" t="s">
        <v>16629</v>
      </c>
      <c r="D4033" s="159">
        <v>10</v>
      </c>
      <c r="E4033" s="155">
        <f t="shared" si="147"/>
        <v>1000</v>
      </c>
    </row>
    <row r="4034" ht="16.5" spans="1:5">
      <c r="A4034" s="151">
        <v>4033</v>
      </c>
      <c r="B4034" s="152" t="s">
        <v>13443</v>
      </c>
      <c r="C4034" s="156" t="s">
        <v>16629</v>
      </c>
      <c r="D4034" s="154">
        <v>10</v>
      </c>
      <c r="E4034" s="155">
        <f t="shared" si="147"/>
        <v>1000</v>
      </c>
    </row>
    <row r="4035" ht="16.5" spans="1:5">
      <c r="A4035" s="151">
        <v>4034</v>
      </c>
      <c r="B4035" s="152" t="s">
        <v>13446</v>
      </c>
      <c r="C4035" s="156" t="s">
        <v>16629</v>
      </c>
      <c r="D4035" s="159">
        <v>10</v>
      </c>
      <c r="E4035" s="155">
        <f t="shared" si="147"/>
        <v>1000</v>
      </c>
    </row>
    <row r="4036" ht="16.5" spans="1:5">
      <c r="A4036" s="151">
        <v>4035</v>
      </c>
      <c r="B4036" s="152" t="s">
        <v>13449</v>
      </c>
      <c r="C4036" s="160" t="s">
        <v>16630</v>
      </c>
      <c r="D4036" s="160">
        <v>100</v>
      </c>
      <c r="E4036" s="161">
        <f>SUM(D4036*100)</f>
        <v>10000</v>
      </c>
    </row>
    <row r="4037" ht="16.5" spans="1:5">
      <c r="A4037" s="151">
        <v>4036</v>
      </c>
      <c r="B4037" s="152" t="s">
        <v>13452</v>
      </c>
      <c r="C4037" s="153" t="s">
        <v>16629</v>
      </c>
      <c r="D4037" s="154">
        <v>10</v>
      </c>
      <c r="E4037" s="155">
        <f t="shared" ref="E4037:E4043" si="148">+D4037*100</f>
        <v>1000</v>
      </c>
    </row>
    <row r="4038" ht="16.5" spans="1:5">
      <c r="A4038" s="151">
        <v>4037</v>
      </c>
      <c r="B4038" s="152" t="s">
        <v>13455</v>
      </c>
      <c r="C4038" s="153" t="s">
        <v>16629</v>
      </c>
      <c r="D4038" s="154">
        <v>10</v>
      </c>
      <c r="E4038" s="155">
        <f t="shared" si="148"/>
        <v>1000</v>
      </c>
    </row>
    <row r="4039" ht="16.5" spans="1:5">
      <c r="A4039" s="151">
        <v>4038</v>
      </c>
      <c r="B4039" s="152" t="s">
        <v>13458</v>
      </c>
      <c r="C4039" s="153" t="s">
        <v>16629</v>
      </c>
      <c r="D4039" s="158">
        <v>10</v>
      </c>
      <c r="E4039" s="155">
        <f t="shared" si="148"/>
        <v>1000</v>
      </c>
    </row>
    <row r="4040" ht="16.5" spans="1:5">
      <c r="A4040" s="151">
        <v>4039</v>
      </c>
      <c r="B4040" s="152" t="s">
        <v>13461</v>
      </c>
      <c r="C4040" s="156" t="s">
        <v>16629</v>
      </c>
      <c r="D4040" s="159">
        <v>10</v>
      </c>
      <c r="E4040" s="155">
        <f t="shared" si="148"/>
        <v>1000</v>
      </c>
    </row>
    <row r="4041" ht="16.5" spans="1:5">
      <c r="A4041" s="151">
        <v>4040</v>
      </c>
      <c r="B4041" s="152" t="s">
        <v>13464</v>
      </c>
      <c r="C4041" s="153" t="s">
        <v>16629</v>
      </c>
      <c r="D4041" s="154">
        <v>10</v>
      </c>
      <c r="E4041" s="155">
        <f t="shared" si="148"/>
        <v>1000</v>
      </c>
    </row>
    <row r="4042" ht="16.5" spans="1:5">
      <c r="A4042" s="151">
        <v>4041</v>
      </c>
      <c r="B4042" s="152" t="s">
        <v>13467</v>
      </c>
      <c r="C4042" s="156" t="s">
        <v>16629</v>
      </c>
      <c r="D4042" s="157">
        <v>10</v>
      </c>
      <c r="E4042" s="155">
        <f t="shared" si="148"/>
        <v>1000</v>
      </c>
    </row>
    <row r="4043" ht="16.5" spans="1:5">
      <c r="A4043" s="151">
        <v>4042</v>
      </c>
      <c r="B4043" s="152" t="s">
        <v>13471</v>
      </c>
      <c r="C4043" s="156" t="s">
        <v>16629</v>
      </c>
      <c r="D4043" s="159">
        <v>10</v>
      </c>
      <c r="E4043" s="155">
        <f t="shared" si="148"/>
        <v>1000</v>
      </c>
    </row>
    <row r="4044" ht="16.5" spans="1:5">
      <c r="A4044" s="151">
        <v>4043</v>
      </c>
      <c r="B4044" s="152" t="s">
        <v>13474</v>
      </c>
      <c r="C4044" s="166" t="s">
        <v>16632</v>
      </c>
      <c r="D4044" s="166">
        <f>IFERROR(__xludf.DUMMYFUNCTION("""COMPUTED_VALUE"""),10000)</f>
        <v>10000</v>
      </c>
      <c r="E4044" s="168">
        <f>IFERROR(__xludf.DUMMYFUNCTION("""COMPUTED_VALUE"""),1500000)</f>
        <v>1500000</v>
      </c>
    </row>
    <row r="4045" ht="16.5" spans="1:5">
      <c r="A4045" s="151">
        <v>4044</v>
      </c>
      <c r="B4045" s="152" t="s">
        <v>13475</v>
      </c>
      <c r="C4045" s="160" t="s">
        <v>16630</v>
      </c>
      <c r="D4045" s="160">
        <v>100</v>
      </c>
      <c r="E4045" s="161">
        <f>SUM(D4045*100)</f>
        <v>10000</v>
      </c>
    </row>
    <row r="4046" ht="16.5" spans="1:5">
      <c r="A4046" s="151">
        <v>4045</v>
      </c>
      <c r="B4046" s="152" t="s">
        <v>13479</v>
      </c>
      <c r="C4046" s="156" t="s">
        <v>16629</v>
      </c>
      <c r="D4046" s="159">
        <v>10</v>
      </c>
      <c r="E4046" s="155">
        <f>+D4046*100</f>
        <v>1000</v>
      </c>
    </row>
    <row r="4047" ht="16.5" spans="1:5">
      <c r="A4047" s="151">
        <v>4046</v>
      </c>
      <c r="B4047" s="152" t="s">
        <v>13483</v>
      </c>
      <c r="C4047" s="162" t="s">
        <v>16633</v>
      </c>
      <c r="D4047" s="171">
        <f>G4047/100</f>
        <v>0</v>
      </c>
      <c r="E4047" s="171">
        <f>G4047</f>
        <v>0</v>
      </c>
    </row>
    <row r="4048" ht="16.5" spans="1:5">
      <c r="A4048" s="151">
        <v>4047</v>
      </c>
      <c r="B4048" s="152" t="s">
        <v>13487</v>
      </c>
      <c r="C4048" s="153" t="s">
        <v>16629</v>
      </c>
      <c r="D4048" s="154">
        <v>10</v>
      </c>
      <c r="E4048" s="155">
        <f>+D4048*100</f>
        <v>1000</v>
      </c>
    </row>
    <row r="4049" ht="16.5" spans="1:5">
      <c r="A4049" s="151">
        <v>4048</v>
      </c>
      <c r="B4049" s="152" t="s">
        <v>13490</v>
      </c>
      <c r="C4049" s="160" t="s">
        <v>16630</v>
      </c>
      <c r="D4049" s="172">
        <v>100</v>
      </c>
      <c r="E4049" s="161">
        <f>+D4049*100</f>
        <v>10000</v>
      </c>
    </row>
    <row r="4050" ht="16.5" spans="1:5">
      <c r="A4050" s="151">
        <v>4049</v>
      </c>
      <c r="B4050" s="152" t="s">
        <v>13493</v>
      </c>
      <c r="C4050" s="153" t="s">
        <v>16629</v>
      </c>
      <c r="D4050" s="154">
        <v>10</v>
      </c>
      <c r="E4050" s="155">
        <f>+D4050*100</f>
        <v>1000</v>
      </c>
    </row>
    <row r="4051" ht="16.5" spans="1:5">
      <c r="A4051" s="151">
        <v>4050</v>
      </c>
      <c r="B4051" s="152" t="s">
        <v>13496</v>
      </c>
      <c r="C4051" s="156" t="s">
        <v>16629</v>
      </c>
      <c r="D4051" s="159">
        <v>10</v>
      </c>
      <c r="E4051" s="155">
        <f>+D4051*100</f>
        <v>1000</v>
      </c>
    </row>
    <row r="4052" ht="16.5" spans="1:5">
      <c r="A4052" s="151">
        <v>4051</v>
      </c>
      <c r="B4052" s="152" t="s">
        <v>13499</v>
      </c>
      <c r="C4052" s="153" t="s">
        <v>16629</v>
      </c>
      <c r="D4052" s="154">
        <v>10</v>
      </c>
      <c r="E4052" s="155">
        <f>+D4052*100</f>
        <v>1000</v>
      </c>
    </row>
    <row r="4053" ht="16.5" spans="1:5">
      <c r="A4053" s="151">
        <v>4052</v>
      </c>
      <c r="B4053" s="152" t="s">
        <v>13502</v>
      </c>
      <c r="C4053" s="160" t="s">
        <v>16630</v>
      </c>
      <c r="D4053" s="160">
        <v>100</v>
      </c>
      <c r="E4053" s="161">
        <f>SUM(D4053*100)</f>
        <v>10000</v>
      </c>
    </row>
    <row r="4054" ht="16.5" spans="1:5">
      <c r="A4054" s="151">
        <v>4053</v>
      </c>
      <c r="B4054" s="152" t="s">
        <v>13506</v>
      </c>
      <c r="C4054" s="153" t="s">
        <v>16629</v>
      </c>
      <c r="D4054" s="154">
        <v>10</v>
      </c>
      <c r="E4054" s="155">
        <f>+D4054*100</f>
        <v>1000</v>
      </c>
    </row>
    <row r="4055" ht="16.5" spans="1:5">
      <c r="A4055" s="151">
        <v>4054</v>
      </c>
      <c r="B4055" s="152" t="s">
        <v>13509</v>
      </c>
      <c r="C4055" s="160" t="s">
        <v>16630</v>
      </c>
      <c r="D4055" s="160">
        <v>220</v>
      </c>
      <c r="E4055" s="161">
        <f>SUM(D4055*100)</f>
        <v>22000</v>
      </c>
    </row>
    <row r="4056" ht="16.5" spans="1:5">
      <c r="A4056" s="151">
        <v>4055</v>
      </c>
      <c r="B4056" s="152" t="s">
        <v>13513</v>
      </c>
      <c r="C4056" s="156" t="s">
        <v>16629</v>
      </c>
      <c r="D4056" s="157">
        <v>10</v>
      </c>
      <c r="E4056" s="155">
        <f>+D4056*100</f>
        <v>1000</v>
      </c>
    </row>
    <row r="4057" ht="16.5" spans="1:5">
      <c r="A4057" s="151">
        <v>4056</v>
      </c>
      <c r="B4057" s="152" t="s">
        <v>13516</v>
      </c>
      <c r="C4057" s="160" t="s">
        <v>16630</v>
      </c>
      <c r="D4057" s="160">
        <v>100</v>
      </c>
      <c r="E4057" s="161">
        <f>SUM(D4057*100)</f>
        <v>10000</v>
      </c>
    </row>
    <row r="4058" ht="16.5" spans="1:5">
      <c r="A4058" s="151">
        <v>4057</v>
      </c>
      <c r="B4058" s="152" t="s">
        <v>13519</v>
      </c>
      <c r="C4058" s="160" t="s">
        <v>16630</v>
      </c>
      <c r="D4058" s="160">
        <v>25</v>
      </c>
      <c r="E4058" s="161">
        <f>SUM(D4058*100)</f>
        <v>2500</v>
      </c>
    </row>
    <row r="4059" ht="16.5" spans="1:5">
      <c r="A4059" s="151">
        <v>4058</v>
      </c>
      <c r="B4059" s="152" t="s">
        <v>13523</v>
      </c>
      <c r="C4059" s="160" t="s">
        <v>16630</v>
      </c>
      <c r="D4059" s="160">
        <v>25</v>
      </c>
      <c r="E4059" s="161">
        <f>SUM(D4059*100)</f>
        <v>2500</v>
      </c>
    </row>
    <row r="4060" ht="16.5" spans="1:5">
      <c r="A4060" s="151">
        <v>4059</v>
      </c>
      <c r="B4060" s="152" t="s">
        <v>13527</v>
      </c>
      <c r="C4060" s="160" t="s">
        <v>16630</v>
      </c>
      <c r="D4060" s="160">
        <v>25</v>
      </c>
      <c r="E4060" s="161">
        <f>SUM(D4060*100)</f>
        <v>2500</v>
      </c>
    </row>
    <row r="4061" ht="16.5" spans="1:5">
      <c r="A4061" s="151">
        <v>4060</v>
      </c>
      <c r="B4061" s="152" t="s">
        <v>13531</v>
      </c>
      <c r="C4061" s="160" t="s">
        <v>16630</v>
      </c>
      <c r="D4061" s="160">
        <v>25</v>
      </c>
      <c r="E4061" s="161">
        <f>SUM(D4061*100)</f>
        <v>2500</v>
      </c>
    </row>
    <row r="4062" ht="16.5" spans="1:5">
      <c r="A4062" s="151">
        <v>4061</v>
      </c>
      <c r="B4062" s="152" t="s">
        <v>13535</v>
      </c>
      <c r="C4062" s="153" t="s">
        <v>16629</v>
      </c>
      <c r="D4062" s="158">
        <v>10</v>
      </c>
      <c r="E4062" s="155">
        <f>+D4062*100</f>
        <v>1000</v>
      </c>
    </row>
    <row r="4063" ht="16.5" spans="1:5">
      <c r="A4063" s="151">
        <v>4062</v>
      </c>
      <c r="B4063" s="152" t="s">
        <v>13538</v>
      </c>
      <c r="C4063" s="160" t="s">
        <v>16630</v>
      </c>
      <c r="D4063" s="160">
        <v>10</v>
      </c>
      <c r="E4063" s="161">
        <f>SUM(D4063*100)</f>
        <v>1000</v>
      </c>
    </row>
    <row r="4064" ht="16.5" spans="1:5">
      <c r="A4064" s="151">
        <v>4063</v>
      </c>
      <c r="B4064" s="152" t="s">
        <v>13542</v>
      </c>
      <c r="C4064" s="162" t="s">
        <v>16631</v>
      </c>
      <c r="D4064" s="163">
        <v>1000</v>
      </c>
      <c r="E4064" s="163">
        <f>D4064*100</f>
        <v>100000</v>
      </c>
    </row>
    <row r="4065" ht="16.5" spans="1:5">
      <c r="A4065" s="151">
        <v>4064</v>
      </c>
      <c r="B4065" s="152" t="s">
        <v>13547</v>
      </c>
      <c r="C4065" s="160" t="s">
        <v>16630</v>
      </c>
      <c r="D4065" s="160">
        <v>100</v>
      </c>
      <c r="E4065" s="161">
        <f>SUM(D4065*100)</f>
        <v>10000</v>
      </c>
    </row>
    <row r="4066" ht="16.5" spans="1:5">
      <c r="A4066" s="151">
        <v>4065</v>
      </c>
      <c r="B4066" s="152" t="s">
        <v>13551</v>
      </c>
      <c r="C4066" s="160" t="s">
        <v>16630</v>
      </c>
      <c r="D4066" s="164">
        <v>100</v>
      </c>
      <c r="E4066" s="161">
        <f>SUM(D4066*100)</f>
        <v>10000</v>
      </c>
    </row>
    <row r="4067" ht="16.5" spans="1:5">
      <c r="A4067" s="151">
        <v>4066</v>
      </c>
      <c r="B4067" s="152" t="s">
        <v>13554</v>
      </c>
      <c r="C4067" s="162" t="s">
        <v>16631</v>
      </c>
      <c r="D4067" s="163">
        <v>1000</v>
      </c>
      <c r="E4067" s="163">
        <f>D4067*100</f>
        <v>100000</v>
      </c>
    </row>
    <row r="4068" ht="16.5" spans="1:5">
      <c r="A4068" s="151">
        <v>4067</v>
      </c>
      <c r="B4068" s="152" t="s">
        <v>13559</v>
      </c>
      <c r="C4068" s="160" t="s">
        <v>16630</v>
      </c>
      <c r="D4068" s="165">
        <v>30</v>
      </c>
      <c r="E4068" s="161">
        <f>SUM(D4068*100)</f>
        <v>3000</v>
      </c>
    </row>
    <row r="4069" ht="16.5" spans="1:5">
      <c r="A4069" s="151">
        <v>4068</v>
      </c>
      <c r="B4069" s="152" t="s">
        <v>13562</v>
      </c>
      <c r="C4069" s="160" t="s">
        <v>16630</v>
      </c>
      <c r="D4069" s="165">
        <v>30</v>
      </c>
      <c r="E4069" s="161">
        <f>SUM(D4069*100)</f>
        <v>3000</v>
      </c>
    </row>
    <row r="4070" ht="16.5" spans="1:5">
      <c r="A4070" s="151">
        <v>4069</v>
      </c>
      <c r="B4070" s="152" t="s">
        <v>13565</v>
      </c>
      <c r="C4070" s="160" t="s">
        <v>16630</v>
      </c>
      <c r="D4070" s="165">
        <v>30</v>
      </c>
      <c r="E4070" s="161">
        <f>SUM(D4070*100)</f>
        <v>3000</v>
      </c>
    </row>
    <row r="4071" ht="16.5" spans="1:5">
      <c r="A4071" s="151">
        <v>4070</v>
      </c>
      <c r="B4071" s="152" t="s">
        <v>13568</v>
      </c>
      <c r="C4071" s="153" t="s">
        <v>16629</v>
      </c>
      <c r="D4071" s="154">
        <v>10</v>
      </c>
      <c r="E4071" s="155">
        <f t="shared" ref="E4071:E4096" si="149">+D4071*100</f>
        <v>1000</v>
      </c>
    </row>
    <row r="4072" ht="16.5" spans="1:5">
      <c r="A4072" s="151">
        <v>4071</v>
      </c>
      <c r="B4072" s="152" t="s">
        <v>13571</v>
      </c>
      <c r="C4072" s="153" t="s">
        <v>16629</v>
      </c>
      <c r="D4072" s="154">
        <v>10</v>
      </c>
      <c r="E4072" s="155">
        <f t="shared" si="149"/>
        <v>1000</v>
      </c>
    </row>
    <row r="4073" ht="16.5" spans="1:5">
      <c r="A4073" s="151">
        <v>4072</v>
      </c>
      <c r="B4073" s="152" t="s">
        <v>13575</v>
      </c>
      <c r="C4073" s="156" t="s">
        <v>16629</v>
      </c>
      <c r="D4073" s="159">
        <v>10</v>
      </c>
      <c r="E4073" s="155">
        <f t="shared" si="149"/>
        <v>1000</v>
      </c>
    </row>
    <row r="4074" ht="16.5" spans="1:5">
      <c r="A4074" s="151">
        <v>4073</v>
      </c>
      <c r="B4074" s="152" t="s">
        <v>13578</v>
      </c>
      <c r="C4074" s="156" t="s">
        <v>16629</v>
      </c>
      <c r="D4074" s="154">
        <v>10</v>
      </c>
      <c r="E4074" s="155">
        <f t="shared" si="149"/>
        <v>1000</v>
      </c>
    </row>
    <row r="4075" ht="16.5" spans="1:5">
      <c r="A4075" s="151">
        <v>4074</v>
      </c>
      <c r="B4075" s="152" t="s">
        <v>13581</v>
      </c>
      <c r="C4075" s="156" t="s">
        <v>16629</v>
      </c>
      <c r="D4075" s="157">
        <v>10</v>
      </c>
      <c r="E4075" s="155">
        <f t="shared" si="149"/>
        <v>1000</v>
      </c>
    </row>
    <row r="4076" ht="16.5" spans="1:5">
      <c r="A4076" s="151">
        <v>4075</v>
      </c>
      <c r="B4076" s="152" t="s">
        <v>13585</v>
      </c>
      <c r="C4076" s="153" t="s">
        <v>16629</v>
      </c>
      <c r="D4076" s="154">
        <v>10</v>
      </c>
      <c r="E4076" s="155">
        <f t="shared" si="149"/>
        <v>1000</v>
      </c>
    </row>
    <row r="4077" ht="16.5" spans="1:5">
      <c r="A4077" s="151">
        <v>4076</v>
      </c>
      <c r="B4077" s="152" t="s">
        <v>13589</v>
      </c>
      <c r="C4077" s="156" t="s">
        <v>16629</v>
      </c>
      <c r="D4077" s="159">
        <v>10</v>
      </c>
      <c r="E4077" s="155">
        <f t="shared" si="149"/>
        <v>1000</v>
      </c>
    </row>
    <row r="4078" ht="16.5" spans="1:5">
      <c r="A4078" s="151">
        <v>4077</v>
      </c>
      <c r="B4078" s="152" t="s">
        <v>13592</v>
      </c>
      <c r="C4078" s="153" t="s">
        <v>16629</v>
      </c>
      <c r="D4078" s="154">
        <v>10</v>
      </c>
      <c r="E4078" s="155">
        <f t="shared" si="149"/>
        <v>1000</v>
      </c>
    </row>
    <row r="4079" ht="16.5" spans="1:5">
      <c r="A4079" s="151">
        <v>4078</v>
      </c>
      <c r="B4079" s="152" t="s">
        <v>13596</v>
      </c>
      <c r="C4079" s="156" t="s">
        <v>16629</v>
      </c>
      <c r="D4079" s="154">
        <v>10</v>
      </c>
      <c r="E4079" s="155">
        <f t="shared" si="149"/>
        <v>1000</v>
      </c>
    </row>
    <row r="4080" ht="16.5" spans="1:5">
      <c r="A4080" s="151">
        <v>4079</v>
      </c>
      <c r="B4080" s="152" t="s">
        <v>13599</v>
      </c>
      <c r="C4080" s="156" t="s">
        <v>16629</v>
      </c>
      <c r="D4080" s="159">
        <v>10</v>
      </c>
      <c r="E4080" s="155">
        <f t="shared" si="149"/>
        <v>1000</v>
      </c>
    </row>
    <row r="4081" ht="16.5" spans="1:5">
      <c r="A4081" s="151">
        <v>4080</v>
      </c>
      <c r="B4081" s="152" t="s">
        <v>13603</v>
      </c>
      <c r="C4081" s="156" t="s">
        <v>16629</v>
      </c>
      <c r="D4081" s="157">
        <v>10</v>
      </c>
      <c r="E4081" s="155">
        <f t="shared" si="149"/>
        <v>1000</v>
      </c>
    </row>
    <row r="4082" ht="16.5" spans="1:5">
      <c r="A4082" s="151">
        <v>4081</v>
      </c>
      <c r="B4082" s="152" t="s">
        <v>13606</v>
      </c>
      <c r="C4082" s="156" t="s">
        <v>16629</v>
      </c>
      <c r="D4082" s="157">
        <v>10</v>
      </c>
      <c r="E4082" s="155">
        <f t="shared" si="149"/>
        <v>1000</v>
      </c>
    </row>
    <row r="4083" ht="16.5" spans="1:5">
      <c r="A4083" s="151">
        <v>4082</v>
      </c>
      <c r="B4083" s="152" t="s">
        <v>13609</v>
      </c>
      <c r="C4083" s="156" t="s">
        <v>16629</v>
      </c>
      <c r="D4083" s="158">
        <v>10</v>
      </c>
      <c r="E4083" s="155">
        <f t="shared" si="149"/>
        <v>1000</v>
      </c>
    </row>
    <row r="4084" ht="16.5" spans="1:5">
      <c r="A4084" s="151">
        <v>4083</v>
      </c>
      <c r="B4084" s="152" t="s">
        <v>13612</v>
      </c>
      <c r="C4084" s="153" t="s">
        <v>16629</v>
      </c>
      <c r="D4084" s="154">
        <v>10</v>
      </c>
      <c r="E4084" s="155">
        <f t="shared" si="149"/>
        <v>1000</v>
      </c>
    </row>
    <row r="4085" ht="16.5" spans="1:5">
      <c r="A4085" s="151">
        <v>4084</v>
      </c>
      <c r="B4085" s="152" t="s">
        <v>13616</v>
      </c>
      <c r="C4085" s="153" t="s">
        <v>16629</v>
      </c>
      <c r="D4085" s="154">
        <v>10</v>
      </c>
      <c r="E4085" s="155">
        <f t="shared" si="149"/>
        <v>1000</v>
      </c>
    </row>
    <row r="4086" ht="16.5" spans="1:5">
      <c r="A4086" s="151">
        <v>4085</v>
      </c>
      <c r="B4086" s="152" t="s">
        <v>13619</v>
      </c>
      <c r="C4086" s="153" t="s">
        <v>16629</v>
      </c>
      <c r="D4086" s="158">
        <v>10</v>
      </c>
      <c r="E4086" s="155">
        <f t="shared" si="149"/>
        <v>1000</v>
      </c>
    </row>
    <row r="4087" ht="16.5" spans="1:5">
      <c r="A4087" s="151">
        <v>4086</v>
      </c>
      <c r="B4087" s="152" t="s">
        <v>13622</v>
      </c>
      <c r="C4087" s="153" t="s">
        <v>16629</v>
      </c>
      <c r="D4087" s="154">
        <v>10</v>
      </c>
      <c r="E4087" s="155">
        <f t="shared" si="149"/>
        <v>1000</v>
      </c>
    </row>
    <row r="4088" ht="16.5" spans="1:5">
      <c r="A4088" s="151">
        <v>4087</v>
      </c>
      <c r="B4088" s="152" t="s">
        <v>13626</v>
      </c>
      <c r="C4088" s="153" t="s">
        <v>16629</v>
      </c>
      <c r="D4088" s="158">
        <v>10</v>
      </c>
      <c r="E4088" s="155">
        <f t="shared" si="149"/>
        <v>1000</v>
      </c>
    </row>
    <row r="4089" ht="16.5" spans="1:5">
      <c r="A4089" s="151">
        <v>4088</v>
      </c>
      <c r="B4089" s="152" t="s">
        <v>13629</v>
      </c>
      <c r="C4089" s="156" t="s">
        <v>16629</v>
      </c>
      <c r="D4089" s="158">
        <v>10</v>
      </c>
      <c r="E4089" s="155">
        <f t="shared" si="149"/>
        <v>1000</v>
      </c>
    </row>
    <row r="4090" ht="16.5" spans="1:5">
      <c r="A4090" s="151">
        <v>4089</v>
      </c>
      <c r="B4090" s="152" t="s">
        <v>13633</v>
      </c>
      <c r="C4090" s="153" t="s">
        <v>16629</v>
      </c>
      <c r="D4090" s="158">
        <v>10</v>
      </c>
      <c r="E4090" s="155">
        <f t="shared" si="149"/>
        <v>1000</v>
      </c>
    </row>
    <row r="4091" ht="16.5" spans="1:5">
      <c r="A4091" s="151">
        <v>4090</v>
      </c>
      <c r="B4091" s="152" t="s">
        <v>13637</v>
      </c>
      <c r="C4091" s="156" t="s">
        <v>16629</v>
      </c>
      <c r="D4091" s="159">
        <v>10</v>
      </c>
      <c r="E4091" s="155">
        <f t="shared" si="149"/>
        <v>1000</v>
      </c>
    </row>
    <row r="4092" ht="16.5" spans="1:5">
      <c r="A4092" s="151">
        <v>4091</v>
      </c>
      <c r="B4092" s="152" t="s">
        <v>13641</v>
      </c>
      <c r="C4092" s="153" t="s">
        <v>16629</v>
      </c>
      <c r="D4092" s="154">
        <v>10</v>
      </c>
      <c r="E4092" s="155">
        <f t="shared" si="149"/>
        <v>1000</v>
      </c>
    </row>
    <row r="4093" ht="16.5" spans="1:5">
      <c r="A4093" s="151">
        <v>4092</v>
      </c>
      <c r="B4093" s="152" t="s">
        <v>13644</v>
      </c>
      <c r="C4093" s="156" t="s">
        <v>16629</v>
      </c>
      <c r="D4093" s="157">
        <v>10</v>
      </c>
      <c r="E4093" s="155">
        <f t="shared" si="149"/>
        <v>1000</v>
      </c>
    </row>
    <row r="4094" ht="16.5" spans="1:5">
      <c r="A4094" s="151">
        <v>4093</v>
      </c>
      <c r="B4094" s="152" t="s">
        <v>13647</v>
      </c>
      <c r="C4094" s="156" t="s">
        <v>16629</v>
      </c>
      <c r="D4094" s="159">
        <v>10</v>
      </c>
      <c r="E4094" s="155">
        <f t="shared" si="149"/>
        <v>1000</v>
      </c>
    </row>
    <row r="4095" ht="16.5" spans="1:5">
      <c r="A4095" s="151">
        <v>4094</v>
      </c>
      <c r="B4095" s="152" t="s">
        <v>13651</v>
      </c>
      <c r="C4095" s="156" t="s">
        <v>16629</v>
      </c>
      <c r="D4095" s="154">
        <v>10</v>
      </c>
      <c r="E4095" s="155">
        <f t="shared" si="149"/>
        <v>1000</v>
      </c>
    </row>
    <row r="4096" ht="16.5" spans="1:5">
      <c r="A4096" s="151">
        <v>4095</v>
      </c>
      <c r="B4096" s="152" t="s">
        <v>13654</v>
      </c>
      <c r="C4096" s="153" t="s">
        <v>16629</v>
      </c>
      <c r="D4096" s="158">
        <v>10</v>
      </c>
      <c r="E4096" s="155">
        <f t="shared" si="149"/>
        <v>1000</v>
      </c>
    </row>
    <row r="4097" ht="16.5" spans="1:5">
      <c r="A4097" s="151">
        <v>4096</v>
      </c>
      <c r="B4097" s="152" t="s">
        <v>13657</v>
      </c>
      <c r="C4097" s="160" t="s">
        <v>16630</v>
      </c>
      <c r="D4097" s="160">
        <v>1000</v>
      </c>
      <c r="E4097" s="161">
        <f>SUM(D4097*100)</f>
        <v>100000</v>
      </c>
    </row>
    <row r="4098" ht="16.5" spans="1:5">
      <c r="A4098" s="151">
        <v>4097</v>
      </c>
      <c r="B4098" s="152" t="s">
        <v>13662</v>
      </c>
      <c r="C4098" s="153" t="s">
        <v>16629</v>
      </c>
      <c r="D4098" s="154">
        <v>10</v>
      </c>
      <c r="E4098" s="155">
        <f>+D4098*100</f>
        <v>1000</v>
      </c>
    </row>
    <row r="4099" ht="16.5" spans="1:5">
      <c r="A4099" s="151">
        <v>4098</v>
      </c>
      <c r="B4099" s="152" t="s">
        <v>13665</v>
      </c>
      <c r="C4099" s="153" t="s">
        <v>16629</v>
      </c>
      <c r="D4099" s="158">
        <v>10</v>
      </c>
      <c r="E4099" s="155">
        <f>+D4099*100</f>
        <v>1000</v>
      </c>
    </row>
    <row r="4100" ht="16.5" spans="1:5">
      <c r="A4100" s="151">
        <v>4099</v>
      </c>
      <c r="B4100" s="152" t="s">
        <v>13668</v>
      </c>
      <c r="C4100" s="160" t="s">
        <v>16630</v>
      </c>
      <c r="D4100" s="175">
        <v>200</v>
      </c>
      <c r="E4100" s="161">
        <f>SUM(D4100*100)</f>
        <v>20000</v>
      </c>
    </row>
    <row r="4101" ht="16.5" spans="1:5">
      <c r="A4101" s="151">
        <v>4100</v>
      </c>
      <c r="B4101" s="152" t="s">
        <v>13671</v>
      </c>
      <c r="C4101" s="160" t="s">
        <v>16630</v>
      </c>
      <c r="D4101" s="160">
        <v>1000</v>
      </c>
      <c r="E4101" s="161">
        <f>SUM(D4101*100)</f>
        <v>100000</v>
      </c>
    </row>
    <row r="4102" ht="16.5" spans="1:5">
      <c r="A4102" s="151">
        <v>4101</v>
      </c>
      <c r="B4102" s="152" t="s">
        <v>13674</v>
      </c>
      <c r="C4102" s="153" t="s">
        <v>16629</v>
      </c>
      <c r="D4102" s="154">
        <v>10</v>
      </c>
      <c r="E4102" s="155">
        <f>+D4102*100</f>
        <v>1000</v>
      </c>
    </row>
    <row r="4103" ht="16.5" spans="1:5">
      <c r="A4103" s="151">
        <v>4102</v>
      </c>
      <c r="B4103" s="152" t="s">
        <v>13677</v>
      </c>
      <c r="C4103" s="156" t="s">
        <v>16629</v>
      </c>
      <c r="D4103" s="159">
        <v>10</v>
      </c>
      <c r="E4103" s="155">
        <f>+D4103*100</f>
        <v>1000</v>
      </c>
    </row>
    <row r="4104" ht="16.5" spans="1:5">
      <c r="A4104" s="151">
        <v>4103</v>
      </c>
      <c r="B4104" s="152" t="s">
        <v>13680</v>
      </c>
      <c r="C4104" s="156" t="s">
        <v>16629</v>
      </c>
      <c r="D4104" s="159">
        <v>10</v>
      </c>
      <c r="E4104" s="155">
        <f>+D4104*100</f>
        <v>1000</v>
      </c>
    </row>
    <row r="4105" ht="16.5" spans="1:5">
      <c r="A4105" s="151">
        <v>4104</v>
      </c>
      <c r="B4105" s="152" t="s">
        <v>13683</v>
      </c>
      <c r="C4105" s="160" t="s">
        <v>16630</v>
      </c>
      <c r="D4105" s="160">
        <v>500</v>
      </c>
      <c r="E4105" s="161">
        <f>SUM(D4105*100)</f>
        <v>50000</v>
      </c>
    </row>
    <row r="4106" ht="16.5" spans="1:5">
      <c r="A4106" s="151">
        <v>4105</v>
      </c>
      <c r="B4106" s="152" t="s">
        <v>13688</v>
      </c>
      <c r="C4106" s="166" t="s">
        <v>16632</v>
      </c>
      <c r="D4106" s="166">
        <f>IFERROR(__xludf.DUMMYFUNCTION("""COMPUTED_VALUE"""),10000)</f>
        <v>10000</v>
      </c>
      <c r="E4106" s="168">
        <f>IFERROR(__xludf.DUMMYFUNCTION("""COMPUTED_VALUE"""),1500000)</f>
        <v>1500000</v>
      </c>
    </row>
    <row r="4107" ht="16.5" spans="1:5">
      <c r="A4107" s="151">
        <v>4106</v>
      </c>
      <c r="B4107" s="152" t="s">
        <v>13689</v>
      </c>
      <c r="C4107" s="160" t="s">
        <v>16630</v>
      </c>
      <c r="D4107" s="160">
        <v>4500</v>
      </c>
      <c r="E4107" s="161">
        <f>SUM(D4107*10)</f>
        <v>45000</v>
      </c>
    </row>
    <row r="4108" ht="16.5" spans="1:5">
      <c r="A4108" s="151">
        <v>4107</v>
      </c>
      <c r="B4108" s="152" t="s">
        <v>13693</v>
      </c>
      <c r="C4108" s="160" t="s">
        <v>16630</v>
      </c>
      <c r="D4108" s="160">
        <v>500</v>
      </c>
      <c r="E4108" s="161">
        <f>SUM(D4108*100)</f>
        <v>50000</v>
      </c>
    </row>
    <row r="4109" ht="16.5" spans="1:5">
      <c r="A4109" s="151">
        <v>4108</v>
      </c>
      <c r="B4109" s="152" t="s">
        <v>13696</v>
      </c>
      <c r="C4109" s="160" t="s">
        <v>16630</v>
      </c>
      <c r="D4109" s="160">
        <v>21</v>
      </c>
      <c r="E4109" s="161">
        <f>SUM(D4109*100)</f>
        <v>2100</v>
      </c>
    </row>
    <row r="4110" ht="16.5" spans="1:5">
      <c r="A4110" s="151">
        <v>4109</v>
      </c>
      <c r="B4110" s="152" t="s">
        <v>13699</v>
      </c>
      <c r="C4110" s="156" t="s">
        <v>16629</v>
      </c>
      <c r="D4110" s="159">
        <v>10</v>
      </c>
      <c r="E4110" s="155">
        <f>+D4110*100</f>
        <v>1000</v>
      </c>
    </row>
    <row r="4111" ht="16.5" spans="1:5">
      <c r="A4111" s="151">
        <v>4110</v>
      </c>
      <c r="B4111" s="152" t="s">
        <v>13702</v>
      </c>
      <c r="C4111" s="156" t="s">
        <v>16629</v>
      </c>
      <c r="D4111" s="159">
        <v>200</v>
      </c>
      <c r="E4111" s="155">
        <f>+D4111*100</f>
        <v>20000</v>
      </c>
    </row>
    <row r="4112" ht="16.5" spans="1:5">
      <c r="A4112" s="151">
        <v>4111</v>
      </c>
      <c r="B4112" s="152" t="s">
        <v>13706</v>
      </c>
      <c r="C4112" s="153" t="s">
        <v>16629</v>
      </c>
      <c r="D4112" s="158">
        <v>10</v>
      </c>
      <c r="E4112" s="155">
        <f>+D4112*100</f>
        <v>1000</v>
      </c>
    </row>
    <row r="4113" ht="16.5" spans="1:5">
      <c r="A4113" s="151">
        <v>4112</v>
      </c>
      <c r="B4113" s="152" t="s">
        <v>13709</v>
      </c>
      <c r="C4113" s="160" t="s">
        <v>16630</v>
      </c>
      <c r="D4113" s="160">
        <v>40</v>
      </c>
      <c r="E4113" s="161">
        <f>SUM(D4113*100)</f>
        <v>4000</v>
      </c>
    </row>
    <row r="4114" ht="16.5" spans="1:5">
      <c r="A4114" s="151">
        <v>4113</v>
      </c>
      <c r="B4114" s="152" t="s">
        <v>13713</v>
      </c>
      <c r="C4114" s="153" t="s">
        <v>16629</v>
      </c>
      <c r="D4114" s="154">
        <v>10</v>
      </c>
      <c r="E4114" s="155">
        <f>+D4114*100</f>
        <v>1000</v>
      </c>
    </row>
    <row r="4115" ht="16.5" spans="1:5">
      <c r="A4115" s="151">
        <v>4114</v>
      </c>
      <c r="B4115" s="152" t="s">
        <v>13716</v>
      </c>
      <c r="C4115" s="160" t="s">
        <v>16630</v>
      </c>
      <c r="D4115" s="160">
        <v>1000</v>
      </c>
      <c r="E4115" s="161">
        <f>SUM(D4115*100)</f>
        <v>100000</v>
      </c>
    </row>
    <row r="4116" ht="16.5" spans="1:5">
      <c r="A4116" s="151">
        <v>4115</v>
      </c>
      <c r="B4116" s="152" t="s">
        <v>13720</v>
      </c>
      <c r="C4116" s="162" t="s">
        <v>16631</v>
      </c>
      <c r="D4116" s="163">
        <v>1000</v>
      </c>
      <c r="E4116" s="163">
        <f>D4116*100</f>
        <v>100000</v>
      </c>
    </row>
    <row r="4117" ht="16.5" spans="1:5">
      <c r="A4117" s="151">
        <v>4116</v>
      </c>
      <c r="B4117" s="152" t="s">
        <v>13723</v>
      </c>
      <c r="C4117" s="156" t="s">
        <v>16629</v>
      </c>
      <c r="D4117" s="157">
        <v>10</v>
      </c>
      <c r="E4117" s="155">
        <f>+D4117*100</f>
        <v>1000</v>
      </c>
    </row>
    <row r="4118" ht="16.5" spans="1:5">
      <c r="A4118" s="151">
        <v>4117</v>
      </c>
      <c r="B4118" s="152" t="s">
        <v>13726</v>
      </c>
      <c r="C4118" s="153" t="s">
        <v>16629</v>
      </c>
      <c r="D4118" s="154">
        <v>10</v>
      </c>
      <c r="E4118" s="155">
        <f>+D4118*100</f>
        <v>1000</v>
      </c>
    </row>
    <row r="4119" ht="16.5" spans="1:5">
      <c r="A4119" s="151">
        <v>4118</v>
      </c>
      <c r="B4119" s="152" t="s">
        <v>13729</v>
      </c>
      <c r="C4119" s="160" t="s">
        <v>16630</v>
      </c>
      <c r="D4119" s="160">
        <v>100</v>
      </c>
      <c r="E4119" s="161">
        <f>SUM(D4119*100)</f>
        <v>10000</v>
      </c>
    </row>
    <row r="4120" ht="16.5" spans="1:5">
      <c r="A4120" s="151">
        <v>4119</v>
      </c>
      <c r="B4120" s="152" t="s">
        <v>13732</v>
      </c>
      <c r="C4120" s="153" t="s">
        <v>16629</v>
      </c>
      <c r="D4120" s="154">
        <v>10</v>
      </c>
      <c r="E4120" s="155">
        <f t="shared" ref="E4120:E4126" si="150">+D4120*100</f>
        <v>1000</v>
      </c>
    </row>
    <row r="4121" ht="16.5" spans="1:5">
      <c r="A4121" s="151">
        <v>4120</v>
      </c>
      <c r="B4121" s="152" t="s">
        <v>13736</v>
      </c>
      <c r="C4121" s="153" t="s">
        <v>16629</v>
      </c>
      <c r="D4121" s="154">
        <v>10</v>
      </c>
      <c r="E4121" s="155">
        <f t="shared" si="150"/>
        <v>1000</v>
      </c>
    </row>
    <row r="4122" ht="16.5" spans="1:5">
      <c r="A4122" s="151">
        <v>4121</v>
      </c>
      <c r="B4122" s="152" t="s">
        <v>13739</v>
      </c>
      <c r="C4122" s="156" t="s">
        <v>16629</v>
      </c>
      <c r="D4122" s="154">
        <v>10</v>
      </c>
      <c r="E4122" s="155">
        <f t="shared" si="150"/>
        <v>1000</v>
      </c>
    </row>
    <row r="4123" ht="16.5" spans="1:5">
      <c r="A4123" s="151">
        <v>4122</v>
      </c>
      <c r="B4123" s="152" t="s">
        <v>13742</v>
      </c>
      <c r="C4123" s="156" t="s">
        <v>16629</v>
      </c>
      <c r="D4123" s="157">
        <v>10</v>
      </c>
      <c r="E4123" s="155">
        <f t="shared" si="150"/>
        <v>1000</v>
      </c>
    </row>
    <row r="4124" ht="16.5" spans="1:5">
      <c r="A4124" s="151">
        <v>4123</v>
      </c>
      <c r="B4124" s="152" t="s">
        <v>13745</v>
      </c>
      <c r="C4124" s="156" t="s">
        <v>16629</v>
      </c>
      <c r="D4124" s="159">
        <v>10</v>
      </c>
      <c r="E4124" s="155">
        <f t="shared" si="150"/>
        <v>1000</v>
      </c>
    </row>
    <row r="4125" ht="16.5" spans="1:5">
      <c r="A4125" s="151">
        <v>4124</v>
      </c>
      <c r="B4125" s="152" t="s">
        <v>13748</v>
      </c>
      <c r="C4125" s="156" t="s">
        <v>16629</v>
      </c>
      <c r="D4125" s="159">
        <v>10</v>
      </c>
      <c r="E4125" s="155">
        <f t="shared" si="150"/>
        <v>1000</v>
      </c>
    </row>
    <row r="4126" ht="16.5" spans="1:5">
      <c r="A4126" s="151">
        <v>4125</v>
      </c>
      <c r="B4126" s="152" t="s">
        <v>13752</v>
      </c>
      <c r="C4126" s="156" t="s">
        <v>16629</v>
      </c>
      <c r="D4126" s="159">
        <v>10</v>
      </c>
      <c r="E4126" s="155">
        <f t="shared" si="150"/>
        <v>1000</v>
      </c>
    </row>
    <row r="4127" ht="16.5" spans="1:5">
      <c r="A4127" s="151">
        <v>4126</v>
      </c>
      <c r="B4127" s="152" t="s">
        <v>13755</v>
      </c>
      <c r="C4127" s="174" t="s">
        <v>16634</v>
      </c>
      <c r="D4127" s="160">
        <v>200</v>
      </c>
      <c r="E4127" s="161">
        <f>SUM(D4127*100)</f>
        <v>20000</v>
      </c>
    </row>
    <row r="4128" ht="16.5" spans="1:5">
      <c r="A4128" s="151">
        <v>4127</v>
      </c>
      <c r="B4128" s="152" t="s">
        <v>13758</v>
      </c>
      <c r="C4128" s="160" t="s">
        <v>16630</v>
      </c>
      <c r="D4128" s="160">
        <v>100</v>
      </c>
      <c r="E4128" s="161">
        <f>SUM(D4128*100)</f>
        <v>10000</v>
      </c>
    </row>
    <row r="4129" ht="16.5" spans="1:5">
      <c r="A4129" s="151">
        <v>4128</v>
      </c>
      <c r="B4129" s="152" t="s">
        <v>13762</v>
      </c>
      <c r="C4129" s="160" t="s">
        <v>16630</v>
      </c>
      <c r="D4129" s="41">
        <v>100</v>
      </c>
      <c r="E4129" s="161">
        <f>SUM(D4129*100)</f>
        <v>10000</v>
      </c>
    </row>
    <row r="4130" ht="16.5" spans="1:5">
      <c r="A4130" s="151">
        <v>4129</v>
      </c>
      <c r="B4130" s="152" t="s">
        <v>13765</v>
      </c>
      <c r="C4130" s="162" t="s">
        <v>16631</v>
      </c>
      <c r="D4130" s="163">
        <v>1000</v>
      </c>
      <c r="E4130" s="163">
        <f>D4130*100</f>
        <v>100000</v>
      </c>
    </row>
    <row r="4131" ht="16.5" spans="1:5">
      <c r="A4131" s="151">
        <v>4130</v>
      </c>
      <c r="B4131" s="152" t="s">
        <v>13765</v>
      </c>
      <c r="C4131" s="162" t="s">
        <v>16633</v>
      </c>
      <c r="D4131" s="171">
        <f>G4131/100</f>
        <v>0</v>
      </c>
      <c r="E4131" s="171">
        <f>G4131</f>
        <v>0</v>
      </c>
    </row>
    <row r="4132" ht="16.5" spans="1:5">
      <c r="A4132" s="151">
        <v>4131</v>
      </c>
      <c r="B4132" s="152" t="s">
        <v>13770</v>
      </c>
      <c r="C4132" s="160" t="s">
        <v>16630</v>
      </c>
      <c r="D4132" s="160">
        <v>30</v>
      </c>
      <c r="E4132" s="161">
        <f>SUM(D4132*100)</f>
        <v>3000</v>
      </c>
    </row>
    <row r="4133" ht="16.5" spans="1:5">
      <c r="A4133" s="151">
        <v>4132</v>
      </c>
      <c r="B4133" s="152" t="s">
        <v>13770</v>
      </c>
      <c r="C4133" s="166" t="s">
        <v>16632</v>
      </c>
      <c r="D4133" s="166">
        <f>IFERROR(__xludf.DUMMYFUNCTION("""COMPUTED_VALUE"""),10000)</f>
        <v>10000</v>
      </c>
      <c r="E4133" s="168">
        <f>IFERROR(__xludf.DUMMYFUNCTION("""COMPUTED_VALUE"""),1500000)</f>
        <v>1500000</v>
      </c>
    </row>
    <row r="4134" ht="16.5" spans="1:5">
      <c r="A4134" s="151">
        <v>4133</v>
      </c>
      <c r="B4134" s="152" t="s">
        <v>13773</v>
      </c>
      <c r="C4134" s="156" t="s">
        <v>16629</v>
      </c>
      <c r="D4134" s="159">
        <v>10</v>
      </c>
      <c r="E4134" s="155">
        <f>SUM(D4134*100)</f>
        <v>1000</v>
      </c>
    </row>
    <row r="4135" ht="16.5" spans="1:5">
      <c r="A4135" s="151">
        <v>4134</v>
      </c>
      <c r="B4135" s="152" t="s">
        <v>13776</v>
      </c>
      <c r="C4135" s="160" t="s">
        <v>16630</v>
      </c>
      <c r="D4135" s="160">
        <v>500</v>
      </c>
      <c r="E4135" s="161">
        <f>SUM(D4135*100)</f>
        <v>50000</v>
      </c>
    </row>
    <row r="4136" ht="16.5" spans="1:5">
      <c r="A4136" s="151">
        <v>4135</v>
      </c>
      <c r="B4136" s="152" t="s">
        <v>13781</v>
      </c>
      <c r="C4136" s="166" t="s">
        <v>16632</v>
      </c>
      <c r="D4136" s="166">
        <f>IFERROR(__xludf.DUMMYFUNCTION("""COMPUTED_VALUE"""),10000)</f>
        <v>10000</v>
      </c>
      <c r="E4136" s="168">
        <f>IFERROR(__xludf.DUMMYFUNCTION("""COMPUTED_VALUE"""),1500000)</f>
        <v>1500000</v>
      </c>
    </row>
    <row r="4137" ht="16.5" spans="1:5">
      <c r="A4137" s="151">
        <v>4136</v>
      </c>
      <c r="B4137" s="152" t="s">
        <v>13782</v>
      </c>
      <c r="C4137" s="166" t="s">
        <v>16632</v>
      </c>
      <c r="D4137" s="166">
        <f>IFERROR(__xludf.DUMMYFUNCTION("""COMPUTED_VALUE"""),10000)</f>
        <v>10000</v>
      </c>
      <c r="E4137" s="168">
        <f>IFERROR(__xludf.DUMMYFUNCTION("""COMPUTED_VALUE"""),1500000)</f>
        <v>1500000</v>
      </c>
    </row>
    <row r="4138" ht="16.5" spans="1:5">
      <c r="A4138" s="151">
        <v>4137</v>
      </c>
      <c r="B4138" s="152" t="s">
        <v>13783</v>
      </c>
      <c r="C4138" s="153" t="s">
        <v>16629</v>
      </c>
      <c r="D4138" s="154">
        <v>10</v>
      </c>
      <c r="E4138" s="155">
        <f>+D4138*100</f>
        <v>1000</v>
      </c>
    </row>
    <row r="4139" ht="16.5" spans="1:5">
      <c r="A4139" s="151">
        <v>4138</v>
      </c>
      <c r="B4139" s="152" t="s">
        <v>13787</v>
      </c>
      <c r="C4139" s="156" t="s">
        <v>16629</v>
      </c>
      <c r="D4139" s="159">
        <v>10</v>
      </c>
      <c r="E4139" s="155">
        <f>+D4139*100</f>
        <v>1000</v>
      </c>
    </row>
    <row r="4140" ht="16.5" spans="1:5">
      <c r="A4140" s="151">
        <v>4139</v>
      </c>
      <c r="B4140" s="152" t="s">
        <v>13791</v>
      </c>
      <c r="C4140" s="160" t="s">
        <v>16630</v>
      </c>
      <c r="D4140" s="160">
        <v>20</v>
      </c>
      <c r="E4140" s="161">
        <f>SUM(D4140*100)</f>
        <v>2000</v>
      </c>
    </row>
    <row r="4141" ht="16.5" spans="1:5">
      <c r="A4141" s="151">
        <v>4140</v>
      </c>
      <c r="B4141" s="152" t="s">
        <v>13795</v>
      </c>
      <c r="C4141" s="156" t="s">
        <v>16629</v>
      </c>
      <c r="D4141" s="154">
        <v>10</v>
      </c>
      <c r="E4141" s="155">
        <f t="shared" ref="E4141:E4152" si="151">+D4141*100</f>
        <v>1000</v>
      </c>
    </row>
    <row r="4142" ht="16.5" spans="1:5">
      <c r="A4142" s="151">
        <v>4141</v>
      </c>
      <c r="B4142" s="152" t="s">
        <v>13798</v>
      </c>
      <c r="C4142" s="153" t="s">
        <v>16629</v>
      </c>
      <c r="D4142" s="154">
        <v>10</v>
      </c>
      <c r="E4142" s="155">
        <f t="shared" si="151"/>
        <v>1000</v>
      </c>
    </row>
    <row r="4143" ht="16.5" spans="1:5">
      <c r="A4143" s="151">
        <v>4142</v>
      </c>
      <c r="B4143" s="152" t="s">
        <v>13802</v>
      </c>
      <c r="C4143" s="156" t="s">
        <v>16629</v>
      </c>
      <c r="D4143" s="159">
        <v>10</v>
      </c>
      <c r="E4143" s="155">
        <f t="shared" si="151"/>
        <v>1000</v>
      </c>
    </row>
    <row r="4144" ht="16.5" spans="1:5">
      <c r="A4144" s="151">
        <v>4143</v>
      </c>
      <c r="B4144" s="152" t="s">
        <v>13806</v>
      </c>
      <c r="C4144" s="156" t="s">
        <v>16629</v>
      </c>
      <c r="D4144" s="157">
        <v>10</v>
      </c>
      <c r="E4144" s="155">
        <f t="shared" si="151"/>
        <v>1000</v>
      </c>
    </row>
    <row r="4145" ht="16.5" spans="1:5">
      <c r="A4145" s="151">
        <v>4144</v>
      </c>
      <c r="B4145" s="152" t="s">
        <v>13809</v>
      </c>
      <c r="C4145" s="153" t="s">
        <v>16629</v>
      </c>
      <c r="D4145" s="158">
        <v>10</v>
      </c>
      <c r="E4145" s="155">
        <f t="shared" si="151"/>
        <v>1000</v>
      </c>
    </row>
    <row r="4146" ht="16.5" spans="1:5">
      <c r="A4146" s="151">
        <v>4145</v>
      </c>
      <c r="B4146" s="152" t="s">
        <v>13812</v>
      </c>
      <c r="C4146" s="156" t="s">
        <v>16629</v>
      </c>
      <c r="D4146" s="159">
        <v>10</v>
      </c>
      <c r="E4146" s="155">
        <f t="shared" si="151"/>
        <v>1000</v>
      </c>
    </row>
    <row r="4147" ht="16.5" spans="1:5">
      <c r="A4147" s="151">
        <v>4146</v>
      </c>
      <c r="B4147" s="152" t="s">
        <v>13816</v>
      </c>
      <c r="C4147" s="156" t="s">
        <v>16629</v>
      </c>
      <c r="D4147" s="154">
        <v>10</v>
      </c>
      <c r="E4147" s="155">
        <f t="shared" si="151"/>
        <v>1000</v>
      </c>
    </row>
    <row r="4148" ht="16.5" spans="1:5">
      <c r="A4148" s="151">
        <v>4147</v>
      </c>
      <c r="B4148" s="152" t="s">
        <v>13819</v>
      </c>
      <c r="C4148" s="153" t="s">
        <v>16629</v>
      </c>
      <c r="D4148" s="154">
        <v>10</v>
      </c>
      <c r="E4148" s="155">
        <f t="shared" si="151"/>
        <v>1000</v>
      </c>
    </row>
    <row r="4149" ht="16.5" spans="1:5">
      <c r="A4149" s="151">
        <v>4148</v>
      </c>
      <c r="B4149" s="152" t="s">
        <v>13822</v>
      </c>
      <c r="C4149" s="153" t="s">
        <v>16629</v>
      </c>
      <c r="D4149" s="154">
        <v>10</v>
      </c>
      <c r="E4149" s="155">
        <f t="shared" si="151"/>
        <v>1000</v>
      </c>
    </row>
    <row r="4150" ht="16.5" spans="1:5">
      <c r="A4150" s="151">
        <v>4149</v>
      </c>
      <c r="B4150" s="152" t="s">
        <v>13825</v>
      </c>
      <c r="C4150" s="156" t="s">
        <v>16629</v>
      </c>
      <c r="D4150" s="180">
        <v>10</v>
      </c>
      <c r="E4150" s="155">
        <f t="shared" si="151"/>
        <v>1000</v>
      </c>
    </row>
    <row r="4151" ht="16.5" spans="1:5">
      <c r="A4151" s="151">
        <v>4150</v>
      </c>
      <c r="B4151" s="152" t="s">
        <v>13828</v>
      </c>
      <c r="C4151" s="153" t="s">
        <v>16629</v>
      </c>
      <c r="D4151" s="158">
        <v>10</v>
      </c>
      <c r="E4151" s="155">
        <f t="shared" si="151"/>
        <v>1000</v>
      </c>
    </row>
    <row r="4152" ht="16.5" spans="1:5">
      <c r="A4152" s="151">
        <v>4151</v>
      </c>
      <c r="B4152" s="152" t="s">
        <v>13831</v>
      </c>
      <c r="C4152" s="153" t="s">
        <v>16629</v>
      </c>
      <c r="D4152" s="154">
        <v>10</v>
      </c>
      <c r="E4152" s="155">
        <f t="shared" si="151"/>
        <v>1000</v>
      </c>
    </row>
    <row r="4153" ht="16.5" spans="1:5">
      <c r="A4153" s="151">
        <v>4152</v>
      </c>
      <c r="B4153" s="152" t="s">
        <v>13834</v>
      </c>
      <c r="C4153" s="160" t="s">
        <v>16630</v>
      </c>
      <c r="D4153" s="160">
        <v>40</v>
      </c>
      <c r="E4153" s="161">
        <f>SUM(D4153*100)</f>
        <v>4000</v>
      </c>
    </row>
    <row r="4154" ht="16.5" spans="1:5">
      <c r="A4154" s="151">
        <v>4153</v>
      </c>
      <c r="B4154" s="152" t="s">
        <v>13839</v>
      </c>
      <c r="C4154" s="156" t="s">
        <v>16629</v>
      </c>
      <c r="D4154" s="157">
        <v>10</v>
      </c>
      <c r="E4154" s="155">
        <f>+D4154*100</f>
        <v>1000</v>
      </c>
    </row>
    <row r="4155" ht="16.5" spans="1:5">
      <c r="A4155" s="151">
        <v>4154</v>
      </c>
      <c r="B4155" s="152" t="s">
        <v>13842</v>
      </c>
      <c r="C4155" s="153" t="s">
        <v>16629</v>
      </c>
      <c r="D4155" s="154">
        <v>10</v>
      </c>
      <c r="E4155" s="155">
        <f>+D4155*100</f>
        <v>1000</v>
      </c>
    </row>
    <row r="4156" ht="16.5" spans="1:5">
      <c r="A4156" s="151">
        <v>4155</v>
      </c>
      <c r="B4156" s="152" t="s">
        <v>13845</v>
      </c>
      <c r="C4156" s="160" t="s">
        <v>16630</v>
      </c>
      <c r="D4156" s="160">
        <v>30</v>
      </c>
      <c r="E4156" s="161">
        <f>SUM(D4156*100)</f>
        <v>3000</v>
      </c>
    </row>
    <row r="4157" ht="16.5" spans="1:5">
      <c r="A4157" s="151">
        <v>4156</v>
      </c>
      <c r="B4157" s="152" t="s">
        <v>13848</v>
      </c>
      <c r="C4157" s="162" t="s">
        <v>16631</v>
      </c>
      <c r="D4157" s="169">
        <v>2000</v>
      </c>
      <c r="E4157" s="170">
        <f>D4157*100</f>
        <v>200000</v>
      </c>
    </row>
    <row r="4158" ht="16.5" spans="1:5">
      <c r="A4158" s="151">
        <v>4157</v>
      </c>
      <c r="B4158" s="152" t="s">
        <v>13853</v>
      </c>
      <c r="C4158" s="160" t="s">
        <v>16630</v>
      </c>
      <c r="D4158" s="160">
        <v>1000</v>
      </c>
      <c r="E4158" s="161">
        <f>SUM(D4158*100)</f>
        <v>100000</v>
      </c>
    </row>
    <row r="4159" ht="16.5" spans="1:5">
      <c r="A4159" s="151">
        <v>4158</v>
      </c>
      <c r="B4159" s="152" t="s">
        <v>13853</v>
      </c>
      <c r="C4159" s="162" t="s">
        <v>16631</v>
      </c>
      <c r="D4159" s="169">
        <v>2000</v>
      </c>
      <c r="E4159" s="170">
        <f>D4159*100</f>
        <v>200000</v>
      </c>
    </row>
    <row r="4160" ht="16.5" spans="1:5">
      <c r="A4160" s="151">
        <v>4159</v>
      </c>
      <c r="B4160" s="152" t="s">
        <v>13857</v>
      </c>
      <c r="C4160" s="156" t="s">
        <v>16629</v>
      </c>
      <c r="D4160" s="159">
        <v>10</v>
      </c>
      <c r="E4160" s="155">
        <f>+D4160*100</f>
        <v>1000</v>
      </c>
    </row>
    <row r="4161" ht="16.5" spans="1:5">
      <c r="A4161" s="151">
        <v>4160</v>
      </c>
      <c r="B4161" s="152" t="s">
        <v>13860</v>
      </c>
      <c r="C4161" s="153" t="s">
        <v>16629</v>
      </c>
      <c r="D4161" s="154">
        <v>10</v>
      </c>
      <c r="E4161" s="155">
        <f>+D4161*100</f>
        <v>1000</v>
      </c>
    </row>
    <row r="4162" ht="16.5" spans="1:5">
      <c r="A4162" s="151">
        <v>4161</v>
      </c>
      <c r="B4162" s="152" t="s">
        <v>13863</v>
      </c>
      <c r="C4162" s="156" t="s">
        <v>16629</v>
      </c>
      <c r="D4162" s="159">
        <v>10</v>
      </c>
      <c r="E4162" s="155">
        <f>+D4162*100</f>
        <v>1000</v>
      </c>
    </row>
    <row r="4163" ht="16.5" spans="1:5">
      <c r="A4163" s="151">
        <v>4162</v>
      </c>
      <c r="B4163" s="152" t="s">
        <v>13866</v>
      </c>
      <c r="C4163" s="166" t="s">
        <v>16632</v>
      </c>
      <c r="D4163" s="166">
        <f>IFERROR(__xludf.DUMMYFUNCTION("""COMPUTED_VALUE"""),10000)</f>
        <v>10000</v>
      </c>
      <c r="E4163" s="168">
        <f>IFERROR(__xludf.DUMMYFUNCTION("""COMPUTED_VALUE"""),1500000)</f>
        <v>1500000</v>
      </c>
    </row>
    <row r="4164" ht="16.5" spans="1:5">
      <c r="A4164" s="151">
        <v>4163</v>
      </c>
      <c r="B4164" s="152" t="s">
        <v>13867</v>
      </c>
      <c r="C4164" s="160" t="s">
        <v>16630</v>
      </c>
      <c r="D4164" s="160">
        <v>2000</v>
      </c>
      <c r="E4164" s="161">
        <f>SUM(D4164*100)</f>
        <v>200000</v>
      </c>
    </row>
    <row r="4165" ht="16.5" spans="1:5">
      <c r="A4165" s="151">
        <v>4164</v>
      </c>
      <c r="B4165" s="152" t="s">
        <v>13867</v>
      </c>
      <c r="C4165" s="162" t="s">
        <v>16631</v>
      </c>
      <c r="D4165" s="169">
        <v>1000</v>
      </c>
      <c r="E4165" s="170">
        <f>D4165*100</f>
        <v>100000</v>
      </c>
    </row>
    <row r="4166" ht="16.5" spans="1:5">
      <c r="A4166" s="151">
        <v>4165</v>
      </c>
      <c r="B4166" s="152" t="s">
        <v>13867</v>
      </c>
      <c r="C4166" s="166" t="s">
        <v>16632</v>
      </c>
      <c r="D4166" s="166">
        <f>IFERROR(__xludf.DUMMYFUNCTION("""COMPUTED_VALUE"""),10000)</f>
        <v>10000</v>
      </c>
      <c r="E4166" s="168">
        <f>IFERROR(__xludf.DUMMYFUNCTION("""COMPUTED_VALUE"""),1500000)</f>
        <v>1500000</v>
      </c>
    </row>
    <row r="4167" ht="16.5" spans="1:5">
      <c r="A4167" s="151">
        <v>4166</v>
      </c>
      <c r="B4167" s="152" t="s">
        <v>13868</v>
      </c>
      <c r="C4167" s="160" t="s">
        <v>16630</v>
      </c>
      <c r="D4167" s="160">
        <v>50</v>
      </c>
      <c r="E4167" s="161">
        <f>SUM(D4167*100)</f>
        <v>5000</v>
      </c>
    </row>
    <row r="4168" ht="16.5" spans="1:5">
      <c r="A4168" s="151">
        <v>4167</v>
      </c>
      <c r="B4168" s="152" t="s">
        <v>13871</v>
      </c>
      <c r="C4168" s="166" t="s">
        <v>16632</v>
      </c>
      <c r="D4168" s="166">
        <f>IFERROR(__xludf.DUMMYFUNCTION("""COMPUTED_VALUE"""),15000)</f>
        <v>15000</v>
      </c>
      <c r="E4168" s="168">
        <f>IFERROR(__xludf.DUMMYFUNCTION("""COMPUTED_VALUE"""),1500000)</f>
        <v>1500000</v>
      </c>
    </row>
    <row r="4169" ht="16.5" spans="1:5">
      <c r="A4169" s="151">
        <v>4168</v>
      </c>
      <c r="B4169" s="152" t="s">
        <v>13872</v>
      </c>
      <c r="C4169" s="160" t="s">
        <v>16630</v>
      </c>
      <c r="D4169" s="41">
        <v>400</v>
      </c>
      <c r="E4169" s="161">
        <f>SUM(D4169*100)</f>
        <v>40000</v>
      </c>
    </row>
    <row r="4170" ht="16.5" spans="1:5">
      <c r="A4170" s="151">
        <v>4169</v>
      </c>
      <c r="B4170" s="152" t="s">
        <v>13875</v>
      </c>
      <c r="C4170" s="156" t="s">
        <v>16629</v>
      </c>
      <c r="D4170" s="157">
        <v>20</v>
      </c>
      <c r="E4170" s="155">
        <f>+D4170*100</f>
        <v>2000</v>
      </c>
    </row>
    <row r="4171" ht="16.5" spans="1:5">
      <c r="A4171" s="151">
        <v>4170</v>
      </c>
      <c r="B4171" s="152" t="s">
        <v>13878</v>
      </c>
      <c r="C4171" s="160" t="s">
        <v>16630</v>
      </c>
      <c r="D4171" s="160">
        <v>70</v>
      </c>
      <c r="E4171" s="161">
        <f>SUM(D4171*100)</f>
        <v>7000</v>
      </c>
    </row>
    <row r="4172" ht="16.5" spans="1:5">
      <c r="A4172" s="151">
        <v>4171</v>
      </c>
      <c r="B4172" s="152" t="s">
        <v>13881</v>
      </c>
      <c r="C4172" s="153" t="s">
        <v>16629</v>
      </c>
      <c r="D4172" s="154">
        <v>10</v>
      </c>
      <c r="E4172" s="155">
        <f>+D4172*100</f>
        <v>1000</v>
      </c>
    </row>
    <row r="4173" ht="16.5" spans="1:5">
      <c r="A4173" s="151">
        <v>4172</v>
      </c>
      <c r="B4173" s="152" t="s">
        <v>13884</v>
      </c>
      <c r="C4173" s="162" t="s">
        <v>16631</v>
      </c>
      <c r="D4173" s="163">
        <v>5000</v>
      </c>
      <c r="E4173" s="163">
        <f>D4173*100</f>
        <v>500000</v>
      </c>
    </row>
    <row r="4174" ht="16.5" spans="1:5">
      <c r="A4174" s="151">
        <v>4173</v>
      </c>
      <c r="B4174" s="152" t="s">
        <v>13888</v>
      </c>
      <c r="C4174" s="160" t="s">
        <v>16630</v>
      </c>
      <c r="D4174" s="160">
        <v>1000</v>
      </c>
      <c r="E4174" s="161">
        <f>SUM(D4174*100)</f>
        <v>100000</v>
      </c>
    </row>
    <row r="4175" ht="16.5" spans="1:5">
      <c r="A4175" s="151">
        <v>4174</v>
      </c>
      <c r="B4175" s="152" t="s">
        <v>13888</v>
      </c>
      <c r="C4175" s="162" t="s">
        <v>16631</v>
      </c>
      <c r="D4175" s="163">
        <v>1000</v>
      </c>
      <c r="E4175" s="163">
        <f>D4175*100</f>
        <v>100000</v>
      </c>
    </row>
    <row r="4176" ht="16.5" spans="1:5">
      <c r="A4176" s="151">
        <v>4175</v>
      </c>
      <c r="B4176" s="152" t="s">
        <v>13892</v>
      </c>
      <c r="C4176" s="160" t="s">
        <v>16630</v>
      </c>
      <c r="D4176" s="160">
        <v>300</v>
      </c>
      <c r="E4176" s="161">
        <f>SUM(D4176*100)</f>
        <v>30000</v>
      </c>
    </row>
    <row r="4177" ht="16.5" spans="1:5">
      <c r="A4177" s="151">
        <v>4176</v>
      </c>
      <c r="B4177" s="152" t="s">
        <v>13892</v>
      </c>
      <c r="C4177" s="162" t="s">
        <v>16631</v>
      </c>
      <c r="D4177" s="163">
        <v>1000</v>
      </c>
      <c r="E4177" s="163">
        <f>D4177*100</f>
        <v>100000</v>
      </c>
    </row>
    <row r="4178" ht="16.5" spans="1:5">
      <c r="A4178" s="151">
        <v>4177</v>
      </c>
      <c r="B4178" s="152" t="s">
        <v>13897</v>
      </c>
      <c r="C4178" s="166" t="s">
        <v>16632</v>
      </c>
      <c r="D4178" s="166">
        <f>IFERROR(__xludf.DUMMYFUNCTION("""COMPUTED_VALUE"""),15000)</f>
        <v>15000</v>
      </c>
      <c r="E4178" s="168">
        <f>IFERROR(__xludf.DUMMYFUNCTION("""COMPUTED_VALUE"""),1500000)</f>
        <v>1500000</v>
      </c>
    </row>
    <row r="4179" ht="16.5" spans="1:5">
      <c r="A4179" s="151">
        <v>4178</v>
      </c>
      <c r="B4179" s="152" t="s">
        <v>13898</v>
      </c>
      <c r="C4179" s="160" t="s">
        <v>16630</v>
      </c>
      <c r="D4179" s="160">
        <v>25</v>
      </c>
      <c r="E4179" s="161">
        <f>SUM(D4179*100)</f>
        <v>2500</v>
      </c>
    </row>
    <row r="4180" ht="16.5" spans="1:5">
      <c r="A4180" s="151">
        <v>4179</v>
      </c>
      <c r="B4180" s="152" t="s">
        <v>13902</v>
      </c>
      <c r="C4180" s="160" t="s">
        <v>16630</v>
      </c>
      <c r="D4180" s="160">
        <v>4000</v>
      </c>
      <c r="E4180" s="161">
        <f>SUM(D4180*100)</f>
        <v>400000</v>
      </c>
    </row>
    <row r="4181" ht="16.5" spans="1:5">
      <c r="A4181" s="151">
        <v>4180</v>
      </c>
      <c r="B4181" s="152" t="s">
        <v>13906</v>
      </c>
      <c r="C4181" s="160" t="s">
        <v>16630</v>
      </c>
      <c r="D4181" s="160">
        <v>500</v>
      </c>
      <c r="E4181" s="161">
        <f>SUM(D4181*100)</f>
        <v>50000</v>
      </c>
    </row>
    <row r="4182" ht="16.5" spans="1:5">
      <c r="A4182" s="151">
        <v>4181</v>
      </c>
      <c r="B4182" s="152" t="s">
        <v>13909</v>
      </c>
      <c r="C4182" s="162" t="s">
        <v>16631</v>
      </c>
      <c r="D4182" s="163">
        <v>1000</v>
      </c>
      <c r="E4182" s="163">
        <f>D4182*100</f>
        <v>100000</v>
      </c>
    </row>
    <row r="4183" ht="16.5" spans="1:5">
      <c r="A4183" s="151">
        <v>4182</v>
      </c>
      <c r="B4183" s="152" t="s">
        <v>13914</v>
      </c>
      <c r="C4183" s="153" t="s">
        <v>16629</v>
      </c>
      <c r="D4183" s="154">
        <v>10</v>
      </c>
      <c r="E4183" s="155">
        <f t="shared" ref="E4183:E4193" si="152">+D4183*100</f>
        <v>1000</v>
      </c>
    </row>
    <row r="4184" ht="16.5" spans="1:5">
      <c r="A4184" s="151">
        <v>4183</v>
      </c>
      <c r="B4184" s="152" t="s">
        <v>13917</v>
      </c>
      <c r="C4184" s="153" t="s">
        <v>16629</v>
      </c>
      <c r="D4184" s="154">
        <v>10</v>
      </c>
      <c r="E4184" s="155">
        <f t="shared" si="152"/>
        <v>1000</v>
      </c>
    </row>
    <row r="4185" ht="16.5" spans="1:5">
      <c r="A4185" s="151">
        <v>4184</v>
      </c>
      <c r="B4185" s="152" t="s">
        <v>13920</v>
      </c>
      <c r="C4185" s="153" t="s">
        <v>16629</v>
      </c>
      <c r="D4185" s="158">
        <v>10</v>
      </c>
      <c r="E4185" s="155">
        <f t="shared" si="152"/>
        <v>1000</v>
      </c>
    </row>
    <row r="4186" ht="16.5" spans="1:5">
      <c r="A4186" s="151">
        <v>4185</v>
      </c>
      <c r="B4186" s="152" t="s">
        <v>13923</v>
      </c>
      <c r="C4186" s="156" t="s">
        <v>16629</v>
      </c>
      <c r="D4186" s="159">
        <v>10</v>
      </c>
      <c r="E4186" s="155">
        <f t="shared" si="152"/>
        <v>1000</v>
      </c>
    </row>
    <row r="4187" ht="16.5" spans="1:5">
      <c r="A4187" s="151">
        <v>4186</v>
      </c>
      <c r="B4187" s="152" t="s">
        <v>13927</v>
      </c>
      <c r="C4187" s="153" t="s">
        <v>16629</v>
      </c>
      <c r="D4187" s="154">
        <v>10</v>
      </c>
      <c r="E4187" s="155">
        <f t="shared" si="152"/>
        <v>1000</v>
      </c>
    </row>
    <row r="4188" ht="16.5" spans="1:5">
      <c r="A4188" s="151">
        <v>4187</v>
      </c>
      <c r="B4188" s="152" t="s">
        <v>13930</v>
      </c>
      <c r="C4188" s="156" t="s">
        <v>16629</v>
      </c>
      <c r="D4188" s="157">
        <v>10</v>
      </c>
      <c r="E4188" s="155">
        <f t="shared" si="152"/>
        <v>1000</v>
      </c>
    </row>
    <row r="4189" ht="16.5" spans="1:5">
      <c r="A4189" s="151">
        <v>4188</v>
      </c>
      <c r="B4189" s="152" t="s">
        <v>13933</v>
      </c>
      <c r="C4189" s="153" t="s">
        <v>16629</v>
      </c>
      <c r="D4189" s="154">
        <v>10</v>
      </c>
      <c r="E4189" s="155">
        <f t="shared" si="152"/>
        <v>1000</v>
      </c>
    </row>
    <row r="4190" ht="16.5" spans="1:5">
      <c r="A4190" s="151">
        <v>4189</v>
      </c>
      <c r="B4190" s="152" t="s">
        <v>13936</v>
      </c>
      <c r="C4190" s="153" t="s">
        <v>16629</v>
      </c>
      <c r="D4190" s="158">
        <v>10</v>
      </c>
      <c r="E4190" s="155">
        <f t="shared" si="152"/>
        <v>1000</v>
      </c>
    </row>
    <row r="4191" ht="16.5" spans="1:5">
      <c r="A4191" s="151">
        <v>4190</v>
      </c>
      <c r="B4191" s="152" t="s">
        <v>13939</v>
      </c>
      <c r="C4191" s="153" t="s">
        <v>16629</v>
      </c>
      <c r="D4191" s="158">
        <v>10</v>
      </c>
      <c r="E4191" s="155">
        <f t="shared" si="152"/>
        <v>1000</v>
      </c>
    </row>
    <row r="4192" ht="16.5" spans="1:5">
      <c r="A4192" s="151">
        <v>4191</v>
      </c>
      <c r="B4192" s="152" t="s">
        <v>13942</v>
      </c>
      <c r="C4192" s="156" t="s">
        <v>16629</v>
      </c>
      <c r="D4192" s="159">
        <v>10</v>
      </c>
      <c r="E4192" s="155">
        <f t="shared" si="152"/>
        <v>1000</v>
      </c>
    </row>
    <row r="4193" ht="16.5" spans="1:5">
      <c r="A4193" s="151">
        <v>4192</v>
      </c>
      <c r="B4193" s="152" t="s">
        <v>13945</v>
      </c>
      <c r="C4193" s="153" t="s">
        <v>16629</v>
      </c>
      <c r="D4193" s="158">
        <v>10</v>
      </c>
      <c r="E4193" s="155">
        <f t="shared" si="152"/>
        <v>1000</v>
      </c>
    </row>
    <row r="4194" ht="16.5" spans="1:5">
      <c r="A4194" s="151">
        <v>4193</v>
      </c>
      <c r="B4194" s="152" t="s">
        <v>13948</v>
      </c>
      <c r="C4194" s="160" t="s">
        <v>16630</v>
      </c>
      <c r="D4194" s="160">
        <v>110</v>
      </c>
      <c r="E4194" s="161">
        <f>SUM(D4194*100)</f>
        <v>11000</v>
      </c>
    </row>
    <row r="4195" ht="16.5" spans="1:5">
      <c r="A4195" s="151">
        <v>4194</v>
      </c>
      <c r="B4195" s="152" t="s">
        <v>13951</v>
      </c>
      <c r="C4195" s="153" t="s">
        <v>16629</v>
      </c>
      <c r="D4195" s="154">
        <v>10</v>
      </c>
      <c r="E4195" s="155">
        <f>+D4195*100</f>
        <v>1000</v>
      </c>
    </row>
    <row r="4196" ht="16.5" spans="1:5">
      <c r="A4196" s="151">
        <v>4195</v>
      </c>
      <c r="B4196" s="152" t="s">
        <v>13954</v>
      </c>
      <c r="C4196" s="166" t="s">
        <v>16632</v>
      </c>
      <c r="D4196" s="36">
        <v>30000</v>
      </c>
      <c r="E4196" s="45">
        <v>3500000</v>
      </c>
    </row>
    <row r="4197" ht="16.5" spans="1:5">
      <c r="A4197" s="151">
        <v>4196</v>
      </c>
      <c r="B4197" s="152" t="s">
        <v>13954</v>
      </c>
      <c r="C4197" s="166" t="s">
        <v>16632</v>
      </c>
      <c r="D4197" s="36">
        <v>30000</v>
      </c>
      <c r="E4197" s="45">
        <v>3500000</v>
      </c>
    </row>
    <row r="4198" ht="16.5" spans="1:5">
      <c r="A4198" s="151">
        <v>4197</v>
      </c>
      <c r="B4198" s="152" t="s">
        <v>13959</v>
      </c>
      <c r="C4198" s="156" t="s">
        <v>16629</v>
      </c>
      <c r="D4198" s="159">
        <v>10</v>
      </c>
      <c r="E4198" s="155">
        <f>+D4198*100</f>
        <v>1000</v>
      </c>
    </row>
    <row r="4199" ht="16.5" spans="1:5">
      <c r="A4199" s="151">
        <v>4198</v>
      </c>
      <c r="B4199" s="152" t="s">
        <v>13962</v>
      </c>
      <c r="C4199" s="162" t="s">
        <v>16631</v>
      </c>
      <c r="D4199" s="163">
        <v>4000</v>
      </c>
      <c r="E4199" s="163">
        <f>D4199*100</f>
        <v>400000</v>
      </c>
    </row>
    <row r="4200" ht="16.5" spans="1:5">
      <c r="A4200" s="151">
        <v>4199</v>
      </c>
      <c r="B4200" s="152" t="s">
        <v>13962</v>
      </c>
      <c r="C4200" s="162" t="s">
        <v>16633</v>
      </c>
      <c r="D4200" s="171">
        <f>G4200/100</f>
        <v>0</v>
      </c>
      <c r="E4200" s="171">
        <f>G4200</f>
        <v>0</v>
      </c>
    </row>
    <row r="4201" ht="16.5" spans="1:5">
      <c r="A4201" s="151">
        <v>4200</v>
      </c>
      <c r="B4201" s="152" t="s">
        <v>13967</v>
      </c>
      <c r="C4201" s="160" t="s">
        <v>16630</v>
      </c>
      <c r="D4201" s="160">
        <v>300</v>
      </c>
      <c r="E4201" s="161">
        <f>SUM(D4201*100)</f>
        <v>30000</v>
      </c>
    </row>
    <row r="4202" ht="16.5" spans="1:5">
      <c r="A4202" s="151">
        <v>4201</v>
      </c>
      <c r="B4202" s="152" t="s">
        <v>13970</v>
      </c>
      <c r="C4202" s="156" t="s">
        <v>16629</v>
      </c>
      <c r="D4202" s="157">
        <v>10</v>
      </c>
      <c r="E4202" s="155">
        <f>+D4202*100</f>
        <v>1000</v>
      </c>
    </row>
    <row r="4203" ht="16.5" spans="1:5">
      <c r="A4203" s="151">
        <v>4202</v>
      </c>
      <c r="B4203" s="152" t="s">
        <v>13973</v>
      </c>
      <c r="C4203" s="156" t="s">
        <v>16629</v>
      </c>
      <c r="D4203" s="159">
        <v>10</v>
      </c>
      <c r="E4203" s="155">
        <f>+D4203*100</f>
        <v>1000</v>
      </c>
    </row>
    <row r="4204" ht="16.5" spans="1:5">
      <c r="A4204" s="151">
        <v>4203</v>
      </c>
      <c r="B4204" s="152" t="s">
        <v>13976</v>
      </c>
      <c r="C4204" s="160" t="s">
        <v>16630</v>
      </c>
      <c r="D4204" s="160">
        <v>10</v>
      </c>
      <c r="E4204" s="161">
        <f>SUM(D4204*100)</f>
        <v>1000</v>
      </c>
    </row>
    <row r="4205" ht="16.5" spans="1:5">
      <c r="A4205" s="151">
        <v>4204</v>
      </c>
      <c r="B4205" s="152" t="s">
        <v>13980</v>
      </c>
      <c r="C4205" s="162" t="s">
        <v>16631</v>
      </c>
      <c r="D4205" s="163">
        <v>1000</v>
      </c>
      <c r="E4205" s="163">
        <f>D4205*100</f>
        <v>100000</v>
      </c>
    </row>
    <row r="4206" ht="16.5" spans="1:5">
      <c r="A4206" s="151">
        <v>4205</v>
      </c>
      <c r="B4206" s="152" t="s">
        <v>13985</v>
      </c>
      <c r="C4206" s="160" t="s">
        <v>16630</v>
      </c>
      <c r="D4206" s="160">
        <v>100</v>
      </c>
      <c r="E4206" s="161">
        <f>SUM(D4206*100)</f>
        <v>10000</v>
      </c>
    </row>
    <row r="4207" ht="16.5" spans="1:5">
      <c r="A4207" s="151">
        <v>4206</v>
      </c>
      <c r="B4207" s="152" t="s">
        <v>13989</v>
      </c>
      <c r="C4207" s="160" t="s">
        <v>16630</v>
      </c>
      <c r="D4207" s="160">
        <v>500</v>
      </c>
      <c r="E4207" s="161">
        <f>SUM(D4207*100)</f>
        <v>50000</v>
      </c>
    </row>
    <row r="4208" ht="16.5" spans="1:5">
      <c r="A4208" s="151">
        <v>4207</v>
      </c>
      <c r="B4208" s="152" t="s">
        <v>13993</v>
      </c>
      <c r="C4208" s="166" t="s">
        <v>16632</v>
      </c>
      <c r="D4208" s="185">
        <f>+G4208/100</f>
        <v>0</v>
      </c>
      <c r="E4208" s="45">
        <v>3500000</v>
      </c>
    </row>
    <row r="4209" ht="16.5" spans="1:5">
      <c r="A4209" s="151">
        <v>4208</v>
      </c>
      <c r="B4209" s="152" t="s">
        <v>13997</v>
      </c>
      <c r="C4209" s="160" t="s">
        <v>16630</v>
      </c>
      <c r="D4209" s="160">
        <v>50</v>
      </c>
      <c r="E4209" s="161">
        <f t="shared" ref="E4209:E4214" si="153">SUM(D4209*100)</f>
        <v>5000</v>
      </c>
    </row>
    <row r="4210" ht="16.5" spans="1:5">
      <c r="A4210" s="151">
        <v>4209</v>
      </c>
      <c r="B4210" s="152" t="s">
        <v>14000</v>
      </c>
      <c r="C4210" s="160" t="s">
        <v>16630</v>
      </c>
      <c r="D4210" s="160">
        <v>10</v>
      </c>
      <c r="E4210" s="161">
        <f t="shared" si="153"/>
        <v>1000</v>
      </c>
    </row>
    <row r="4211" ht="16.5" spans="1:5">
      <c r="A4211" s="151">
        <v>4210</v>
      </c>
      <c r="B4211" s="152" t="s">
        <v>14004</v>
      </c>
      <c r="C4211" s="160" t="s">
        <v>16630</v>
      </c>
      <c r="D4211" s="160">
        <v>100</v>
      </c>
      <c r="E4211" s="161">
        <f t="shared" si="153"/>
        <v>10000</v>
      </c>
    </row>
    <row r="4212" ht="16.5" spans="1:5">
      <c r="A4212" s="151">
        <v>4211</v>
      </c>
      <c r="B4212" s="152" t="s">
        <v>14008</v>
      </c>
      <c r="C4212" s="160" t="s">
        <v>16630</v>
      </c>
      <c r="D4212" s="160">
        <v>500</v>
      </c>
      <c r="E4212" s="161">
        <f t="shared" si="153"/>
        <v>50000</v>
      </c>
    </row>
    <row r="4213" ht="16.5" spans="1:5">
      <c r="A4213" s="151">
        <v>4212</v>
      </c>
      <c r="B4213" s="152" t="s">
        <v>14013</v>
      </c>
      <c r="C4213" s="160" t="s">
        <v>16630</v>
      </c>
      <c r="D4213" s="160">
        <v>35</v>
      </c>
      <c r="E4213" s="161">
        <f t="shared" si="153"/>
        <v>3500</v>
      </c>
    </row>
    <row r="4214" ht="16.5" spans="1:5">
      <c r="A4214" s="151">
        <v>4213</v>
      </c>
      <c r="B4214" s="152" t="s">
        <v>14017</v>
      </c>
      <c r="C4214" s="160" t="s">
        <v>16630</v>
      </c>
      <c r="D4214" s="165">
        <v>50</v>
      </c>
      <c r="E4214" s="161">
        <f t="shared" si="153"/>
        <v>5000</v>
      </c>
    </row>
    <row r="4215" ht="16.5" spans="1:5">
      <c r="A4215" s="151">
        <v>4214</v>
      </c>
      <c r="B4215" s="152" t="s">
        <v>14020</v>
      </c>
      <c r="C4215" s="156" t="s">
        <v>16629</v>
      </c>
      <c r="D4215" s="159">
        <v>10</v>
      </c>
      <c r="E4215" s="155">
        <f>+D4215*100</f>
        <v>1000</v>
      </c>
    </row>
    <row r="4216" ht="16.5" spans="1:5">
      <c r="A4216" s="151">
        <v>4215</v>
      </c>
      <c r="B4216" s="152" t="s">
        <v>14024</v>
      </c>
      <c r="C4216" s="160" t="s">
        <v>16630</v>
      </c>
      <c r="D4216" s="160">
        <v>200</v>
      </c>
      <c r="E4216" s="161">
        <f t="shared" ref="E4216:E4222" si="154">SUM(D4216*100)</f>
        <v>20000</v>
      </c>
    </row>
    <row r="4217" ht="16.5" spans="1:5">
      <c r="A4217" s="151">
        <v>4216</v>
      </c>
      <c r="B4217" s="152" t="s">
        <v>14027</v>
      </c>
      <c r="C4217" s="160" t="s">
        <v>16630</v>
      </c>
      <c r="D4217" s="165">
        <v>100</v>
      </c>
      <c r="E4217" s="161">
        <f t="shared" si="154"/>
        <v>10000</v>
      </c>
    </row>
    <row r="4218" ht="16.5" spans="1:5">
      <c r="A4218" s="151">
        <v>4217</v>
      </c>
      <c r="B4218" s="152" t="s">
        <v>14030</v>
      </c>
      <c r="C4218" s="160" t="s">
        <v>16630</v>
      </c>
      <c r="D4218" s="160">
        <v>400</v>
      </c>
      <c r="E4218" s="161">
        <f t="shared" si="154"/>
        <v>40000</v>
      </c>
    </row>
    <row r="4219" ht="16.5" spans="1:5">
      <c r="A4219" s="151">
        <v>4218</v>
      </c>
      <c r="B4219" s="152" t="s">
        <v>14034</v>
      </c>
      <c r="C4219" s="160" t="s">
        <v>16630</v>
      </c>
      <c r="D4219" s="160">
        <v>50</v>
      </c>
      <c r="E4219" s="161">
        <f t="shared" si="154"/>
        <v>5000</v>
      </c>
    </row>
    <row r="4220" ht="16.5" spans="1:5">
      <c r="A4220" s="151">
        <v>4219</v>
      </c>
      <c r="B4220" s="152" t="s">
        <v>14037</v>
      </c>
      <c r="C4220" s="160" t="s">
        <v>16630</v>
      </c>
      <c r="D4220" s="160">
        <v>50</v>
      </c>
      <c r="E4220" s="161">
        <f t="shared" si="154"/>
        <v>5000</v>
      </c>
    </row>
    <row r="4221" ht="16.5" spans="1:5">
      <c r="A4221" s="151">
        <v>4220</v>
      </c>
      <c r="B4221" s="152" t="s">
        <v>14041</v>
      </c>
      <c r="C4221" s="160" t="s">
        <v>16630</v>
      </c>
      <c r="D4221" s="160">
        <v>10</v>
      </c>
      <c r="E4221" s="161">
        <f t="shared" si="154"/>
        <v>1000</v>
      </c>
    </row>
    <row r="4222" ht="16.5" spans="1:5">
      <c r="A4222" s="151">
        <v>4221</v>
      </c>
      <c r="B4222" s="152" t="s">
        <v>14044</v>
      </c>
      <c r="C4222" s="160" t="s">
        <v>16630</v>
      </c>
      <c r="D4222" s="41">
        <v>10</v>
      </c>
      <c r="E4222" s="161">
        <f t="shared" si="154"/>
        <v>1000</v>
      </c>
    </row>
    <row r="4223" ht="16.5" spans="1:5">
      <c r="A4223" s="151">
        <v>4222</v>
      </c>
      <c r="B4223" s="152" t="s">
        <v>14047</v>
      </c>
      <c r="C4223" s="162" t="s">
        <v>16631</v>
      </c>
      <c r="D4223" s="163">
        <v>1000</v>
      </c>
      <c r="E4223" s="163">
        <f>D4223*100</f>
        <v>100000</v>
      </c>
    </row>
    <row r="4224" ht="16.5" spans="1:5">
      <c r="A4224" s="151">
        <v>4223</v>
      </c>
      <c r="B4224" s="152" t="s">
        <v>14047</v>
      </c>
      <c r="C4224" s="162" t="s">
        <v>16633</v>
      </c>
      <c r="D4224" s="171">
        <f>G4224/100</f>
        <v>0</v>
      </c>
      <c r="E4224" s="171">
        <f>G4224</f>
        <v>0</v>
      </c>
    </row>
    <row r="4225" ht="16.5" spans="1:5">
      <c r="A4225" s="151">
        <v>4224</v>
      </c>
      <c r="B4225" s="152" t="s">
        <v>14051</v>
      </c>
      <c r="C4225" s="160" t="s">
        <v>16630</v>
      </c>
      <c r="D4225" s="160">
        <v>10</v>
      </c>
      <c r="E4225" s="161">
        <f>SUM(D4225*100)</f>
        <v>1000</v>
      </c>
    </row>
    <row r="4226" ht="16.5" spans="1:5">
      <c r="A4226" s="151">
        <v>4225</v>
      </c>
      <c r="B4226" s="152" t="s">
        <v>14055</v>
      </c>
      <c r="C4226" s="162" t="s">
        <v>16631</v>
      </c>
      <c r="D4226" s="163">
        <v>1000</v>
      </c>
      <c r="E4226" s="163">
        <f>D4226*100</f>
        <v>100000</v>
      </c>
    </row>
    <row r="4227" ht="16.5" spans="1:5">
      <c r="A4227" s="151">
        <v>4226</v>
      </c>
      <c r="B4227" s="152" t="s">
        <v>14060</v>
      </c>
      <c r="C4227" s="160" t="s">
        <v>16630</v>
      </c>
      <c r="D4227" s="160">
        <v>10</v>
      </c>
      <c r="E4227" s="161">
        <f>SUM(D4227*100)</f>
        <v>1000</v>
      </c>
    </row>
    <row r="4228" ht="16.5" spans="1:5">
      <c r="A4228" s="151">
        <v>4227</v>
      </c>
      <c r="B4228" s="152" t="s">
        <v>14063</v>
      </c>
      <c r="C4228" s="160" t="s">
        <v>16630</v>
      </c>
      <c r="D4228" s="160">
        <v>4000</v>
      </c>
      <c r="E4228" s="161">
        <f>SUM(D4228*100)</f>
        <v>400000</v>
      </c>
    </row>
    <row r="4229" ht="16.5" spans="1:5">
      <c r="A4229" s="151">
        <v>4228</v>
      </c>
      <c r="B4229" s="152" t="s">
        <v>14063</v>
      </c>
      <c r="C4229" s="162" t="s">
        <v>16631</v>
      </c>
      <c r="D4229" s="163">
        <v>2000</v>
      </c>
      <c r="E4229" s="163">
        <f>D4229*100</f>
        <v>200000</v>
      </c>
    </row>
    <row r="4230" ht="16.5" spans="1:5">
      <c r="A4230" s="151">
        <v>4229</v>
      </c>
      <c r="B4230" s="152" t="s">
        <v>14067</v>
      </c>
      <c r="C4230" s="160" t="s">
        <v>16630</v>
      </c>
      <c r="D4230" s="160">
        <v>10</v>
      </c>
      <c r="E4230" s="161">
        <f>SUM(D4230*100)</f>
        <v>1000</v>
      </c>
    </row>
    <row r="4231" ht="16.5" spans="1:5">
      <c r="A4231" s="151">
        <v>4230</v>
      </c>
      <c r="B4231" s="152" t="s">
        <v>14070</v>
      </c>
      <c r="C4231" s="160" t="s">
        <v>16630</v>
      </c>
      <c r="D4231" s="160">
        <v>100</v>
      </c>
      <c r="E4231" s="161">
        <f>SUM(D4231*100)</f>
        <v>10000</v>
      </c>
    </row>
    <row r="4232" ht="16.5" spans="1:5">
      <c r="A4232" s="151">
        <v>4231</v>
      </c>
      <c r="B4232" s="152" t="s">
        <v>14073</v>
      </c>
      <c r="C4232" s="160" t="s">
        <v>16630</v>
      </c>
      <c r="D4232" s="160">
        <v>10</v>
      </c>
      <c r="E4232" s="161">
        <f>SUM(D4232*100)</f>
        <v>1000</v>
      </c>
    </row>
    <row r="4233" ht="16.5" spans="1:5">
      <c r="A4233" s="151">
        <v>4232</v>
      </c>
      <c r="B4233" s="152" t="s">
        <v>14077</v>
      </c>
      <c r="C4233" s="156" t="s">
        <v>16629</v>
      </c>
      <c r="D4233" s="159">
        <v>10</v>
      </c>
      <c r="E4233" s="155">
        <f>+D4233*100</f>
        <v>1000</v>
      </c>
    </row>
    <row r="4234" ht="16.5" spans="1:5">
      <c r="A4234" s="151">
        <v>4233</v>
      </c>
      <c r="B4234" s="152" t="s">
        <v>14081</v>
      </c>
      <c r="C4234" s="160" t="s">
        <v>16630</v>
      </c>
      <c r="D4234" s="160">
        <v>20</v>
      </c>
      <c r="E4234" s="161">
        <f>SUM(D4234*100)</f>
        <v>2000</v>
      </c>
    </row>
    <row r="4235" ht="16.5" spans="1:5">
      <c r="A4235" s="151">
        <v>4234</v>
      </c>
      <c r="B4235" s="152" t="s">
        <v>14084</v>
      </c>
      <c r="C4235" s="160" t="s">
        <v>16630</v>
      </c>
      <c r="D4235" s="160">
        <v>10</v>
      </c>
      <c r="E4235" s="161">
        <f>SUM(D4235*100)</f>
        <v>1000</v>
      </c>
    </row>
    <row r="4236" ht="16.5" spans="1:5">
      <c r="A4236" s="151">
        <v>4235</v>
      </c>
      <c r="B4236" s="152" t="s">
        <v>14088</v>
      </c>
      <c r="C4236" s="153" t="s">
        <v>16629</v>
      </c>
      <c r="D4236" s="158">
        <v>10</v>
      </c>
      <c r="E4236" s="155">
        <f>+D4236*100</f>
        <v>1000</v>
      </c>
    </row>
    <row r="4237" ht="16.5" spans="1:5">
      <c r="A4237" s="151">
        <v>4236</v>
      </c>
      <c r="B4237" s="152" t="s">
        <v>14091</v>
      </c>
      <c r="C4237" s="160" t="s">
        <v>16630</v>
      </c>
      <c r="D4237" s="160">
        <v>200</v>
      </c>
      <c r="E4237" s="161">
        <f>SUM(D4237*100)</f>
        <v>20000</v>
      </c>
    </row>
    <row r="4238" ht="16.5" spans="1:5">
      <c r="A4238" s="151">
        <v>4237</v>
      </c>
      <c r="B4238" s="152" t="s">
        <v>14095</v>
      </c>
      <c r="C4238" s="160" t="s">
        <v>16630</v>
      </c>
      <c r="D4238" s="165">
        <v>30</v>
      </c>
      <c r="E4238" s="161">
        <f>SUM(D4238*100)</f>
        <v>3000</v>
      </c>
    </row>
    <row r="4239" ht="16.5" spans="1:5">
      <c r="A4239" s="151">
        <v>4238</v>
      </c>
      <c r="B4239" s="152" t="s">
        <v>14098</v>
      </c>
      <c r="C4239" s="166" t="s">
        <v>16632</v>
      </c>
      <c r="D4239" s="166">
        <v>15000</v>
      </c>
      <c r="E4239" s="151">
        <v>1500000</v>
      </c>
    </row>
    <row r="4240" ht="16.5" spans="1:5">
      <c r="A4240" s="151">
        <v>4239</v>
      </c>
      <c r="B4240" s="152" t="s">
        <v>14101</v>
      </c>
      <c r="C4240" s="162" t="s">
        <v>16631</v>
      </c>
      <c r="D4240" s="163">
        <v>1000</v>
      </c>
      <c r="E4240" s="163">
        <f>D4240*100</f>
        <v>100000</v>
      </c>
    </row>
    <row r="4241" ht="16.5" spans="1:5">
      <c r="A4241" s="151">
        <v>4240</v>
      </c>
      <c r="B4241" s="152" t="s">
        <v>14101</v>
      </c>
      <c r="C4241" s="162" t="s">
        <v>16633</v>
      </c>
      <c r="D4241" s="171">
        <f>G4241/100</f>
        <v>0</v>
      </c>
      <c r="E4241" s="171">
        <f>G4241</f>
        <v>0</v>
      </c>
    </row>
    <row r="4242" ht="16.5" spans="1:5">
      <c r="A4242" s="151">
        <v>4241</v>
      </c>
      <c r="B4242" s="152" t="s">
        <v>14101</v>
      </c>
      <c r="C4242" s="166" t="s">
        <v>16632</v>
      </c>
      <c r="D4242" s="166">
        <f>IFERROR(__xludf.DUMMYFUNCTION("""COMPUTED_VALUE"""),10000)</f>
        <v>10000</v>
      </c>
      <c r="E4242" s="168">
        <f>IFERROR(__xludf.DUMMYFUNCTION("""COMPUTED_VALUE"""),1500000)</f>
        <v>1500000</v>
      </c>
    </row>
    <row r="4243" ht="16.5" spans="1:5">
      <c r="A4243" s="151">
        <v>4242</v>
      </c>
      <c r="B4243" s="152" t="s">
        <v>14106</v>
      </c>
      <c r="C4243" s="156" t="s">
        <v>16629</v>
      </c>
      <c r="D4243" s="157">
        <v>10</v>
      </c>
      <c r="E4243" s="155">
        <f t="shared" ref="E4243:E4250" si="155">+D4243*100</f>
        <v>1000</v>
      </c>
    </row>
    <row r="4244" ht="16.5" spans="1:5">
      <c r="A4244" s="151">
        <v>4243</v>
      </c>
      <c r="B4244" s="152" t="s">
        <v>14109</v>
      </c>
      <c r="C4244" s="156" t="s">
        <v>16629</v>
      </c>
      <c r="D4244" s="157">
        <v>10</v>
      </c>
      <c r="E4244" s="155">
        <f t="shared" si="155"/>
        <v>1000</v>
      </c>
    </row>
    <row r="4245" ht="16.5" spans="1:5">
      <c r="A4245" s="151">
        <v>4244</v>
      </c>
      <c r="B4245" s="152" t="s">
        <v>14113</v>
      </c>
      <c r="C4245" s="156" t="s">
        <v>16629</v>
      </c>
      <c r="D4245" s="159">
        <v>10</v>
      </c>
      <c r="E4245" s="155">
        <f t="shared" si="155"/>
        <v>1000</v>
      </c>
    </row>
    <row r="4246" ht="16.5" spans="1:5">
      <c r="A4246" s="151">
        <v>4245</v>
      </c>
      <c r="B4246" s="152" t="s">
        <v>14117</v>
      </c>
      <c r="C4246" s="153" t="s">
        <v>16629</v>
      </c>
      <c r="D4246" s="158">
        <v>10</v>
      </c>
      <c r="E4246" s="155">
        <f t="shared" si="155"/>
        <v>1000</v>
      </c>
    </row>
    <row r="4247" ht="16.5" spans="1:5">
      <c r="A4247" s="151">
        <v>4246</v>
      </c>
      <c r="B4247" s="152" t="s">
        <v>14120</v>
      </c>
      <c r="C4247" s="156" t="s">
        <v>16629</v>
      </c>
      <c r="D4247" s="159">
        <v>10</v>
      </c>
      <c r="E4247" s="155">
        <f t="shared" si="155"/>
        <v>1000</v>
      </c>
    </row>
    <row r="4248" ht="16.5" spans="1:5">
      <c r="A4248" s="151">
        <v>4247</v>
      </c>
      <c r="B4248" s="152" t="s">
        <v>14124</v>
      </c>
      <c r="C4248" s="153" t="s">
        <v>16629</v>
      </c>
      <c r="D4248" s="154">
        <v>10</v>
      </c>
      <c r="E4248" s="155">
        <f t="shared" si="155"/>
        <v>1000</v>
      </c>
    </row>
    <row r="4249" ht="16.5" spans="1:5">
      <c r="A4249" s="151">
        <v>4248</v>
      </c>
      <c r="B4249" s="152" t="s">
        <v>14128</v>
      </c>
      <c r="C4249" s="153" t="s">
        <v>16629</v>
      </c>
      <c r="D4249" s="158">
        <v>10</v>
      </c>
      <c r="E4249" s="155">
        <f t="shared" si="155"/>
        <v>1000</v>
      </c>
    </row>
    <row r="4250" ht="16.5" spans="1:5">
      <c r="A4250" s="151">
        <v>4249</v>
      </c>
      <c r="B4250" s="152" t="s">
        <v>14131</v>
      </c>
      <c r="C4250" s="156" t="s">
        <v>16629</v>
      </c>
      <c r="D4250" s="159">
        <v>20</v>
      </c>
      <c r="E4250" s="155">
        <f t="shared" si="155"/>
        <v>2000</v>
      </c>
    </row>
    <row r="4251" ht="16.5" spans="1:5">
      <c r="A4251" s="151">
        <v>4250</v>
      </c>
      <c r="B4251" s="152" t="s">
        <v>14135</v>
      </c>
      <c r="C4251" s="166" t="s">
        <v>16632</v>
      </c>
      <c r="D4251" s="166">
        <f>IFERROR(__xludf.DUMMYFUNCTION("""COMPUTED_VALUE"""),10000)</f>
        <v>10000</v>
      </c>
      <c r="E4251" s="168">
        <f>IFERROR(__xludf.DUMMYFUNCTION("""COMPUTED_VALUE"""),1500000)</f>
        <v>1500000</v>
      </c>
    </row>
    <row r="4252" ht="16.5" spans="1:5">
      <c r="A4252" s="151">
        <v>4251</v>
      </c>
      <c r="B4252" s="152" t="s">
        <v>14136</v>
      </c>
      <c r="C4252" s="153" t="s">
        <v>16629</v>
      </c>
      <c r="D4252" s="154">
        <v>10</v>
      </c>
      <c r="E4252" s="155">
        <f>+D4252*100</f>
        <v>1000</v>
      </c>
    </row>
    <row r="4253" ht="16.5" spans="1:5">
      <c r="A4253" s="151">
        <v>4252</v>
      </c>
      <c r="B4253" s="152" t="s">
        <v>14139</v>
      </c>
      <c r="C4253" s="160" t="s">
        <v>16630</v>
      </c>
      <c r="D4253" s="160">
        <v>10</v>
      </c>
      <c r="E4253" s="161">
        <f>SUM(D4253*100)</f>
        <v>1000</v>
      </c>
    </row>
    <row r="4254" ht="16.5" spans="1:5">
      <c r="A4254" s="151">
        <v>4253</v>
      </c>
      <c r="B4254" s="152" t="s">
        <v>14143</v>
      </c>
      <c r="C4254" s="160" t="s">
        <v>16630</v>
      </c>
      <c r="D4254" s="160">
        <v>50</v>
      </c>
      <c r="E4254" s="161">
        <f>SUM(D4254*100)</f>
        <v>5000</v>
      </c>
    </row>
    <row r="4255" ht="16.5" spans="1:5">
      <c r="A4255" s="151">
        <v>4254</v>
      </c>
      <c r="B4255" s="152" t="s">
        <v>14143</v>
      </c>
      <c r="C4255" s="162" t="s">
        <v>16631</v>
      </c>
      <c r="D4255" s="163">
        <v>1000</v>
      </c>
      <c r="E4255" s="163">
        <f>D4255*100</f>
        <v>100000</v>
      </c>
    </row>
    <row r="4256" ht="16.5" spans="1:5">
      <c r="A4256" s="151">
        <v>4255</v>
      </c>
      <c r="B4256" s="152" t="s">
        <v>14147</v>
      </c>
      <c r="C4256" s="153" t="s">
        <v>16629</v>
      </c>
      <c r="D4256" s="158">
        <v>10</v>
      </c>
      <c r="E4256" s="155">
        <f>+D4256*100</f>
        <v>1000</v>
      </c>
    </row>
    <row r="4257" ht="16.5" spans="1:5">
      <c r="A4257" s="151">
        <v>4256</v>
      </c>
      <c r="B4257" s="152" t="s">
        <v>14151</v>
      </c>
      <c r="C4257" s="160" t="s">
        <v>16630</v>
      </c>
      <c r="D4257" s="160">
        <v>5000</v>
      </c>
      <c r="E4257" s="161">
        <f>SUM(D4257*10)</f>
        <v>50000</v>
      </c>
    </row>
    <row r="4258" ht="16.5" spans="1:5">
      <c r="A4258" s="151">
        <v>4257</v>
      </c>
      <c r="B4258" s="152" t="s">
        <v>14155</v>
      </c>
      <c r="C4258" s="160" t="s">
        <v>16630</v>
      </c>
      <c r="D4258" s="160">
        <v>30</v>
      </c>
      <c r="E4258" s="161">
        <f>SUM(D4258*100)</f>
        <v>3000</v>
      </c>
    </row>
    <row r="4259" ht="16.5" spans="1:5">
      <c r="A4259" s="151">
        <v>4258</v>
      </c>
      <c r="B4259" s="152" t="s">
        <v>14158</v>
      </c>
      <c r="C4259" s="153" t="s">
        <v>16629</v>
      </c>
      <c r="D4259" s="158">
        <v>10</v>
      </c>
      <c r="E4259" s="155">
        <f>+D4259*100</f>
        <v>1000</v>
      </c>
    </row>
    <row r="4260" ht="16.5" spans="1:5">
      <c r="A4260" s="151">
        <v>4259</v>
      </c>
      <c r="B4260" s="152" t="s">
        <v>14161</v>
      </c>
      <c r="C4260" s="160" t="s">
        <v>16630</v>
      </c>
      <c r="D4260" s="160">
        <v>10</v>
      </c>
      <c r="E4260" s="161">
        <f>SUM(D4260*100)</f>
        <v>1000</v>
      </c>
    </row>
    <row r="4261" ht="16.5" spans="1:5">
      <c r="A4261" s="151">
        <v>4260</v>
      </c>
      <c r="B4261" s="152" t="s">
        <v>14165</v>
      </c>
      <c r="C4261" s="162" t="s">
        <v>16631</v>
      </c>
      <c r="D4261" s="163">
        <v>1000</v>
      </c>
      <c r="E4261" s="163">
        <f>D4261*100</f>
        <v>100000</v>
      </c>
    </row>
    <row r="4262" ht="16.5" spans="1:5">
      <c r="A4262" s="151">
        <v>4261</v>
      </c>
      <c r="B4262" s="152" t="s">
        <v>14169</v>
      </c>
      <c r="C4262" s="160" t="s">
        <v>16630</v>
      </c>
      <c r="D4262" s="160">
        <v>1000</v>
      </c>
      <c r="E4262" s="161">
        <f>SUM(D4262*100)</f>
        <v>100000</v>
      </c>
    </row>
    <row r="4263" ht="16.5" spans="1:5">
      <c r="A4263" s="151">
        <v>4262</v>
      </c>
      <c r="B4263" s="152" t="s">
        <v>14173</v>
      </c>
      <c r="C4263" s="160" t="s">
        <v>16630</v>
      </c>
      <c r="D4263" s="160">
        <v>120</v>
      </c>
      <c r="E4263" s="161">
        <f>SUM(D4263*100)</f>
        <v>12000</v>
      </c>
    </row>
    <row r="4264" ht="16.5" spans="1:5">
      <c r="A4264" s="151">
        <v>4263</v>
      </c>
      <c r="B4264" s="152" t="s">
        <v>14178</v>
      </c>
      <c r="C4264" s="160" t="s">
        <v>16630</v>
      </c>
      <c r="D4264" s="160">
        <v>40</v>
      </c>
      <c r="E4264" s="161">
        <f>SUM(D4264*100)</f>
        <v>4000</v>
      </c>
    </row>
    <row r="4265" ht="16.5" spans="1:5">
      <c r="A4265" s="151">
        <v>4264</v>
      </c>
      <c r="B4265" s="152" t="s">
        <v>14182</v>
      </c>
      <c r="C4265" s="160" t="s">
        <v>16630</v>
      </c>
      <c r="D4265" s="186">
        <v>1000</v>
      </c>
      <c r="E4265" s="161">
        <f>+D4265*100</f>
        <v>100000</v>
      </c>
    </row>
    <row r="4266" ht="16.5" spans="1:5">
      <c r="A4266" s="151">
        <v>4265</v>
      </c>
      <c r="B4266" s="152" t="s">
        <v>14185</v>
      </c>
      <c r="C4266" s="156" t="s">
        <v>16629</v>
      </c>
      <c r="D4266" s="159">
        <v>10</v>
      </c>
      <c r="E4266" s="155">
        <f>+D4266*100</f>
        <v>1000</v>
      </c>
    </row>
    <row r="4267" ht="16.5" spans="1:5">
      <c r="A4267" s="151">
        <v>4266</v>
      </c>
      <c r="B4267" s="152" t="s">
        <v>14189</v>
      </c>
      <c r="C4267" s="156" t="s">
        <v>16629</v>
      </c>
      <c r="D4267" s="159">
        <v>10</v>
      </c>
      <c r="E4267" s="155">
        <f>+D4267*100</f>
        <v>1000</v>
      </c>
    </row>
    <row r="4268" ht="16.5" spans="1:5">
      <c r="A4268" s="151">
        <v>4267</v>
      </c>
      <c r="B4268" s="152" t="s">
        <v>14192</v>
      </c>
      <c r="C4268" s="156" t="s">
        <v>16629</v>
      </c>
      <c r="D4268" s="159">
        <v>10</v>
      </c>
      <c r="E4268" s="155">
        <f>+D4268*100</f>
        <v>1000</v>
      </c>
    </row>
    <row r="4269" ht="16.5" spans="1:5">
      <c r="A4269" s="151">
        <v>4268</v>
      </c>
      <c r="B4269" s="152" t="s">
        <v>14195</v>
      </c>
      <c r="C4269" s="153" t="s">
        <v>16629</v>
      </c>
      <c r="D4269" s="158">
        <v>10</v>
      </c>
      <c r="E4269" s="155">
        <f>+D4269*100</f>
        <v>1000</v>
      </c>
    </row>
    <row r="4270" ht="16.5" spans="1:5">
      <c r="A4270" s="151">
        <v>4269</v>
      </c>
      <c r="B4270" s="152" t="s">
        <v>14198</v>
      </c>
      <c r="C4270" s="162" t="s">
        <v>16633</v>
      </c>
      <c r="D4270" s="171">
        <f>G4270/100</f>
        <v>0</v>
      </c>
      <c r="E4270" s="171">
        <f>G4270</f>
        <v>0</v>
      </c>
    </row>
    <row r="4271" ht="16.5" spans="1:5">
      <c r="A4271" s="151">
        <v>4270</v>
      </c>
      <c r="B4271" s="152" t="s">
        <v>14202</v>
      </c>
      <c r="C4271" s="153" t="s">
        <v>16629</v>
      </c>
      <c r="D4271" s="158">
        <v>10</v>
      </c>
      <c r="E4271" s="155">
        <f t="shared" ref="E4271:E4276" si="156">+D4271*100</f>
        <v>1000</v>
      </c>
    </row>
    <row r="4272" ht="16.5" spans="1:5">
      <c r="A4272" s="151">
        <v>4271</v>
      </c>
      <c r="B4272" s="152" t="s">
        <v>14205</v>
      </c>
      <c r="C4272" s="153" t="s">
        <v>16629</v>
      </c>
      <c r="D4272" s="154">
        <v>10</v>
      </c>
      <c r="E4272" s="155">
        <f t="shared" si="156"/>
        <v>1000</v>
      </c>
    </row>
    <row r="4273" ht="16.5" spans="1:5">
      <c r="A4273" s="151">
        <v>4272</v>
      </c>
      <c r="B4273" s="152" t="s">
        <v>14208</v>
      </c>
      <c r="C4273" s="153" t="s">
        <v>16629</v>
      </c>
      <c r="D4273" s="154">
        <v>10</v>
      </c>
      <c r="E4273" s="155">
        <f t="shared" si="156"/>
        <v>1000</v>
      </c>
    </row>
    <row r="4274" ht="16.5" spans="1:5">
      <c r="A4274" s="151">
        <v>4273</v>
      </c>
      <c r="B4274" s="152" t="s">
        <v>14211</v>
      </c>
      <c r="C4274" s="156" t="s">
        <v>16629</v>
      </c>
      <c r="D4274" s="157">
        <v>10</v>
      </c>
      <c r="E4274" s="155">
        <f t="shared" si="156"/>
        <v>1000</v>
      </c>
    </row>
    <row r="4275" ht="16.5" spans="1:5">
      <c r="A4275" s="151">
        <v>4274</v>
      </c>
      <c r="B4275" s="152" t="s">
        <v>14214</v>
      </c>
      <c r="C4275" s="156" t="s">
        <v>16629</v>
      </c>
      <c r="D4275" s="159">
        <v>10</v>
      </c>
      <c r="E4275" s="155">
        <f t="shared" si="156"/>
        <v>1000</v>
      </c>
    </row>
    <row r="4276" ht="16.5" spans="1:5">
      <c r="A4276" s="151">
        <v>4275</v>
      </c>
      <c r="B4276" s="152" t="s">
        <v>14218</v>
      </c>
      <c r="C4276" s="156" t="s">
        <v>16629</v>
      </c>
      <c r="D4276" s="157">
        <v>10</v>
      </c>
      <c r="E4276" s="155">
        <f t="shared" si="156"/>
        <v>1000</v>
      </c>
    </row>
    <row r="4277" ht="16.5" spans="1:5">
      <c r="A4277" s="151">
        <v>4276</v>
      </c>
      <c r="B4277" s="152" t="s">
        <v>14221</v>
      </c>
      <c r="C4277" s="160" t="s">
        <v>16630</v>
      </c>
      <c r="D4277" s="160">
        <v>1105</v>
      </c>
      <c r="E4277" s="161">
        <f>SUM(D4277*100)</f>
        <v>110500</v>
      </c>
    </row>
    <row r="4278" ht="16.5" spans="1:5">
      <c r="A4278" s="151">
        <v>4277</v>
      </c>
      <c r="B4278" s="152" t="s">
        <v>14225</v>
      </c>
      <c r="C4278" s="160" t="s">
        <v>16630</v>
      </c>
      <c r="D4278" s="160">
        <v>500</v>
      </c>
      <c r="E4278" s="161">
        <f>SUM(D4278*100)</f>
        <v>50000</v>
      </c>
    </row>
    <row r="4279" ht="16.5" spans="1:5">
      <c r="A4279" s="151">
        <v>4278</v>
      </c>
      <c r="B4279" s="152" t="s">
        <v>14225</v>
      </c>
      <c r="C4279" s="162" t="s">
        <v>16631</v>
      </c>
      <c r="D4279" s="163">
        <v>1000</v>
      </c>
      <c r="E4279" s="163">
        <f>D4279*100</f>
        <v>100000</v>
      </c>
    </row>
    <row r="4280" ht="16.5" spans="1:5">
      <c r="A4280" s="151">
        <v>4279</v>
      </c>
      <c r="B4280" s="152" t="s">
        <v>14229</v>
      </c>
      <c r="C4280" s="160" t="s">
        <v>16630</v>
      </c>
      <c r="D4280" s="160">
        <v>1000</v>
      </c>
      <c r="E4280" s="161">
        <f>SUM(D4280*100)</f>
        <v>100000</v>
      </c>
    </row>
    <row r="4281" ht="16.5" spans="1:5">
      <c r="A4281" s="151">
        <v>4280</v>
      </c>
      <c r="B4281" s="152" t="s">
        <v>14233</v>
      </c>
      <c r="C4281" s="153" t="s">
        <v>16629</v>
      </c>
      <c r="D4281" s="158">
        <v>10</v>
      </c>
      <c r="E4281" s="155">
        <f>+D4281*100</f>
        <v>1000</v>
      </c>
    </row>
    <row r="4282" ht="16.5" spans="1:5">
      <c r="A4282" s="151">
        <v>4281</v>
      </c>
      <c r="B4282" s="152" t="s">
        <v>14236</v>
      </c>
      <c r="C4282" s="166" t="s">
        <v>16632</v>
      </c>
      <c r="D4282" s="173">
        <v>30000</v>
      </c>
      <c r="E4282" s="45">
        <v>3500000</v>
      </c>
    </row>
    <row r="4283" ht="16.5" spans="1:5">
      <c r="A4283" s="151">
        <v>4282</v>
      </c>
      <c r="B4283" s="152" t="s">
        <v>14236</v>
      </c>
      <c r="C4283" s="166" t="s">
        <v>16632</v>
      </c>
      <c r="D4283" s="173">
        <v>30000</v>
      </c>
      <c r="E4283" s="45">
        <v>3500000</v>
      </c>
    </row>
    <row r="4284" ht="16.5" spans="1:5">
      <c r="A4284" s="151">
        <v>4283</v>
      </c>
      <c r="B4284" s="152" t="s">
        <v>14240</v>
      </c>
      <c r="C4284" s="160" t="s">
        <v>16630</v>
      </c>
      <c r="D4284" s="160">
        <v>10</v>
      </c>
      <c r="E4284" s="161">
        <f>SUM(D4284*100)</f>
        <v>1000</v>
      </c>
    </row>
    <row r="4285" ht="16.5" spans="1:5">
      <c r="A4285" s="151">
        <v>4284</v>
      </c>
      <c r="B4285" s="152" t="s">
        <v>14244</v>
      </c>
      <c r="C4285" s="156" t="s">
        <v>16629</v>
      </c>
      <c r="D4285" s="159">
        <v>10</v>
      </c>
      <c r="E4285" s="155">
        <f>+D4285*100</f>
        <v>1000</v>
      </c>
    </row>
    <row r="4286" ht="16.5" spans="1:5">
      <c r="A4286" s="151">
        <v>4285</v>
      </c>
      <c r="B4286" s="152" t="s">
        <v>14248</v>
      </c>
      <c r="C4286" s="160" t="s">
        <v>16630</v>
      </c>
      <c r="D4286" s="160">
        <v>100</v>
      </c>
      <c r="E4286" s="161">
        <f>SUM(D4286*100)</f>
        <v>10000</v>
      </c>
    </row>
    <row r="4287" ht="16.5" spans="1:5">
      <c r="A4287" s="151">
        <v>4286</v>
      </c>
      <c r="B4287" s="152" t="s">
        <v>14252</v>
      </c>
      <c r="C4287" s="162" t="s">
        <v>16631</v>
      </c>
      <c r="D4287" s="163">
        <v>1000</v>
      </c>
      <c r="E4287" s="163">
        <f>D4287*100</f>
        <v>100000</v>
      </c>
    </row>
    <row r="4288" ht="16.5" spans="1:5">
      <c r="A4288" s="151">
        <v>4287</v>
      </c>
      <c r="B4288" s="152" t="s">
        <v>14257</v>
      </c>
      <c r="C4288" s="153" t="s">
        <v>16629</v>
      </c>
      <c r="D4288" s="154">
        <v>10</v>
      </c>
      <c r="E4288" s="155">
        <f>+D4288*100</f>
        <v>1000</v>
      </c>
    </row>
    <row r="4289" ht="16.5" spans="1:5">
      <c r="A4289" s="151">
        <v>4288</v>
      </c>
      <c r="B4289" s="152" t="s">
        <v>14260</v>
      </c>
      <c r="C4289" s="166" t="s">
        <v>16632</v>
      </c>
      <c r="D4289" s="166">
        <f>IFERROR(__xludf.DUMMYFUNCTION("""COMPUTED_VALUE"""),10000)</f>
        <v>10000</v>
      </c>
      <c r="E4289" s="168">
        <f>IFERROR(__xludf.DUMMYFUNCTION("""COMPUTED_VALUE"""),1500000)</f>
        <v>1500000</v>
      </c>
    </row>
    <row r="4290" ht="16.5" spans="1:5">
      <c r="A4290" s="151">
        <v>4289</v>
      </c>
      <c r="B4290" s="152" t="s">
        <v>14261</v>
      </c>
      <c r="C4290" s="162" t="s">
        <v>16631</v>
      </c>
      <c r="D4290" s="163">
        <v>2000</v>
      </c>
      <c r="E4290" s="163">
        <f>D4290*100</f>
        <v>200000</v>
      </c>
    </row>
    <row r="4291" ht="16.5" spans="1:5">
      <c r="A4291" s="151">
        <v>4290</v>
      </c>
      <c r="B4291" s="152" t="s">
        <v>14261</v>
      </c>
      <c r="C4291" s="162" t="s">
        <v>16633</v>
      </c>
      <c r="D4291" s="171">
        <f>G4291/100</f>
        <v>0</v>
      </c>
      <c r="E4291" s="171">
        <f>G4291</f>
        <v>0</v>
      </c>
    </row>
    <row r="4292" ht="16.5" spans="1:5">
      <c r="A4292" s="151">
        <v>4291</v>
      </c>
      <c r="B4292" s="152" t="s">
        <v>14265</v>
      </c>
      <c r="C4292" s="160" t="s">
        <v>16630</v>
      </c>
      <c r="D4292" s="172">
        <v>10</v>
      </c>
      <c r="E4292" s="161">
        <f>+D4292*100</f>
        <v>1000</v>
      </c>
    </row>
    <row r="4293" ht="16.5" spans="1:5">
      <c r="A4293" s="151">
        <v>4292</v>
      </c>
      <c r="B4293" s="152" t="s">
        <v>14268</v>
      </c>
      <c r="C4293" s="156" t="s">
        <v>16629</v>
      </c>
      <c r="D4293" s="154">
        <v>10</v>
      </c>
      <c r="E4293" s="155">
        <f>+D4293*100</f>
        <v>1000</v>
      </c>
    </row>
    <row r="4294" ht="16.5" spans="1:5">
      <c r="A4294" s="151">
        <v>4293</v>
      </c>
      <c r="B4294" s="152" t="s">
        <v>14271</v>
      </c>
      <c r="C4294" s="160" t="s">
        <v>16630</v>
      </c>
      <c r="D4294" s="160">
        <v>40</v>
      </c>
      <c r="E4294" s="161">
        <f>SUM(D4294*100)</f>
        <v>4000</v>
      </c>
    </row>
    <row r="4295" ht="16.5" spans="1:5">
      <c r="A4295" s="151">
        <v>4294</v>
      </c>
      <c r="B4295" s="152" t="s">
        <v>14276</v>
      </c>
      <c r="C4295" s="162" t="s">
        <v>16631</v>
      </c>
      <c r="D4295" s="169">
        <v>4000</v>
      </c>
      <c r="E4295" s="170">
        <f>D4295*100</f>
        <v>400000</v>
      </c>
    </row>
    <row r="4296" ht="16.5" spans="1:5">
      <c r="A4296" s="151">
        <v>4295</v>
      </c>
      <c r="B4296" s="152" t="s">
        <v>14281</v>
      </c>
      <c r="C4296" s="160" t="s">
        <v>16630</v>
      </c>
      <c r="D4296" s="160">
        <v>2000</v>
      </c>
      <c r="E4296" s="161">
        <f>SUM(D4296*100)</f>
        <v>200000</v>
      </c>
    </row>
    <row r="4297" ht="16.5" spans="1:5">
      <c r="A4297" s="151">
        <v>4296</v>
      </c>
      <c r="B4297" s="152" t="s">
        <v>14281</v>
      </c>
      <c r="C4297" s="166" t="s">
        <v>16632</v>
      </c>
      <c r="D4297" s="166">
        <f>IFERROR(__xludf.DUMMYFUNCTION("""COMPUTED_VALUE"""),10000)</f>
        <v>10000</v>
      </c>
      <c r="E4297" s="168">
        <f>IFERROR(__xludf.DUMMYFUNCTION("""COMPUTED_VALUE"""),1500000)</f>
        <v>1500000</v>
      </c>
    </row>
    <row r="4298" ht="16.5" spans="1:5">
      <c r="A4298" s="151">
        <v>4297</v>
      </c>
      <c r="B4298" s="152" t="s">
        <v>14284</v>
      </c>
      <c r="C4298" s="162" t="s">
        <v>16633</v>
      </c>
      <c r="D4298" s="171">
        <f>G4298/100</f>
        <v>0</v>
      </c>
      <c r="E4298" s="171">
        <f>G4298</f>
        <v>0</v>
      </c>
    </row>
    <row r="4299" ht="16.5" spans="1:5">
      <c r="A4299" s="151">
        <v>4298</v>
      </c>
      <c r="B4299" s="152" t="s">
        <v>14287</v>
      </c>
      <c r="C4299" s="162" t="s">
        <v>16631</v>
      </c>
      <c r="D4299" s="163">
        <v>2000</v>
      </c>
      <c r="E4299" s="163">
        <f>D4299*100</f>
        <v>200000</v>
      </c>
    </row>
    <row r="4300" ht="16.5" spans="1:5">
      <c r="A4300" s="151">
        <v>4299</v>
      </c>
      <c r="B4300" s="152" t="s">
        <v>14292</v>
      </c>
      <c r="C4300" s="160" t="s">
        <v>16630</v>
      </c>
      <c r="D4300" s="160">
        <v>100</v>
      </c>
      <c r="E4300" s="161">
        <f>SUM(D4300*100)</f>
        <v>10000</v>
      </c>
    </row>
    <row r="4301" ht="16.5" spans="1:5">
      <c r="A4301" s="151">
        <v>4300</v>
      </c>
      <c r="B4301" s="152" t="s">
        <v>14295</v>
      </c>
      <c r="C4301" s="160" t="s">
        <v>16630</v>
      </c>
      <c r="D4301" s="160">
        <v>40</v>
      </c>
      <c r="E4301" s="161">
        <f>SUM(D4301*100)</f>
        <v>4000</v>
      </c>
    </row>
    <row r="4302" ht="16.5" spans="1:5">
      <c r="A4302" s="151">
        <v>4301</v>
      </c>
      <c r="B4302" s="152" t="s">
        <v>14299</v>
      </c>
      <c r="C4302" s="162" t="s">
        <v>16631</v>
      </c>
      <c r="D4302" s="163">
        <v>2000</v>
      </c>
      <c r="E4302" s="163">
        <f>D4302*100</f>
        <v>200000</v>
      </c>
    </row>
    <row r="4303" ht="16.5" spans="1:5">
      <c r="A4303" s="151">
        <v>4302</v>
      </c>
      <c r="B4303" s="152" t="s">
        <v>14303</v>
      </c>
      <c r="C4303" s="160" t="s">
        <v>16630</v>
      </c>
      <c r="D4303" s="160">
        <v>2000</v>
      </c>
      <c r="E4303" s="161">
        <f>SUM(D4303*10)</f>
        <v>20000</v>
      </c>
    </row>
    <row r="4304" ht="16.5" spans="1:5">
      <c r="A4304" s="151">
        <v>4303</v>
      </c>
      <c r="B4304" s="152" t="s">
        <v>14308</v>
      </c>
      <c r="C4304" s="160" t="s">
        <v>16630</v>
      </c>
      <c r="D4304" s="175">
        <v>10</v>
      </c>
      <c r="E4304" s="161">
        <f>SUM(D4304*100)</f>
        <v>1000</v>
      </c>
    </row>
    <row r="4305" ht="16.5" spans="1:5">
      <c r="A4305" s="151">
        <v>4304</v>
      </c>
      <c r="B4305" s="152" t="s">
        <v>14311</v>
      </c>
      <c r="C4305" s="160" t="s">
        <v>16630</v>
      </c>
      <c r="D4305" s="175">
        <v>200</v>
      </c>
      <c r="E4305" s="161">
        <f>SUM(D4305*100)</f>
        <v>20000</v>
      </c>
    </row>
    <row r="4306" ht="16.5" spans="1:5">
      <c r="A4306" s="151">
        <v>4305</v>
      </c>
      <c r="B4306" s="152" t="s">
        <v>14314</v>
      </c>
      <c r="C4306" s="156" t="s">
        <v>16629</v>
      </c>
      <c r="D4306" s="159">
        <v>10</v>
      </c>
      <c r="E4306" s="155">
        <f>+D4306*100</f>
        <v>1000</v>
      </c>
    </row>
    <row r="4307" ht="16.5" spans="1:5">
      <c r="A4307" s="151">
        <v>4306</v>
      </c>
      <c r="B4307" s="152" t="s">
        <v>14317</v>
      </c>
      <c r="C4307" s="156" t="s">
        <v>16629</v>
      </c>
      <c r="D4307" s="159">
        <v>10</v>
      </c>
      <c r="E4307" s="155">
        <f>+D4307*100</f>
        <v>1000</v>
      </c>
    </row>
    <row r="4308" ht="16.5" spans="1:5">
      <c r="A4308" s="151">
        <v>4307</v>
      </c>
      <c r="B4308" s="152" t="s">
        <v>14320</v>
      </c>
      <c r="C4308" s="156" t="s">
        <v>16629</v>
      </c>
      <c r="D4308" s="159">
        <v>10</v>
      </c>
      <c r="E4308" s="155">
        <f>+D4308*100</f>
        <v>1000</v>
      </c>
    </row>
    <row r="4309" ht="16.5" spans="1:5">
      <c r="A4309" s="151">
        <v>4308</v>
      </c>
      <c r="B4309" s="152" t="s">
        <v>14323</v>
      </c>
      <c r="C4309" s="153" t="s">
        <v>16629</v>
      </c>
      <c r="D4309" s="154">
        <v>10</v>
      </c>
      <c r="E4309" s="155">
        <f>+D4309*100</f>
        <v>1000</v>
      </c>
    </row>
    <row r="4310" ht="16.5" spans="1:5">
      <c r="A4310" s="151">
        <v>4309</v>
      </c>
      <c r="B4310" s="152" t="s">
        <v>14327</v>
      </c>
      <c r="C4310" s="156" t="s">
        <v>16629</v>
      </c>
      <c r="D4310" s="159">
        <v>10</v>
      </c>
      <c r="E4310" s="155">
        <f>+D4310*100</f>
        <v>1000</v>
      </c>
    </row>
    <row r="4311" ht="16.5" spans="1:5">
      <c r="A4311" s="151">
        <v>4310</v>
      </c>
      <c r="B4311" s="152" t="s">
        <v>14331</v>
      </c>
      <c r="C4311" s="166" t="s">
        <v>16632</v>
      </c>
      <c r="D4311" s="166">
        <f>IFERROR(__xludf.DUMMYFUNCTION("""COMPUTED_VALUE"""),10000)</f>
        <v>10000</v>
      </c>
      <c r="E4311" s="168">
        <f>IFERROR(__xludf.DUMMYFUNCTION("""COMPUTED_VALUE"""),1500000)</f>
        <v>1500000</v>
      </c>
    </row>
    <row r="4312" ht="16.5" spans="1:5">
      <c r="A4312" s="151">
        <v>4311</v>
      </c>
      <c r="B4312" s="152" t="s">
        <v>14332</v>
      </c>
      <c r="C4312" s="153" t="s">
        <v>16629</v>
      </c>
      <c r="D4312" s="154">
        <v>10</v>
      </c>
      <c r="E4312" s="155">
        <f>+D4312*100</f>
        <v>1000</v>
      </c>
    </row>
    <row r="4313" ht="16.5" spans="1:5">
      <c r="A4313" s="151">
        <v>4312</v>
      </c>
      <c r="B4313" s="152" t="s">
        <v>14335</v>
      </c>
      <c r="C4313" s="156" t="s">
        <v>16629</v>
      </c>
      <c r="D4313" s="157">
        <v>10</v>
      </c>
      <c r="E4313" s="155">
        <f>+D4313*100</f>
        <v>1000</v>
      </c>
    </row>
    <row r="4314" ht="16.5" spans="1:5">
      <c r="A4314" s="151">
        <v>4313</v>
      </c>
      <c r="B4314" s="152" t="s">
        <v>14338</v>
      </c>
      <c r="C4314" s="166" t="s">
        <v>16632</v>
      </c>
      <c r="D4314" s="166">
        <f>IFERROR(__xludf.DUMMYFUNCTION("""COMPUTED_VALUE"""),10000)</f>
        <v>10000</v>
      </c>
      <c r="E4314" s="168">
        <f>IFERROR(__xludf.DUMMYFUNCTION("""COMPUTED_VALUE"""),1500000)</f>
        <v>1500000</v>
      </c>
    </row>
    <row r="4315" ht="16.5" spans="1:5">
      <c r="A4315" s="151">
        <v>4314</v>
      </c>
      <c r="B4315" s="152" t="s">
        <v>14339</v>
      </c>
      <c r="C4315" s="156" t="s">
        <v>16629</v>
      </c>
      <c r="D4315" s="157">
        <v>10</v>
      </c>
      <c r="E4315" s="155">
        <f>+D4315*100</f>
        <v>1000</v>
      </c>
    </row>
    <row r="4316" ht="16.5" spans="1:5">
      <c r="A4316" s="151">
        <v>4315</v>
      </c>
      <c r="B4316" s="152" t="s">
        <v>14342</v>
      </c>
      <c r="C4316" s="153" t="s">
        <v>16629</v>
      </c>
      <c r="D4316" s="158">
        <v>10</v>
      </c>
      <c r="E4316" s="155">
        <f>+D4316*100</f>
        <v>1000</v>
      </c>
    </row>
    <row r="4317" ht="16.5" spans="1:5">
      <c r="A4317" s="151">
        <v>4316</v>
      </c>
      <c r="B4317" s="152" t="s">
        <v>14345</v>
      </c>
      <c r="C4317" s="153" t="s">
        <v>16629</v>
      </c>
      <c r="D4317" s="154">
        <v>10</v>
      </c>
      <c r="E4317" s="155">
        <f>+D4317*100</f>
        <v>1000</v>
      </c>
    </row>
    <row r="4318" ht="16.5" spans="1:5">
      <c r="A4318" s="151">
        <v>4317</v>
      </c>
      <c r="B4318" s="152" t="s">
        <v>14348</v>
      </c>
      <c r="C4318" s="160" t="s">
        <v>16630</v>
      </c>
      <c r="D4318" s="160">
        <v>81</v>
      </c>
      <c r="E4318" s="161">
        <f>SUM(D4318*100)</f>
        <v>8100</v>
      </c>
    </row>
    <row r="4319" ht="16.5" spans="1:5">
      <c r="A4319" s="151">
        <v>4318</v>
      </c>
      <c r="B4319" s="152" t="s">
        <v>14351</v>
      </c>
      <c r="C4319" s="156" t="s">
        <v>16629</v>
      </c>
      <c r="D4319" s="159">
        <v>10</v>
      </c>
      <c r="E4319" s="155">
        <f>+D4319*100</f>
        <v>1000</v>
      </c>
    </row>
    <row r="4320" ht="16.5" spans="1:5">
      <c r="A4320" s="151">
        <v>4319</v>
      </c>
      <c r="B4320" s="152" t="s">
        <v>14355</v>
      </c>
      <c r="C4320" s="153" t="s">
        <v>16629</v>
      </c>
      <c r="D4320" s="154">
        <v>10</v>
      </c>
      <c r="E4320" s="155">
        <f>+D4320*100</f>
        <v>1000</v>
      </c>
    </row>
    <row r="4321" ht="16.5" spans="1:5">
      <c r="A4321" s="151">
        <v>4320</v>
      </c>
      <c r="B4321" s="152" t="s">
        <v>14359</v>
      </c>
      <c r="C4321" s="156" t="s">
        <v>16629</v>
      </c>
      <c r="D4321" s="159">
        <v>20</v>
      </c>
      <c r="E4321" s="155">
        <f>+D4321*100</f>
        <v>2000</v>
      </c>
    </row>
    <row r="4322" ht="16.5" spans="1:5">
      <c r="A4322" s="151">
        <v>4321</v>
      </c>
      <c r="B4322" s="152" t="s">
        <v>14363</v>
      </c>
      <c r="C4322" s="153" t="s">
        <v>16629</v>
      </c>
      <c r="D4322" s="154">
        <v>10</v>
      </c>
      <c r="E4322" s="155">
        <f>+D4322*100</f>
        <v>1000</v>
      </c>
    </row>
    <row r="4323" ht="16.5" spans="1:5">
      <c r="A4323" s="151">
        <v>4322</v>
      </c>
      <c r="B4323" s="152" t="s">
        <v>14366</v>
      </c>
      <c r="C4323" s="166" t="s">
        <v>16632</v>
      </c>
      <c r="D4323" s="173">
        <f>1000000/100</f>
        <v>10000</v>
      </c>
      <c r="E4323" s="45">
        <v>3500000</v>
      </c>
    </row>
    <row r="4324" ht="16.5" spans="1:5">
      <c r="A4324" s="151">
        <v>4323</v>
      </c>
      <c r="B4324" s="152" t="s">
        <v>14369</v>
      </c>
      <c r="C4324" s="156" t="s">
        <v>16629</v>
      </c>
      <c r="D4324" s="154">
        <v>10</v>
      </c>
      <c r="E4324" s="155">
        <f>+D4324*100</f>
        <v>1000</v>
      </c>
    </row>
    <row r="4325" ht="16.5" spans="1:5">
      <c r="A4325" s="151">
        <v>4324</v>
      </c>
      <c r="B4325" s="152" t="s">
        <v>14372</v>
      </c>
      <c r="C4325" s="160" t="s">
        <v>16630</v>
      </c>
      <c r="D4325" s="160">
        <v>400</v>
      </c>
      <c r="E4325" s="161">
        <f>SUM(D4325*100)</f>
        <v>40000</v>
      </c>
    </row>
    <row r="4326" ht="16.5" spans="1:5">
      <c r="A4326" s="151">
        <v>4325</v>
      </c>
      <c r="B4326" s="152" t="s">
        <v>14375</v>
      </c>
      <c r="C4326" s="160" t="s">
        <v>16630</v>
      </c>
      <c r="D4326" s="160">
        <v>10</v>
      </c>
      <c r="E4326" s="161">
        <f>SUM(D4326*100)</f>
        <v>1000</v>
      </c>
    </row>
    <row r="4327" ht="16.5" spans="1:5">
      <c r="A4327" s="151">
        <v>4326</v>
      </c>
      <c r="B4327" s="152" t="s">
        <v>14379</v>
      </c>
      <c r="C4327" s="162" t="s">
        <v>16631</v>
      </c>
      <c r="D4327" s="163">
        <v>1000</v>
      </c>
      <c r="E4327" s="163">
        <f>D4327*100</f>
        <v>100000</v>
      </c>
    </row>
    <row r="4328" ht="16.5" spans="1:5">
      <c r="A4328" s="151">
        <v>4327</v>
      </c>
      <c r="B4328" s="152" t="s">
        <v>14383</v>
      </c>
      <c r="C4328" s="162" t="s">
        <v>16631</v>
      </c>
      <c r="D4328" s="163">
        <v>1000</v>
      </c>
      <c r="E4328" s="163">
        <f>D4328*100</f>
        <v>100000</v>
      </c>
    </row>
    <row r="4329" ht="16.5" spans="1:5">
      <c r="A4329" s="151">
        <v>4328</v>
      </c>
      <c r="B4329" s="152" t="s">
        <v>14387</v>
      </c>
      <c r="C4329" s="160" t="s">
        <v>16630</v>
      </c>
      <c r="D4329" s="160">
        <v>100</v>
      </c>
      <c r="E4329" s="161">
        <f>SUM(D4329*100)</f>
        <v>10000</v>
      </c>
    </row>
    <row r="4330" ht="16.5" spans="1:5">
      <c r="A4330" s="151">
        <v>4329</v>
      </c>
      <c r="B4330" s="152" t="s">
        <v>14390</v>
      </c>
      <c r="C4330" s="166" t="s">
        <v>16632</v>
      </c>
      <c r="D4330" s="166">
        <f>IFERROR(__xludf.DUMMYFUNCTION("""COMPUTED_VALUE"""),10000)</f>
        <v>10000</v>
      </c>
      <c r="E4330" s="168">
        <f>IFERROR(__xludf.DUMMYFUNCTION("""COMPUTED_VALUE"""),1500000)</f>
        <v>1500000</v>
      </c>
    </row>
    <row r="4331" ht="16.5" spans="1:5">
      <c r="A4331" s="151">
        <v>4330</v>
      </c>
      <c r="B4331" s="152" t="s">
        <v>14390</v>
      </c>
      <c r="C4331" s="160" t="s">
        <v>16630</v>
      </c>
      <c r="D4331" s="160">
        <v>5000</v>
      </c>
      <c r="E4331" s="161">
        <f>SUM(D4331*10)</f>
        <v>50000</v>
      </c>
    </row>
    <row r="4332" ht="16.5" spans="1:5">
      <c r="A4332" s="151">
        <v>4331</v>
      </c>
      <c r="B4332" s="152" t="s">
        <v>14391</v>
      </c>
      <c r="C4332" s="156" t="s">
        <v>16629</v>
      </c>
      <c r="D4332" s="157">
        <v>150</v>
      </c>
      <c r="E4332" s="155">
        <f>+D4332*100</f>
        <v>15000</v>
      </c>
    </row>
    <row r="4333" ht="16.5" spans="1:5">
      <c r="A4333" s="151">
        <v>4332</v>
      </c>
      <c r="B4333" s="152" t="s">
        <v>14394</v>
      </c>
      <c r="C4333" s="160" t="s">
        <v>16630</v>
      </c>
      <c r="D4333" s="160">
        <v>1128</v>
      </c>
      <c r="E4333" s="161">
        <f>SUM(D4333*100)</f>
        <v>112800</v>
      </c>
    </row>
    <row r="4334" ht="16.5" spans="1:5">
      <c r="A4334" s="151">
        <v>4333</v>
      </c>
      <c r="B4334" s="152" t="s">
        <v>14394</v>
      </c>
      <c r="C4334" s="160" t="s">
        <v>16630</v>
      </c>
      <c r="D4334" s="160">
        <v>100</v>
      </c>
      <c r="E4334" s="161">
        <f>SUM(D4334*100)</f>
        <v>10000</v>
      </c>
    </row>
    <row r="4335" ht="16.5" spans="1:5">
      <c r="A4335" s="151">
        <v>4334</v>
      </c>
      <c r="B4335" s="152" t="s">
        <v>14398</v>
      </c>
      <c r="C4335" s="162" t="s">
        <v>16633</v>
      </c>
      <c r="D4335" s="171">
        <f>G4335/100</f>
        <v>0</v>
      </c>
      <c r="E4335" s="171">
        <f>G4335</f>
        <v>0</v>
      </c>
    </row>
    <row r="4336" ht="16.5" spans="1:5">
      <c r="A4336" s="151">
        <v>4335</v>
      </c>
      <c r="B4336" s="152" t="s">
        <v>14403</v>
      </c>
      <c r="C4336" s="162" t="s">
        <v>16631</v>
      </c>
      <c r="D4336" s="169">
        <v>1000</v>
      </c>
      <c r="E4336" s="170">
        <f>D4336*100</f>
        <v>100000</v>
      </c>
    </row>
    <row r="4337" ht="16.5" spans="1:5">
      <c r="A4337" s="151">
        <v>4336</v>
      </c>
      <c r="B4337" s="152" t="s">
        <v>14408</v>
      </c>
      <c r="C4337" s="156" t="s">
        <v>16629</v>
      </c>
      <c r="D4337" s="159">
        <v>10</v>
      </c>
      <c r="E4337" s="155">
        <f>+D4337*100</f>
        <v>1000</v>
      </c>
    </row>
    <row r="4338" ht="16.5" spans="1:5">
      <c r="A4338" s="151">
        <v>4337</v>
      </c>
      <c r="B4338" s="152" t="s">
        <v>14412</v>
      </c>
      <c r="C4338" s="160" t="s">
        <v>16630</v>
      </c>
      <c r="D4338" s="160">
        <v>120</v>
      </c>
      <c r="E4338" s="161">
        <f>SUM(D4338*100)</f>
        <v>12000</v>
      </c>
    </row>
    <row r="4339" ht="16.5" spans="1:5">
      <c r="A4339" s="151">
        <v>4338</v>
      </c>
      <c r="B4339" s="152" t="s">
        <v>14415</v>
      </c>
      <c r="C4339" s="153" t="s">
        <v>16629</v>
      </c>
      <c r="D4339" s="158">
        <v>10</v>
      </c>
      <c r="E4339" s="155">
        <f>+D4339*100</f>
        <v>1000</v>
      </c>
    </row>
    <row r="4340" ht="16.5" spans="1:5">
      <c r="A4340" s="151">
        <v>4339</v>
      </c>
      <c r="B4340" s="152" t="s">
        <v>14419</v>
      </c>
      <c r="C4340" s="162" t="s">
        <v>16631</v>
      </c>
      <c r="D4340" s="163">
        <v>1000</v>
      </c>
      <c r="E4340" s="163">
        <f>D4340*100</f>
        <v>100000</v>
      </c>
    </row>
    <row r="4341" ht="16.5" spans="1:5">
      <c r="A4341" s="151">
        <v>4340</v>
      </c>
      <c r="B4341" s="152" t="s">
        <v>14423</v>
      </c>
      <c r="C4341" s="156" t="s">
        <v>16629</v>
      </c>
      <c r="D4341" s="159">
        <v>10</v>
      </c>
      <c r="E4341" s="155">
        <f>+D4341*100</f>
        <v>1000</v>
      </c>
    </row>
    <row r="4342" ht="16.5" spans="1:5">
      <c r="A4342" s="151">
        <v>4341</v>
      </c>
      <c r="B4342" s="152" t="s">
        <v>14426</v>
      </c>
      <c r="C4342" s="153" t="s">
        <v>16629</v>
      </c>
      <c r="D4342" s="158">
        <v>10</v>
      </c>
      <c r="E4342" s="155">
        <f>+D4342*100</f>
        <v>1000</v>
      </c>
    </row>
    <row r="4343" ht="16.5" spans="1:5">
      <c r="A4343" s="151">
        <v>4342</v>
      </c>
      <c r="B4343" s="152" t="s">
        <v>14430</v>
      </c>
      <c r="C4343" s="153" t="s">
        <v>16629</v>
      </c>
      <c r="D4343" s="154">
        <v>10</v>
      </c>
      <c r="E4343" s="155">
        <f>+D4343*100</f>
        <v>1000</v>
      </c>
    </row>
    <row r="4344" ht="16.5" spans="1:5">
      <c r="A4344" s="151">
        <v>4343</v>
      </c>
      <c r="B4344" s="152" t="s">
        <v>14433</v>
      </c>
      <c r="C4344" s="166" t="s">
        <v>16632</v>
      </c>
      <c r="D4344" s="166">
        <f>IFERROR(__xludf.DUMMYFUNCTION("""COMPUTED_VALUE"""),10000)</f>
        <v>10000</v>
      </c>
      <c r="E4344" s="168">
        <f>IFERROR(__xludf.DUMMYFUNCTION("""COMPUTED_VALUE"""),1500000)</f>
        <v>1500000</v>
      </c>
    </row>
    <row r="4345" ht="16.5" spans="1:5">
      <c r="A4345" s="151">
        <v>4344</v>
      </c>
      <c r="B4345" s="152" t="s">
        <v>14435</v>
      </c>
      <c r="C4345" s="162" t="s">
        <v>16633</v>
      </c>
      <c r="D4345" s="171">
        <f>G4345/100</f>
        <v>0</v>
      </c>
      <c r="E4345" s="171">
        <f>G4345</f>
        <v>0</v>
      </c>
    </row>
    <row r="4346" ht="16.5" spans="1:5">
      <c r="A4346" s="151">
        <v>4345</v>
      </c>
      <c r="B4346" s="152" t="s">
        <v>14435</v>
      </c>
      <c r="C4346" s="162" t="s">
        <v>16631</v>
      </c>
      <c r="D4346" s="163">
        <v>1000</v>
      </c>
      <c r="E4346" s="163">
        <f>D4346*100</f>
        <v>100000</v>
      </c>
    </row>
    <row r="4347" ht="16.5" spans="1:5">
      <c r="A4347" s="151">
        <v>4346</v>
      </c>
      <c r="B4347" s="152" t="s">
        <v>14439</v>
      </c>
      <c r="C4347" s="156" t="s">
        <v>16629</v>
      </c>
      <c r="D4347" s="159">
        <v>10</v>
      </c>
      <c r="E4347" s="155">
        <f>+D4347*100</f>
        <v>1000</v>
      </c>
    </row>
    <row r="4348" ht="16.5" spans="1:5">
      <c r="A4348" s="151">
        <v>4347</v>
      </c>
      <c r="B4348" s="152" t="s">
        <v>14442</v>
      </c>
      <c r="C4348" s="162" t="s">
        <v>16631</v>
      </c>
      <c r="D4348" s="169">
        <v>60000</v>
      </c>
      <c r="E4348" s="170">
        <f>D4348*100</f>
        <v>6000000</v>
      </c>
    </row>
    <row r="4349" ht="16.5" spans="1:5">
      <c r="A4349" s="151">
        <v>4348</v>
      </c>
      <c r="B4349" s="152" t="s">
        <v>14446</v>
      </c>
      <c r="C4349" s="162" t="s">
        <v>16631</v>
      </c>
      <c r="D4349" s="163">
        <v>1000</v>
      </c>
      <c r="E4349" s="163">
        <f>D4349*100</f>
        <v>100000</v>
      </c>
    </row>
    <row r="4350" ht="16.5" spans="1:5">
      <c r="A4350" s="151">
        <v>4349</v>
      </c>
      <c r="B4350" s="152" t="s">
        <v>14451</v>
      </c>
      <c r="C4350" s="160" t="s">
        <v>16630</v>
      </c>
      <c r="D4350" s="160">
        <v>100</v>
      </c>
      <c r="E4350" s="161">
        <f>SUM(D4350*100)</f>
        <v>10000</v>
      </c>
    </row>
    <row r="4351" ht="16.5" spans="1:5">
      <c r="A4351" s="151">
        <v>4350</v>
      </c>
      <c r="B4351" s="152" t="s">
        <v>14455</v>
      </c>
      <c r="C4351" s="160" t="s">
        <v>16630</v>
      </c>
      <c r="D4351" s="160">
        <v>50</v>
      </c>
      <c r="E4351" s="161">
        <f>SUM(D4351*100)</f>
        <v>5000</v>
      </c>
    </row>
    <row r="4352" ht="16.5" spans="1:5">
      <c r="A4352" s="151">
        <v>4351</v>
      </c>
      <c r="B4352" s="152" t="s">
        <v>14459</v>
      </c>
      <c r="C4352" s="160" t="s">
        <v>16630</v>
      </c>
      <c r="D4352" s="160">
        <v>50</v>
      </c>
      <c r="E4352" s="161">
        <f>SUM(D4352*100)</f>
        <v>5000</v>
      </c>
    </row>
    <row r="4353" ht="16.5" spans="1:5">
      <c r="A4353" s="151">
        <v>4352</v>
      </c>
      <c r="B4353" s="152" t="s">
        <v>14463</v>
      </c>
      <c r="C4353" s="160" t="s">
        <v>16630</v>
      </c>
      <c r="D4353" s="160">
        <v>10</v>
      </c>
      <c r="E4353" s="161">
        <f>SUM(D4353*100)</f>
        <v>1000</v>
      </c>
    </row>
    <row r="4354" ht="16.5" spans="1:5">
      <c r="A4354" s="151">
        <v>4353</v>
      </c>
      <c r="B4354" s="152" t="s">
        <v>14467</v>
      </c>
      <c r="C4354" s="153" t="s">
        <v>16629</v>
      </c>
      <c r="D4354" s="158">
        <v>10</v>
      </c>
      <c r="E4354" s="155">
        <f>+D4354*100</f>
        <v>1000</v>
      </c>
    </row>
    <row r="4355" ht="16.5" spans="1:5">
      <c r="A4355" s="151">
        <v>4354</v>
      </c>
      <c r="B4355" s="152" t="s">
        <v>14470</v>
      </c>
      <c r="C4355" s="160" t="s">
        <v>16630</v>
      </c>
      <c r="D4355" s="175">
        <v>10</v>
      </c>
      <c r="E4355" s="161">
        <f t="shared" ref="E4355:E4365" si="157">SUM(D4355*100)</f>
        <v>1000</v>
      </c>
    </row>
    <row r="4356" ht="16.5" spans="1:5">
      <c r="A4356" s="151">
        <v>4355</v>
      </c>
      <c r="B4356" s="152" t="s">
        <v>14473</v>
      </c>
      <c r="C4356" s="160" t="s">
        <v>16630</v>
      </c>
      <c r="D4356" s="160">
        <v>10</v>
      </c>
      <c r="E4356" s="161">
        <f t="shared" si="157"/>
        <v>1000</v>
      </c>
    </row>
    <row r="4357" ht="16.5" spans="1:5">
      <c r="A4357" s="151">
        <v>4356</v>
      </c>
      <c r="B4357" s="152" t="s">
        <v>14476</v>
      </c>
      <c r="C4357" s="160" t="s">
        <v>16630</v>
      </c>
      <c r="D4357" s="160">
        <v>550</v>
      </c>
      <c r="E4357" s="161">
        <f t="shared" si="157"/>
        <v>55000</v>
      </c>
    </row>
    <row r="4358" ht="16.5" spans="1:5">
      <c r="A4358" s="151">
        <v>4357</v>
      </c>
      <c r="B4358" s="152" t="s">
        <v>14479</v>
      </c>
      <c r="C4358" s="160" t="s">
        <v>16630</v>
      </c>
      <c r="D4358" s="160">
        <v>50</v>
      </c>
      <c r="E4358" s="161">
        <f t="shared" si="157"/>
        <v>5000</v>
      </c>
    </row>
    <row r="4359" ht="16.5" spans="1:5">
      <c r="A4359" s="151">
        <v>4358</v>
      </c>
      <c r="B4359" s="152" t="s">
        <v>14483</v>
      </c>
      <c r="C4359" s="160" t="s">
        <v>16630</v>
      </c>
      <c r="D4359" s="160">
        <v>50</v>
      </c>
      <c r="E4359" s="161">
        <f t="shared" si="157"/>
        <v>5000</v>
      </c>
    </row>
    <row r="4360" ht="16.5" spans="1:5">
      <c r="A4360" s="151">
        <v>4359</v>
      </c>
      <c r="B4360" s="152" t="s">
        <v>14487</v>
      </c>
      <c r="C4360" s="160" t="s">
        <v>16630</v>
      </c>
      <c r="D4360" s="160">
        <v>20</v>
      </c>
      <c r="E4360" s="161">
        <f t="shared" si="157"/>
        <v>2000</v>
      </c>
    </row>
    <row r="4361" ht="16.5" spans="1:5">
      <c r="A4361" s="151">
        <v>4360</v>
      </c>
      <c r="B4361" s="152" t="s">
        <v>14491</v>
      </c>
      <c r="C4361" s="160" t="s">
        <v>16630</v>
      </c>
      <c r="D4361" s="165">
        <v>100</v>
      </c>
      <c r="E4361" s="161">
        <f t="shared" si="157"/>
        <v>10000</v>
      </c>
    </row>
    <row r="4362" ht="16.5" spans="1:5">
      <c r="A4362" s="151">
        <v>4361</v>
      </c>
      <c r="B4362" s="152" t="s">
        <v>14494</v>
      </c>
      <c r="C4362" s="160" t="s">
        <v>16630</v>
      </c>
      <c r="D4362" s="165">
        <v>100</v>
      </c>
      <c r="E4362" s="161">
        <f t="shared" si="157"/>
        <v>10000</v>
      </c>
    </row>
    <row r="4363" ht="16.5" spans="1:5">
      <c r="A4363" s="151">
        <v>4362</v>
      </c>
      <c r="B4363" s="152" t="s">
        <v>14497</v>
      </c>
      <c r="C4363" s="160" t="s">
        <v>16630</v>
      </c>
      <c r="D4363" s="160">
        <v>100</v>
      </c>
      <c r="E4363" s="161">
        <f t="shared" si="157"/>
        <v>10000</v>
      </c>
    </row>
    <row r="4364" ht="16.5" spans="1:5">
      <c r="A4364" s="151">
        <v>4363</v>
      </c>
      <c r="B4364" s="152" t="s">
        <v>14501</v>
      </c>
      <c r="C4364" s="160" t="s">
        <v>16630</v>
      </c>
      <c r="D4364" s="160">
        <v>500</v>
      </c>
      <c r="E4364" s="161">
        <f t="shared" si="157"/>
        <v>50000</v>
      </c>
    </row>
    <row r="4365" ht="16.5" spans="1:5">
      <c r="A4365" s="151">
        <v>4364</v>
      </c>
      <c r="B4365" s="152" t="s">
        <v>14505</v>
      </c>
      <c r="C4365" s="160" t="s">
        <v>16630</v>
      </c>
      <c r="D4365" s="160">
        <v>100</v>
      </c>
      <c r="E4365" s="161">
        <f t="shared" si="157"/>
        <v>10000</v>
      </c>
    </row>
    <row r="4366" ht="16.5" spans="1:5">
      <c r="A4366" s="151">
        <v>4365</v>
      </c>
      <c r="B4366" s="152" t="s">
        <v>14508</v>
      </c>
      <c r="C4366" s="162" t="s">
        <v>16631</v>
      </c>
      <c r="D4366" s="163">
        <v>1000</v>
      </c>
      <c r="E4366" s="163">
        <f>D4366*100</f>
        <v>100000</v>
      </c>
    </row>
    <row r="4367" ht="16.5" spans="1:5">
      <c r="A4367" s="151">
        <v>4366</v>
      </c>
      <c r="B4367" s="152" t="s">
        <v>14512</v>
      </c>
      <c r="C4367" s="160" t="s">
        <v>16630</v>
      </c>
      <c r="D4367" s="160">
        <v>110</v>
      </c>
      <c r="E4367" s="161">
        <f>SUM(D4367*100)</f>
        <v>11000</v>
      </c>
    </row>
    <row r="4368" ht="16.5" spans="1:5">
      <c r="A4368" s="151">
        <v>4367</v>
      </c>
      <c r="B4368" s="152" t="s">
        <v>14516</v>
      </c>
      <c r="C4368" s="160" t="s">
        <v>16630</v>
      </c>
      <c r="D4368" s="160">
        <v>100</v>
      </c>
      <c r="E4368" s="161">
        <f>SUM(D4368*100)</f>
        <v>10000</v>
      </c>
    </row>
    <row r="4369" ht="16.5" spans="1:5">
      <c r="A4369" s="151">
        <v>4368</v>
      </c>
      <c r="B4369" s="152" t="s">
        <v>14519</v>
      </c>
      <c r="C4369" s="160" t="s">
        <v>16630</v>
      </c>
      <c r="D4369" s="160">
        <v>29</v>
      </c>
      <c r="E4369" s="161">
        <f>SUM(D4369*100)</f>
        <v>2900</v>
      </c>
    </row>
    <row r="4370" ht="16.5" spans="1:5">
      <c r="A4370" s="151">
        <v>4369</v>
      </c>
      <c r="B4370" s="152" t="s">
        <v>14523</v>
      </c>
      <c r="C4370" s="162" t="s">
        <v>16631</v>
      </c>
      <c r="D4370" s="169">
        <v>4000</v>
      </c>
      <c r="E4370" s="170">
        <f>D4370*100</f>
        <v>400000</v>
      </c>
    </row>
    <row r="4371" ht="16.5" spans="1:5">
      <c r="A4371" s="151">
        <v>4370</v>
      </c>
      <c r="B4371" s="152" t="s">
        <v>14528</v>
      </c>
      <c r="C4371" s="160" t="s">
        <v>16630</v>
      </c>
      <c r="D4371" s="164">
        <v>500</v>
      </c>
      <c r="E4371" s="161">
        <f>SUM(D4371*100)</f>
        <v>50000</v>
      </c>
    </row>
    <row r="4372" ht="16.5" spans="1:5">
      <c r="A4372" s="151">
        <v>4371</v>
      </c>
      <c r="B4372" s="152" t="s">
        <v>14531</v>
      </c>
      <c r="C4372" s="162" t="s">
        <v>16631</v>
      </c>
      <c r="D4372" s="163">
        <v>1000</v>
      </c>
      <c r="E4372" s="163">
        <f>D4372*100</f>
        <v>100000</v>
      </c>
    </row>
    <row r="4373" ht="16.5" spans="1:5">
      <c r="A4373" s="151">
        <v>4372</v>
      </c>
      <c r="B4373" s="152" t="s">
        <v>14535</v>
      </c>
      <c r="C4373" s="160" t="s">
        <v>16630</v>
      </c>
      <c r="D4373" s="160">
        <v>3000</v>
      </c>
      <c r="E4373" s="161">
        <f>SUM(D4373*100)</f>
        <v>300000</v>
      </c>
    </row>
    <row r="4374" ht="16.5" spans="1:5">
      <c r="A4374" s="151">
        <v>4373</v>
      </c>
      <c r="B4374" s="152" t="s">
        <v>14539</v>
      </c>
      <c r="C4374" s="166" t="s">
        <v>16632</v>
      </c>
      <c r="D4374" s="166">
        <f>IFERROR(__xludf.DUMMYFUNCTION("""COMPUTED_VALUE"""),10000)</f>
        <v>10000</v>
      </c>
      <c r="E4374" s="168">
        <f>IFERROR(__xludf.DUMMYFUNCTION("""COMPUTED_VALUE"""),1500000)</f>
        <v>1500000</v>
      </c>
    </row>
    <row r="4375" ht="16.5" spans="1:5">
      <c r="A4375" s="151">
        <v>4374</v>
      </c>
      <c r="B4375" s="152" t="s">
        <v>14540</v>
      </c>
      <c r="C4375" s="160" t="s">
        <v>16630</v>
      </c>
      <c r="D4375" s="164">
        <v>800</v>
      </c>
      <c r="E4375" s="161">
        <f>SUM(D4375*100)</f>
        <v>80000</v>
      </c>
    </row>
    <row r="4376" ht="16.5" spans="1:5">
      <c r="A4376" s="151">
        <v>4375</v>
      </c>
      <c r="B4376" s="152" t="s">
        <v>14543</v>
      </c>
      <c r="C4376" s="160" t="s">
        <v>16630</v>
      </c>
      <c r="D4376" s="160">
        <v>150</v>
      </c>
      <c r="E4376" s="161">
        <f>SUM(D4376*100)</f>
        <v>15000</v>
      </c>
    </row>
    <row r="4377" ht="16.5" spans="1:5">
      <c r="A4377" s="151">
        <v>4376</v>
      </c>
      <c r="B4377" s="152" t="s">
        <v>14548</v>
      </c>
      <c r="C4377" s="160" t="s">
        <v>16630</v>
      </c>
      <c r="D4377" s="41">
        <v>80</v>
      </c>
      <c r="E4377" s="161">
        <f>SUM(D4377*100)</f>
        <v>8000</v>
      </c>
    </row>
    <row r="4378" ht="16.5" spans="1:5">
      <c r="A4378" s="151">
        <v>4377</v>
      </c>
      <c r="B4378" s="152" t="s">
        <v>14551</v>
      </c>
      <c r="C4378" s="162" t="s">
        <v>16631</v>
      </c>
      <c r="D4378" s="163">
        <v>1000</v>
      </c>
      <c r="E4378" s="163">
        <f>D4378*100</f>
        <v>100000</v>
      </c>
    </row>
    <row r="4379" ht="16.5" spans="1:5">
      <c r="A4379" s="151">
        <v>4378</v>
      </c>
      <c r="B4379" s="152" t="s">
        <v>14556</v>
      </c>
      <c r="C4379" s="160" t="s">
        <v>16630</v>
      </c>
      <c r="D4379" s="172">
        <v>10</v>
      </c>
      <c r="E4379" s="161">
        <f>+D4379*100</f>
        <v>1000</v>
      </c>
    </row>
    <row r="4380" ht="16.5" spans="1:5">
      <c r="A4380" s="151">
        <v>4379</v>
      </c>
      <c r="B4380" s="152" t="s">
        <v>14559</v>
      </c>
      <c r="C4380" s="162" t="s">
        <v>16631</v>
      </c>
      <c r="D4380" s="163">
        <v>5000</v>
      </c>
      <c r="E4380" s="163">
        <f>D4380*100</f>
        <v>500000</v>
      </c>
    </row>
    <row r="4381" ht="16.5" spans="1:5">
      <c r="A4381" s="151">
        <v>4380</v>
      </c>
      <c r="B4381" s="152" t="s">
        <v>14563</v>
      </c>
      <c r="C4381" s="160" t="s">
        <v>16630</v>
      </c>
      <c r="D4381" s="160">
        <v>50</v>
      </c>
      <c r="E4381" s="161">
        <f>SUM(D4381*100)</f>
        <v>5000</v>
      </c>
    </row>
    <row r="4382" ht="16.5" spans="1:5">
      <c r="A4382" s="151">
        <v>4381</v>
      </c>
      <c r="B4382" s="152" t="s">
        <v>14568</v>
      </c>
      <c r="C4382" s="162" t="s">
        <v>16631</v>
      </c>
      <c r="D4382" s="163">
        <v>1000</v>
      </c>
      <c r="E4382" s="163">
        <f>D4382*100</f>
        <v>100000</v>
      </c>
    </row>
    <row r="4383" ht="16.5" spans="1:5">
      <c r="A4383" s="151">
        <v>4382</v>
      </c>
      <c r="B4383" s="152" t="s">
        <v>14572</v>
      </c>
      <c r="C4383" s="166" t="s">
        <v>16632</v>
      </c>
      <c r="D4383" s="187">
        <f>IFERROR(__xludf.DUMMYFUNCTION("""COMPUTED_VALUE"""),10000)</f>
        <v>10000</v>
      </c>
      <c r="E4383" s="188">
        <f>IFERROR(__xludf.DUMMYFUNCTION("""COMPUTED_VALUE"""),1500000)</f>
        <v>1500000</v>
      </c>
    </row>
    <row r="4384" ht="16.5" spans="1:5">
      <c r="A4384" s="151">
        <v>4383</v>
      </c>
      <c r="B4384" s="152" t="s">
        <v>14572</v>
      </c>
      <c r="C4384" s="166" t="s">
        <v>16632</v>
      </c>
      <c r="D4384" s="183">
        <f>IFERROR(__xludf.DUMMYFUNCTION("""COMPUTED_VALUE"""),10000)</f>
        <v>10000</v>
      </c>
      <c r="E4384" s="184">
        <f>IFERROR(__xludf.DUMMYFUNCTION("""COMPUTED_VALUE"""),1500000)</f>
        <v>1500000</v>
      </c>
    </row>
    <row r="4385" ht="16.5" spans="1:5">
      <c r="A4385" s="151">
        <v>4384</v>
      </c>
      <c r="B4385" s="152" t="s">
        <v>14573</v>
      </c>
      <c r="C4385" s="162" t="s">
        <v>16631</v>
      </c>
      <c r="D4385" s="163">
        <v>1000</v>
      </c>
      <c r="E4385" s="163">
        <f>D4385*100</f>
        <v>100000</v>
      </c>
    </row>
    <row r="4386" ht="16.5" spans="1:5">
      <c r="A4386" s="151">
        <v>4385</v>
      </c>
      <c r="B4386" s="152" t="s">
        <v>14577</v>
      </c>
      <c r="C4386" s="160" t="s">
        <v>16630</v>
      </c>
      <c r="D4386" s="160">
        <v>100</v>
      </c>
      <c r="E4386" s="161">
        <f>SUM(D4386*100)</f>
        <v>10000</v>
      </c>
    </row>
    <row r="4387" ht="16.5" spans="1:5">
      <c r="A4387" s="151">
        <v>4386</v>
      </c>
      <c r="B4387" s="152" t="s">
        <v>14581</v>
      </c>
      <c r="C4387" s="160" t="s">
        <v>16630</v>
      </c>
      <c r="D4387" s="41">
        <v>20</v>
      </c>
      <c r="E4387" s="161">
        <f>SUM(D4387*100)</f>
        <v>2000</v>
      </c>
    </row>
    <row r="4388" ht="16.5" spans="1:5">
      <c r="A4388" s="151">
        <v>4387</v>
      </c>
      <c r="B4388" s="152" t="s">
        <v>14584</v>
      </c>
      <c r="C4388" s="160" t="s">
        <v>16630</v>
      </c>
      <c r="D4388" s="41">
        <v>20</v>
      </c>
      <c r="E4388" s="161">
        <f>SUM(D4388*100)</f>
        <v>2000</v>
      </c>
    </row>
    <row r="4389" ht="16.5" spans="1:5">
      <c r="A4389" s="151">
        <v>4388</v>
      </c>
      <c r="B4389" s="152" t="s">
        <v>14587</v>
      </c>
      <c r="C4389" s="160" t="s">
        <v>16630</v>
      </c>
      <c r="D4389" s="160">
        <v>10</v>
      </c>
      <c r="E4389" s="161">
        <f>SUM(D4389*100)</f>
        <v>1000</v>
      </c>
    </row>
    <row r="4390" ht="16.5" spans="1:5">
      <c r="A4390" s="151">
        <v>4389</v>
      </c>
      <c r="B4390" s="152" t="s">
        <v>14590</v>
      </c>
      <c r="C4390" s="160" t="s">
        <v>16630</v>
      </c>
      <c r="D4390" s="160">
        <v>200</v>
      </c>
      <c r="E4390" s="161">
        <f>SUM(D4390*100)</f>
        <v>20000</v>
      </c>
    </row>
    <row r="4391" ht="16.5" spans="1:5">
      <c r="A4391" s="151">
        <v>4390</v>
      </c>
      <c r="B4391" s="152" t="s">
        <v>14594</v>
      </c>
      <c r="C4391" s="162" t="s">
        <v>16631</v>
      </c>
      <c r="D4391" s="163">
        <v>1000</v>
      </c>
      <c r="E4391" s="163">
        <f>D4391*100</f>
        <v>100000</v>
      </c>
    </row>
    <row r="4392" ht="16.5" spans="1:5">
      <c r="A4392" s="151">
        <v>4391</v>
      </c>
      <c r="B4392" s="152" t="s">
        <v>14598</v>
      </c>
      <c r="C4392" s="162" t="s">
        <v>16631</v>
      </c>
      <c r="D4392" s="163">
        <v>1000</v>
      </c>
      <c r="E4392" s="163">
        <f>D4392*100</f>
        <v>100000</v>
      </c>
    </row>
    <row r="4393" ht="16.5" spans="1:5">
      <c r="A4393" s="151">
        <v>4392</v>
      </c>
      <c r="B4393" s="152" t="s">
        <v>14602</v>
      </c>
      <c r="C4393" s="160" t="s">
        <v>16630</v>
      </c>
      <c r="D4393" s="160">
        <v>10</v>
      </c>
      <c r="E4393" s="161">
        <f>SUM(D4393*100)</f>
        <v>1000</v>
      </c>
    </row>
    <row r="4394" ht="16.5" spans="1:5">
      <c r="A4394" s="151">
        <v>4393</v>
      </c>
      <c r="B4394" s="152" t="s">
        <v>14606</v>
      </c>
      <c r="C4394" s="160" t="s">
        <v>16630</v>
      </c>
      <c r="D4394" s="160">
        <v>20</v>
      </c>
      <c r="E4394" s="161">
        <f>SUM(D4394*100)</f>
        <v>2000</v>
      </c>
    </row>
    <row r="4395" ht="16.5" spans="1:5">
      <c r="A4395" s="151">
        <v>4394</v>
      </c>
      <c r="B4395" s="152" t="s">
        <v>14609</v>
      </c>
      <c r="C4395" s="160" t="s">
        <v>16630</v>
      </c>
      <c r="D4395" s="160">
        <v>100</v>
      </c>
      <c r="E4395" s="161">
        <f>SUM(D4395*100)</f>
        <v>10000</v>
      </c>
    </row>
    <row r="4396" ht="16.5" spans="1:5">
      <c r="A4396" s="151">
        <v>4395</v>
      </c>
      <c r="B4396" s="152" t="s">
        <v>14612</v>
      </c>
      <c r="C4396" s="162" t="s">
        <v>16631</v>
      </c>
      <c r="D4396" s="169">
        <v>3000</v>
      </c>
      <c r="E4396" s="170">
        <f>D4396*100</f>
        <v>300000</v>
      </c>
    </row>
    <row r="4397" ht="16.5" spans="1:5">
      <c r="A4397" s="151">
        <v>4396</v>
      </c>
      <c r="B4397" s="152" t="s">
        <v>14617</v>
      </c>
      <c r="C4397" s="162" t="s">
        <v>16631</v>
      </c>
      <c r="D4397" s="163">
        <v>3000</v>
      </c>
      <c r="E4397" s="163">
        <f>D4397*100</f>
        <v>300000</v>
      </c>
    </row>
    <row r="4398" ht="16.5" spans="1:5">
      <c r="A4398" s="151">
        <v>4397</v>
      </c>
      <c r="B4398" s="152" t="s">
        <v>14622</v>
      </c>
      <c r="C4398" s="162" t="s">
        <v>16631</v>
      </c>
      <c r="D4398" s="163">
        <v>1000</v>
      </c>
      <c r="E4398" s="163">
        <f>D4398*100</f>
        <v>100000</v>
      </c>
    </row>
    <row r="4399" ht="16.5" spans="1:5">
      <c r="A4399" s="151">
        <v>4398</v>
      </c>
      <c r="B4399" s="152" t="s">
        <v>14627</v>
      </c>
      <c r="C4399" s="160" t="s">
        <v>16630</v>
      </c>
      <c r="D4399" s="41">
        <v>20</v>
      </c>
      <c r="E4399" s="161">
        <f>SUM(D4399*100)</f>
        <v>2000</v>
      </c>
    </row>
    <row r="4400" ht="16.5" spans="1:5">
      <c r="A4400" s="151">
        <v>4399</v>
      </c>
      <c r="B4400" s="152" t="s">
        <v>14630</v>
      </c>
      <c r="C4400" s="160" t="s">
        <v>16630</v>
      </c>
      <c r="D4400" s="160">
        <v>100</v>
      </c>
      <c r="E4400" s="161">
        <f>SUM(D4400*100)</f>
        <v>10000</v>
      </c>
    </row>
    <row r="4401" ht="16.5" spans="1:5">
      <c r="A4401" s="151">
        <v>4400</v>
      </c>
      <c r="B4401" s="152" t="s">
        <v>14634</v>
      </c>
      <c r="C4401" s="160" t="s">
        <v>16630</v>
      </c>
      <c r="D4401" s="160">
        <v>80</v>
      </c>
      <c r="E4401" s="161">
        <f>SUM(D4401*100)</f>
        <v>8000</v>
      </c>
    </row>
    <row r="4402" ht="16.5" spans="1:5">
      <c r="A4402" s="151">
        <v>4401</v>
      </c>
      <c r="B4402" s="152" t="s">
        <v>14637</v>
      </c>
      <c r="C4402" s="160" t="s">
        <v>16630</v>
      </c>
      <c r="D4402" s="172">
        <v>250</v>
      </c>
      <c r="E4402" s="161">
        <f>SUM(D4402*100)</f>
        <v>25000</v>
      </c>
    </row>
    <row r="4403" ht="16.5" spans="1:5">
      <c r="A4403" s="151">
        <v>4402</v>
      </c>
      <c r="B4403" s="152" t="s">
        <v>14640</v>
      </c>
      <c r="C4403" s="153" t="s">
        <v>16629</v>
      </c>
      <c r="D4403" s="154">
        <v>100</v>
      </c>
      <c r="E4403" s="155">
        <f>+D4403*100</f>
        <v>10000</v>
      </c>
    </row>
    <row r="4404" ht="16.5" spans="1:5">
      <c r="A4404" s="151">
        <v>4403</v>
      </c>
      <c r="B4404" s="152" t="s">
        <v>14644</v>
      </c>
      <c r="C4404" s="166" t="s">
        <v>16632</v>
      </c>
      <c r="D4404" s="166">
        <f>IFERROR(__xludf.DUMMYFUNCTION("""COMPUTED_VALUE"""),10000)</f>
        <v>10000</v>
      </c>
      <c r="E4404" s="168">
        <f>IFERROR(__xludf.DUMMYFUNCTION("""COMPUTED_VALUE"""),1500000)</f>
        <v>1500000</v>
      </c>
    </row>
    <row r="4405" ht="16.5" spans="1:5">
      <c r="A4405" s="151">
        <v>4404</v>
      </c>
      <c r="B4405" s="152" t="s">
        <v>14645</v>
      </c>
      <c r="C4405" s="160" t="s">
        <v>16630</v>
      </c>
      <c r="D4405" s="160">
        <v>400</v>
      </c>
      <c r="E4405" s="161">
        <f>SUM(D4405*100)</f>
        <v>40000</v>
      </c>
    </row>
    <row r="4406" ht="16.5" spans="1:5">
      <c r="A4406" s="151">
        <v>4405</v>
      </c>
      <c r="B4406" s="152" t="s">
        <v>14649</v>
      </c>
      <c r="C4406" s="160" t="s">
        <v>16630</v>
      </c>
      <c r="D4406" s="41">
        <v>10</v>
      </c>
      <c r="E4406" s="161">
        <f>SUM(D4406*100)</f>
        <v>1000</v>
      </c>
    </row>
    <row r="4407" ht="16.5" spans="1:5">
      <c r="A4407" s="151">
        <v>4406</v>
      </c>
      <c r="B4407" s="152" t="s">
        <v>14652</v>
      </c>
      <c r="C4407" s="153" t="s">
        <v>16629</v>
      </c>
      <c r="D4407" s="154">
        <v>40</v>
      </c>
      <c r="E4407" s="155">
        <f>+D4407*100</f>
        <v>4000</v>
      </c>
    </row>
    <row r="4408" ht="16.5" spans="1:5">
      <c r="A4408" s="151">
        <v>4407</v>
      </c>
      <c r="B4408" s="152" t="s">
        <v>14656</v>
      </c>
      <c r="C4408" s="160" t="s">
        <v>16630</v>
      </c>
      <c r="D4408" s="160">
        <v>100</v>
      </c>
      <c r="E4408" s="161">
        <f>SUM(D4408*100)</f>
        <v>10000</v>
      </c>
    </row>
    <row r="4409" ht="16.5" spans="1:5">
      <c r="A4409" s="151">
        <v>4408</v>
      </c>
      <c r="B4409" s="152" t="s">
        <v>14659</v>
      </c>
      <c r="C4409" s="162" t="s">
        <v>16631</v>
      </c>
      <c r="D4409" s="169">
        <v>3000</v>
      </c>
      <c r="E4409" s="170">
        <f>D4409*100</f>
        <v>300000</v>
      </c>
    </row>
    <row r="4410" ht="16.5" spans="1:5">
      <c r="A4410" s="151">
        <v>4409</v>
      </c>
      <c r="B4410" s="152" t="s">
        <v>14659</v>
      </c>
      <c r="C4410" s="162" t="s">
        <v>16631</v>
      </c>
      <c r="D4410" s="163">
        <v>1000</v>
      </c>
      <c r="E4410" s="163">
        <f>D4410*100</f>
        <v>100000</v>
      </c>
    </row>
    <row r="4411" ht="16.5" spans="1:5">
      <c r="A4411" s="151">
        <v>4410</v>
      </c>
      <c r="B4411" s="152" t="s">
        <v>14663</v>
      </c>
      <c r="C4411" s="153" t="s">
        <v>16629</v>
      </c>
      <c r="D4411" s="158">
        <v>10</v>
      </c>
      <c r="E4411" s="155">
        <f>+D4411*100</f>
        <v>1000</v>
      </c>
    </row>
    <row r="4412" ht="16.5" spans="1:5">
      <c r="A4412" s="151">
        <v>4411</v>
      </c>
      <c r="B4412" s="152" t="s">
        <v>14666</v>
      </c>
      <c r="C4412" s="156" t="s">
        <v>16629</v>
      </c>
      <c r="D4412" s="159">
        <v>10</v>
      </c>
      <c r="E4412" s="155">
        <f>+D4412*100</f>
        <v>1000</v>
      </c>
    </row>
    <row r="4413" ht="16.5" spans="1:5">
      <c r="A4413" s="151">
        <v>4412</v>
      </c>
      <c r="B4413" s="152" t="s">
        <v>14669</v>
      </c>
      <c r="C4413" s="160" t="s">
        <v>16630</v>
      </c>
      <c r="D4413" s="160">
        <v>438</v>
      </c>
      <c r="E4413" s="161">
        <f>SUM(D4413*100)</f>
        <v>43800</v>
      </c>
    </row>
    <row r="4414" ht="16.5" spans="1:5">
      <c r="A4414" s="151">
        <v>4413</v>
      </c>
      <c r="B4414" s="152" t="s">
        <v>14674</v>
      </c>
      <c r="C4414" s="162" t="s">
        <v>16631</v>
      </c>
      <c r="D4414" s="163">
        <v>1000</v>
      </c>
      <c r="E4414" s="163">
        <f>D4414*100</f>
        <v>100000</v>
      </c>
    </row>
    <row r="4415" ht="16.5" spans="1:5">
      <c r="A4415" s="151">
        <v>4414</v>
      </c>
      <c r="B4415" s="152" t="s">
        <v>14678</v>
      </c>
      <c r="C4415" s="162" t="s">
        <v>16633</v>
      </c>
      <c r="D4415" s="171">
        <f>G4415/100</f>
        <v>0</v>
      </c>
      <c r="E4415" s="171">
        <f>G4415</f>
        <v>0</v>
      </c>
    </row>
    <row r="4416" ht="16.5" spans="1:5">
      <c r="A4416" s="151">
        <v>4415</v>
      </c>
      <c r="B4416" s="152" t="s">
        <v>14683</v>
      </c>
      <c r="C4416" s="160" t="s">
        <v>16630</v>
      </c>
      <c r="D4416" s="160">
        <v>50</v>
      </c>
      <c r="E4416" s="161">
        <f t="shared" ref="E4416:E4422" si="158">SUM(D4416*100)</f>
        <v>5000</v>
      </c>
    </row>
    <row r="4417" ht="16.5" spans="1:5">
      <c r="A4417" s="151">
        <v>4416</v>
      </c>
      <c r="B4417" s="152" t="s">
        <v>14687</v>
      </c>
      <c r="C4417" s="160" t="s">
        <v>16630</v>
      </c>
      <c r="D4417" s="160">
        <v>10</v>
      </c>
      <c r="E4417" s="161">
        <f t="shared" si="158"/>
        <v>1000</v>
      </c>
    </row>
    <row r="4418" ht="16.5" spans="1:5">
      <c r="A4418" s="151">
        <v>4417</v>
      </c>
      <c r="B4418" s="152" t="s">
        <v>14691</v>
      </c>
      <c r="C4418" s="160" t="s">
        <v>16630</v>
      </c>
      <c r="D4418" s="160">
        <v>10</v>
      </c>
      <c r="E4418" s="161">
        <f t="shared" si="158"/>
        <v>1000</v>
      </c>
    </row>
    <row r="4419" ht="16.5" spans="1:5">
      <c r="A4419" s="151">
        <v>4418</v>
      </c>
      <c r="B4419" s="152" t="s">
        <v>14695</v>
      </c>
      <c r="C4419" s="160" t="s">
        <v>16630</v>
      </c>
      <c r="D4419" s="160">
        <v>10</v>
      </c>
      <c r="E4419" s="161">
        <f t="shared" si="158"/>
        <v>1000</v>
      </c>
    </row>
    <row r="4420" ht="16.5" spans="1:5">
      <c r="A4420" s="151">
        <v>4419</v>
      </c>
      <c r="B4420" s="152" t="s">
        <v>14698</v>
      </c>
      <c r="C4420" s="160" t="s">
        <v>16630</v>
      </c>
      <c r="D4420" s="160">
        <v>300</v>
      </c>
      <c r="E4420" s="161">
        <f t="shared" si="158"/>
        <v>30000</v>
      </c>
    </row>
    <row r="4421" ht="16.5" spans="1:5">
      <c r="A4421" s="151">
        <v>4420</v>
      </c>
      <c r="B4421" s="152" t="s">
        <v>14703</v>
      </c>
      <c r="C4421" s="160" t="s">
        <v>16630</v>
      </c>
      <c r="D4421" s="160">
        <v>200</v>
      </c>
      <c r="E4421" s="161">
        <f t="shared" si="158"/>
        <v>20000</v>
      </c>
    </row>
    <row r="4422" ht="16.5" spans="1:5">
      <c r="A4422" s="151">
        <v>4421</v>
      </c>
      <c r="B4422" s="152" t="s">
        <v>14707</v>
      </c>
      <c r="C4422" s="160" t="s">
        <v>16630</v>
      </c>
      <c r="D4422" s="160">
        <v>200</v>
      </c>
      <c r="E4422" s="161">
        <f t="shared" si="158"/>
        <v>20000</v>
      </c>
    </row>
    <row r="4423" ht="16.5" spans="1:5">
      <c r="A4423" s="151">
        <v>4422</v>
      </c>
      <c r="B4423" s="152" t="s">
        <v>14711</v>
      </c>
      <c r="C4423" s="160" t="s">
        <v>16630</v>
      </c>
      <c r="D4423" s="160">
        <v>5000</v>
      </c>
      <c r="E4423" s="161">
        <f>SUM(D4423*10)</f>
        <v>50000</v>
      </c>
    </row>
    <row r="4424" ht="16.5" spans="1:5">
      <c r="A4424" s="151">
        <v>4423</v>
      </c>
      <c r="B4424" s="152" t="s">
        <v>14716</v>
      </c>
      <c r="C4424" s="162" t="s">
        <v>16633</v>
      </c>
      <c r="D4424" s="171">
        <f>G4424/100</f>
        <v>0</v>
      </c>
      <c r="E4424" s="171">
        <f>G4424</f>
        <v>0</v>
      </c>
    </row>
    <row r="4425" ht="16.5" spans="1:5">
      <c r="A4425" s="151">
        <v>4424</v>
      </c>
      <c r="B4425" s="152" t="s">
        <v>14716</v>
      </c>
      <c r="C4425" s="162" t="s">
        <v>16631</v>
      </c>
      <c r="D4425" s="163">
        <v>5000</v>
      </c>
      <c r="E4425" s="163">
        <f>D4425*100</f>
        <v>500000</v>
      </c>
    </row>
    <row r="4426" ht="16.5" spans="1:5">
      <c r="A4426" s="151">
        <v>4425</v>
      </c>
      <c r="B4426" s="152" t="s">
        <v>14720</v>
      </c>
      <c r="C4426" s="160" t="s">
        <v>16630</v>
      </c>
      <c r="D4426" s="160">
        <v>500</v>
      </c>
      <c r="E4426" s="161">
        <f>SUM(D4426*100)</f>
        <v>50000</v>
      </c>
    </row>
    <row r="4427" ht="16.5" spans="1:5">
      <c r="A4427" s="151">
        <v>4426</v>
      </c>
      <c r="B4427" s="152" t="s">
        <v>14724</v>
      </c>
      <c r="C4427" s="160" t="s">
        <v>16630</v>
      </c>
      <c r="D4427" s="172">
        <v>1000</v>
      </c>
      <c r="E4427" s="161">
        <f>+D4427*100</f>
        <v>100000</v>
      </c>
    </row>
    <row r="4428" ht="16.5" spans="1:5">
      <c r="A4428" s="151">
        <v>4427</v>
      </c>
      <c r="B4428" s="152" t="s">
        <v>14727</v>
      </c>
      <c r="C4428" s="160" t="s">
        <v>16630</v>
      </c>
      <c r="D4428" s="160">
        <v>25</v>
      </c>
      <c r="E4428" s="161">
        <f>SUM(D4428*100)</f>
        <v>2500</v>
      </c>
    </row>
    <row r="4429" ht="16.5" spans="1:5">
      <c r="A4429" s="151">
        <v>4428</v>
      </c>
      <c r="B4429" s="152" t="s">
        <v>14730</v>
      </c>
      <c r="C4429" s="160" t="s">
        <v>16630</v>
      </c>
      <c r="D4429" s="160">
        <v>100</v>
      </c>
      <c r="E4429" s="161">
        <f>SUM(D4429*100)</f>
        <v>10000</v>
      </c>
    </row>
    <row r="4430" ht="16.5" spans="1:5">
      <c r="A4430" s="151">
        <v>4429</v>
      </c>
      <c r="B4430" s="152" t="s">
        <v>14733</v>
      </c>
      <c r="C4430" s="160" t="s">
        <v>16630</v>
      </c>
      <c r="D4430" s="160">
        <v>100</v>
      </c>
      <c r="E4430" s="161">
        <f>SUM(D4430*100)</f>
        <v>10000</v>
      </c>
    </row>
    <row r="4431" ht="16.5" spans="1:5">
      <c r="A4431" s="151">
        <v>4430</v>
      </c>
      <c r="B4431" s="152" t="s">
        <v>14737</v>
      </c>
      <c r="C4431" s="160" t="s">
        <v>16630</v>
      </c>
      <c r="D4431" s="160">
        <v>50</v>
      </c>
      <c r="E4431" s="161">
        <f>SUM(D4431*100)</f>
        <v>5000</v>
      </c>
    </row>
    <row r="4432" ht="16.5" spans="1:5">
      <c r="A4432" s="151">
        <v>4431</v>
      </c>
      <c r="B4432" s="152" t="s">
        <v>14741</v>
      </c>
      <c r="C4432" s="160" t="s">
        <v>16630</v>
      </c>
      <c r="D4432" s="160">
        <v>50</v>
      </c>
      <c r="E4432" s="161">
        <f>SUM(D4432*100)</f>
        <v>5000</v>
      </c>
    </row>
    <row r="4433" ht="16.5" spans="1:5">
      <c r="A4433" s="151">
        <v>4432</v>
      </c>
      <c r="B4433" s="152" t="s">
        <v>14745</v>
      </c>
      <c r="C4433" s="160" t="s">
        <v>16630</v>
      </c>
      <c r="D4433" s="160">
        <v>5100</v>
      </c>
      <c r="E4433" s="161">
        <f>SUM(D4433*10)</f>
        <v>51000</v>
      </c>
    </row>
    <row r="4434" ht="16.5" spans="1:5">
      <c r="A4434" s="151">
        <v>4433</v>
      </c>
      <c r="B4434" s="152" t="s">
        <v>14749</v>
      </c>
      <c r="C4434" s="160" t="s">
        <v>16630</v>
      </c>
      <c r="D4434" s="164">
        <v>500</v>
      </c>
      <c r="E4434" s="161">
        <f>SUM(D4434*100)</f>
        <v>50000</v>
      </c>
    </row>
    <row r="4435" ht="16.5" spans="1:5">
      <c r="A4435" s="151">
        <v>4434</v>
      </c>
      <c r="B4435" s="152" t="s">
        <v>14752</v>
      </c>
      <c r="C4435" s="160" t="s">
        <v>16630</v>
      </c>
      <c r="D4435" s="160">
        <v>5000</v>
      </c>
      <c r="E4435" s="161">
        <f>SUM(D4435*10)</f>
        <v>50000</v>
      </c>
    </row>
    <row r="4436" ht="16.5" spans="1:5">
      <c r="A4436" s="151">
        <v>4435</v>
      </c>
      <c r="B4436" s="152" t="s">
        <v>14756</v>
      </c>
      <c r="C4436" s="160" t="s">
        <v>16630</v>
      </c>
      <c r="D4436" s="160">
        <v>25</v>
      </c>
      <c r="E4436" s="161">
        <f t="shared" ref="E4436:E4444" si="159">SUM(D4436*100)</f>
        <v>2500</v>
      </c>
    </row>
    <row r="4437" ht="16.5" spans="1:5">
      <c r="A4437" s="151">
        <v>4436</v>
      </c>
      <c r="B4437" s="152" t="s">
        <v>14760</v>
      </c>
      <c r="C4437" s="160" t="s">
        <v>16630</v>
      </c>
      <c r="D4437" s="160">
        <v>300</v>
      </c>
      <c r="E4437" s="161">
        <f t="shared" si="159"/>
        <v>30000</v>
      </c>
    </row>
    <row r="4438" ht="16.5" spans="1:5">
      <c r="A4438" s="151">
        <v>4437</v>
      </c>
      <c r="B4438" s="152" t="s">
        <v>14765</v>
      </c>
      <c r="C4438" s="160" t="s">
        <v>16630</v>
      </c>
      <c r="D4438" s="160">
        <v>100</v>
      </c>
      <c r="E4438" s="161">
        <f t="shared" si="159"/>
        <v>10000</v>
      </c>
    </row>
    <row r="4439" ht="16.5" spans="1:5">
      <c r="A4439" s="151">
        <v>4438</v>
      </c>
      <c r="B4439" s="152" t="s">
        <v>14769</v>
      </c>
      <c r="C4439" s="160" t="s">
        <v>16630</v>
      </c>
      <c r="D4439" s="160">
        <v>1500</v>
      </c>
      <c r="E4439" s="161">
        <f t="shared" si="159"/>
        <v>150000</v>
      </c>
    </row>
    <row r="4440" ht="16.5" spans="1:5">
      <c r="A4440" s="151">
        <v>4439</v>
      </c>
      <c r="B4440" s="152" t="s">
        <v>14773</v>
      </c>
      <c r="C4440" s="160" t="s">
        <v>16630</v>
      </c>
      <c r="D4440" s="160">
        <v>400</v>
      </c>
      <c r="E4440" s="161">
        <f t="shared" si="159"/>
        <v>40000</v>
      </c>
    </row>
    <row r="4441" ht="16.5" spans="1:5">
      <c r="A4441" s="151">
        <v>4440</v>
      </c>
      <c r="B4441" s="152" t="s">
        <v>14777</v>
      </c>
      <c r="C4441" s="160" t="s">
        <v>16630</v>
      </c>
      <c r="D4441" s="160">
        <v>200</v>
      </c>
      <c r="E4441" s="161">
        <f t="shared" si="159"/>
        <v>20000</v>
      </c>
    </row>
    <row r="4442" ht="16.5" spans="1:5">
      <c r="A4442" s="151">
        <v>4441</v>
      </c>
      <c r="B4442" s="152" t="s">
        <v>14781</v>
      </c>
      <c r="C4442" s="160" t="s">
        <v>16630</v>
      </c>
      <c r="D4442" s="160">
        <v>1000</v>
      </c>
      <c r="E4442" s="161">
        <f t="shared" si="159"/>
        <v>100000</v>
      </c>
    </row>
    <row r="4443" ht="16.5" spans="1:5">
      <c r="A4443" s="151">
        <v>4442</v>
      </c>
      <c r="B4443" s="152" t="s">
        <v>14784</v>
      </c>
      <c r="C4443" s="160" t="s">
        <v>16630</v>
      </c>
      <c r="D4443" s="160">
        <v>10</v>
      </c>
      <c r="E4443" s="161">
        <f t="shared" si="159"/>
        <v>1000</v>
      </c>
    </row>
    <row r="4444" ht="16.5" spans="1:5">
      <c r="A4444" s="151">
        <v>4443</v>
      </c>
      <c r="B4444" s="152" t="s">
        <v>14788</v>
      </c>
      <c r="C4444" s="160" t="s">
        <v>16630</v>
      </c>
      <c r="D4444" s="160">
        <v>10</v>
      </c>
      <c r="E4444" s="161">
        <f t="shared" si="159"/>
        <v>1000</v>
      </c>
    </row>
    <row r="4445" ht="16.5" spans="1:5">
      <c r="A4445" s="151">
        <v>4444</v>
      </c>
      <c r="B4445" s="152" t="s">
        <v>14792</v>
      </c>
      <c r="C4445" s="156" t="s">
        <v>16629</v>
      </c>
      <c r="D4445" s="157">
        <v>10</v>
      </c>
      <c r="E4445" s="155">
        <f>+D4445*100</f>
        <v>1000</v>
      </c>
    </row>
    <row r="4446" ht="16.5" spans="1:5">
      <c r="A4446" s="151">
        <v>4445</v>
      </c>
      <c r="B4446" s="152" t="s">
        <v>14796</v>
      </c>
      <c r="C4446" s="160" t="s">
        <v>16630</v>
      </c>
      <c r="D4446" s="160">
        <v>25</v>
      </c>
      <c r="E4446" s="161">
        <f>SUM(D4446*100)</f>
        <v>2500</v>
      </c>
    </row>
    <row r="4447" ht="16.5" spans="1:5">
      <c r="A4447" s="151">
        <v>4446</v>
      </c>
      <c r="B4447" s="152" t="s">
        <v>14801</v>
      </c>
      <c r="C4447" s="160" t="s">
        <v>16630</v>
      </c>
      <c r="D4447" s="160">
        <v>150</v>
      </c>
      <c r="E4447" s="161">
        <f>SUM(D4447*100)</f>
        <v>15000</v>
      </c>
    </row>
    <row r="4448" ht="16.5" spans="1:5">
      <c r="A4448" s="151">
        <v>4447</v>
      </c>
      <c r="B4448" s="152" t="s">
        <v>14805</v>
      </c>
      <c r="C4448" s="160" t="s">
        <v>16630</v>
      </c>
      <c r="D4448" s="160">
        <v>10600</v>
      </c>
      <c r="E4448" s="161">
        <v>148000</v>
      </c>
    </row>
    <row r="4449" ht="16.5" spans="1:5">
      <c r="A4449" s="151">
        <v>4448</v>
      </c>
      <c r="B4449" s="152" t="s">
        <v>14810</v>
      </c>
      <c r="C4449" s="162" t="s">
        <v>16631</v>
      </c>
      <c r="D4449" s="163">
        <v>1000</v>
      </c>
      <c r="E4449" s="163">
        <f>D4449*100</f>
        <v>100000</v>
      </c>
    </row>
    <row r="4450" ht="16.5" spans="1:5">
      <c r="A4450" s="151">
        <v>4449</v>
      </c>
      <c r="B4450" s="152" t="s">
        <v>14814</v>
      </c>
      <c r="C4450" s="160" t="s">
        <v>16630</v>
      </c>
      <c r="D4450" s="160">
        <v>10</v>
      </c>
      <c r="E4450" s="161">
        <f>SUM(D4450*100)</f>
        <v>1000</v>
      </c>
    </row>
    <row r="4451" ht="16.5" spans="1:5">
      <c r="A4451" s="151">
        <v>4450</v>
      </c>
      <c r="B4451" s="152" t="s">
        <v>14818</v>
      </c>
      <c r="C4451" s="153" t="s">
        <v>16629</v>
      </c>
      <c r="D4451" s="158">
        <v>10</v>
      </c>
      <c r="E4451" s="155">
        <f>+D4451*100</f>
        <v>1000</v>
      </c>
    </row>
    <row r="4452" ht="16.5" spans="1:5">
      <c r="A4452" s="151">
        <v>4451</v>
      </c>
      <c r="B4452" s="152" t="s">
        <v>14821</v>
      </c>
      <c r="C4452" s="166" t="s">
        <v>16632</v>
      </c>
      <c r="D4452" s="166">
        <f>IFERROR(__xludf.DUMMYFUNCTION("""COMPUTED_VALUE"""),10000)</f>
        <v>10000</v>
      </c>
      <c r="E4452" s="168">
        <f>IFERROR(__xludf.DUMMYFUNCTION("""COMPUTED_VALUE"""),1500000)</f>
        <v>1500000</v>
      </c>
    </row>
    <row r="4453" ht="16.5" spans="1:5">
      <c r="A4453" s="151">
        <v>4452</v>
      </c>
      <c r="B4453" s="152" t="s">
        <v>14822</v>
      </c>
      <c r="C4453" s="160" t="s">
        <v>16630</v>
      </c>
      <c r="D4453" s="160">
        <v>500</v>
      </c>
      <c r="E4453" s="161">
        <f>SUM(D4453*100)</f>
        <v>50000</v>
      </c>
    </row>
    <row r="4454" ht="16.5" spans="1:5">
      <c r="A4454" s="151">
        <v>4453</v>
      </c>
      <c r="B4454" s="152" t="s">
        <v>14825</v>
      </c>
      <c r="C4454" s="160" t="s">
        <v>16630</v>
      </c>
      <c r="D4454" s="160">
        <v>20</v>
      </c>
      <c r="E4454" s="161">
        <f>SUM(D4454*100)</f>
        <v>2000</v>
      </c>
    </row>
    <row r="4455" ht="16.5" spans="1:5">
      <c r="A4455" s="151">
        <v>4454</v>
      </c>
      <c r="B4455" s="152" t="s">
        <v>14830</v>
      </c>
      <c r="C4455" s="153" t="s">
        <v>16629</v>
      </c>
      <c r="D4455" s="158">
        <v>10</v>
      </c>
      <c r="E4455" s="155">
        <f>+D4455*100</f>
        <v>1000</v>
      </c>
    </row>
    <row r="4456" ht="16.5" spans="1:5">
      <c r="A4456" s="151">
        <v>4455</v>
      </c>
      <c r="B4456" s="152" t="s">
        <v>14833</v>
      </c>
      <c r="C4456" s="166" t="s">
        <v>16632</v>
      </c>
      <c r="D4456" s="166">
        <f>IFERROR(__xludf.DUMMYFUNCTION("""COMPUTED_VALUE"""),10000)</f>
        <v>10000</v>
      </c>
      <c r="E4456" s="168">
        <f>IFERROR(__xludf.DUMMYFUNCTION("""COMPUTED_VALUE"""),1500000)</f>
        <v>1500000</v>
      </c>
    </row>
    <row r="4457" ht="16.5" spans="1:5">
      <c r="A4457" s="151">
        <v>4456</v>
      </c>
      <c r="B4457" s="152" t="s">
        <v>14834</v>
      </c>
      <c r="C4457" s="160" t="s">
        <v>16630</v>
      </c>
      <c r="D4457" s="160">
        <v>100</v>
      </c>
      <c r="E4457" s="161">
        <f>SUM(D4457*100)</f>
        <v>10000</v>
      </c>
    </row>
    <row r="4458" ht="16.5" spans="1:5">
      <c r="A4458" s="151">
        <v>4457</v>
      </c>
      <c r="B4458" s="152" t="s">
        <v>14837</v>
      </c>
      <c r="C4458" s="160" t="s">
        <v>16630</v>
      </c>
      <c r="D4458" s="160">
        <v>500</v>
      </c>
      <c r="E4458" s="161">
        <f>SUM(D4458*100)</f>
        <v>50000</v>
      </c>
    </row>
    <row r="4459" ht="16.5" spans="1:5">
      <c r="A4459" s="151">
        <v>4458</v>
      </c>
      <c r="B4459" s="152" t="s">
        <v>14840</v>
      </c>
      <c r="C4459" s="156" t="s">
        <v>16629</v>
      </c>
      <c r="D4459" s="159">
        <v>10</v>
      </c>
      <c r="E4459" s="155">
        <f>+D4459*100</f>
        <v>1000</v>
      </c>
    </row>
    <row r="4460" ht="16.5" spans="1:5">
      <c r="A4460" s="151">
        <v>4459</v>
      </c>
      <c r="B4460" s="152" t="s">
        <v>14843</v>
      </c>
      <c r="C4460" s="160" t="s">
        <v>16630</v>
      </c>
      <c r="D4460" s="41">
        <v>100</v>
      </c>
      <c r="E4460" s="161">
        <f>SUM(D4460*100)</f>
        <v>10000</v>
      </c>
    </row>
    <row r="4461" ht="16.5" spans="1:5">
      <c r="A4461" s="151">
        <v>4460</v>
      </c>
      <c r="B4461" s="152" t="s">
        <v>14846</v>
      </c>
      <c r="C4461" s="166" t="s">
        <v>16632</v>
      </c>
      <c r="D4461" s="166">
        <f>IFERROR(__xludf.DUMMYFUNCTION("""COMPUTED_VALUE"""),10000)</f>
        <v>10000</v>
      </c>
      <c r="E4461" s="168">
        <f>IFERROR(__xludf.DUMMYFUNCTION("""COMPUTED_VALUE"""),1500000)</f>
        <v>1500000</v>
      </c>
    </row>
    <row r="4462" ht="16.5" spans="1:5">
      <c r="A4462" s="151">
        <v>4461</v>
      </c>
      <c r="B4462" s="152" t="s">
        <v>14846</v>
      </c>
      <c r="C4462" s="166" t="s">
        <v>16632</v>
      </c>
      <c r="D4462" s="166">
        <f>IFERROR(__xludf.DUMMYFUNCTION("""COMPUTED_VALUE"""),10000)</f>
        <v>10000</v>
      </c>
      <c r="E4462" s="168">
        <f>IFERROR(__xludf.DUMMYFUNCTION("""COMPUTED_VALUE"""),1500000)</f>
        <v>1500000</v>
      </c>
    </row>
    <row r="4463" ht="16.5" spans="1:5">
      <c r="A4463" s="151">
        <v>4462</v>
      </c>
      <c r="B4463" s="152" t="s">
        <v>14847</v>
      </c>
      <c r="C4463" s="153" t="s">
        <v>16629</v>
      </c>
      <c r="D4463" s="154">
        <v>10</v>
      </c>
      <c r="E4463" s="155">
        <f t="shared" ref="E4463:E4468" si="160">+D4463*100</f>
        <v>1000</v>
      </c>
    </row>
    <row r="4464" ht="16.5" spans="1:5">
      <c r="A4464" s="151">
        <v>4463</v>
      </c>
      <c r="B4464" s="152" t="s">
        <v>14850</v>
      </c>
      <c r="C4464" s="156" t="s">
        <v>16629</v>
      </c>
      <c r="D4464" s="159">
        <v>10</v>
      </c>
      <c r="E4464" s="155">
        <f t="shared" si="160"/>
        <v>1000</v>
      </c>
    </row>
    <row r="4465" ht="16.5" spans="1:5">
      <c r="A4465" s="151">
        <v>4464</v>
      </c>
      <c r="B4465" s="152" t="s">
        <v>14854</v>
      </c>
      <c r="C4465" s="156" t="s">
        <v>16629</v>
      </c>
      <c r="D4465" s="159">
        <v>10</v>
      </c>
      <c r="E4465" s="155">
        <f t="shared" si="160"/>
        <v>1000</v>
      </c>
    </row>
    <row r="4466" ht="16.5" spans="1:5">
      <c r="A4466" s="151">
        <v>4465</v>
      </c>
      <c r="B4466" s="152" t="s">
        <v>14857</v>
      </c>
      <c r="C4466" s="156" t="s">
        <v>16629</v>
      </c>
      <c r="D4466" s="159">
        <v>10</v>
      </c>
      <c r="E4466" s="155">
        <f t="shared" si="160"/>
        <v>1000</v>
      </c>
    </row>
    <row r="4467" ht="16.5" spans="1:5">
      <c r="A4467" s="151">
        <v>4466</v>
      </c>
      <c r="B4467" s="152" t="s">
        <v>14860</v>
      </c>
      <c r="C4467" s="156" t="s">
        <v>16629</v>
      </c>
      <c r="D4467" s="158">
        <v>10</v>
      </c>
      <c r="E4467" s="155">
        <f t="shared" si="160"/>
        <v>1000</v>
      </c>
    </row>
    <row r="4468" ht="16.5" spans="1:5">
      <c r="A4468" s="151">
        <v>4467</v>
      </c>
      <c r="B4468" s="152" t="s">
        <v>14863</v>
      </c>
      <c r="C4468" s="153" t="s">
        <v>16629</v>
      </c>
      <c r="D4468" s="154">
        <v>10</v>
      </c>
      <c r="E4468" s="155">
        <f t="shared" si="160"/>
        <v>1000</v>
      </c>
    </row>
    <row r="4469" ht="16.5" spans="1:5">
      <c r="A4469" s="151">
        <v>4468</v>
      </c>
      <c r="B4469" s="152" t="s">
        <v>14866</v>
      </c>
      <c r="C4469" s="160" t="s">
        <v>16630</v>
      </c>
      <c r="D4469" s="160">
        <v>100</v>
      </c>
      <c r="E4469" s="161">
        <f>SUM(D4469*100)</f>
        <v>10000</v>
      </c>
    </row>
    <row r="4470" ht="16.5" spans="1:5">
      <c r="A4470" s="151">
        <v>4469</v>
      </c>
      <c r="B4470" s="152" t="s">
        <v>14866</v>
      </c>
      <c r="C4470" s="162" t="s">
        <v>16631</v>
      </c>
      <c r="D4470" s="163">
        <v>1000</v>
      </c>
      <c r="E4470" s="163">
        <f>D4470*100</f>
        <v>100000</v>
      </c>
    </row>
    <row r="4471" ht="16.5" spans="1:5">
      <c r="A4471" s="151">
        <v>4470</v>
      </c>
      <c r="B4471" s="152" t="s">
        <v>14870</v>
      </c>
      <c r="C4471" s="153" t="s">
        <v>16629</v>
      </c>
      <c r="D4471" s="158">
        <v>10</v>
      </c>
      <c r="E4471" s="155">
        <f>+D4471*100</f>
        <v>1000</v>
      </c>
    </row>
    <row r="4472" ht="16.5" spans="1:5">
      <c r="A4472" s="151">
        <v>4471</v>
      </c>
      <c r="B4472" s="152" t="s">
        <v>14873</v>
      </c>
      <c r="C4472" s="160" t="s">
        <v>16630</v>
      </c>
      <c r="D4472" s="160">
        <v>100</v>
      </c>
      <c r="E4472" s="161">
        <f>SUM(D4472*100)</f>
        <v>10000</v>
      </c>
    </row>
    <row r="4473" ht="16.5" spans="1:5">
      <c r="A4473" s="151">
        <v>4472</v>
      </c>
      <c r="B4473" s="152" t="s">
        <v>14877</v>
      </c>
      <c r="C4473" s="153" t="s">
        <v>16629</v>
      </c>
      <c r="D4473" s="158">
        <v>10</v>
      </c>
      <c r="E4473" s="155">
        <f>+D4473*100</f>
        <v>1000</v>
      </c>
    </row>
    <row r="4474" ht="16.5" spans="1:5">
      <c r="A4474" s="151">
        <v>4473</v>
      </c>
      <c r="B4474" s="152" t="s">
        <v>14880</v>
      </c>
      <c r="C4474" s="153" t="s">
        <v>16629</v>
      </c>
      <c r="D4474" s="154">
        <v>10</v>
      </c>
      <c r="E4474" s="155">
        <f>+D4474*100</f>
        <v>1000</v>
      </c>
    </row>
    <row r="4475" ht="16.5" spans="1:5">
      <c r="A4475" s="151">
        <v>4474</v>
      </c>
      <c r="B4475" s="152" t="s">
        <v>14883</v>
      </c>
      <c r="C4475" s="153" t="s">
        <v>16629</v>
      </c>
      <c r="D4475" s="154">
        <v>10</v>
      </c>
      <c r="E4475" s="155">
        <f>+D4475*100</f>
        <v>1000</v>
      </c>
    </row>
    <row r="4476" ht="16.5" spans="1:5">
      <c r="A4476" s="151">
        <v>4475</v>
      </c>
      <c r="B4476" s="152" t="s">
        <v>14886</v>
      </c>
      <c r="C4476" s="156" t="s">
        <v>16629</v>
      </c>
      <c r="D4476" s="159">
        <v>10</v>
      </c>
      <c r="E4476" s="155">
        <f>+D4476*100</f>
        <v>1000</v>
      </c>
    </row>
    <row r="4477" ht="16.5" spans="1:5">
      <c r="A4477" s="151">
        <v>4476</v>
      </c>
      <c r="B4477" s="152" t="s">
        <v>14889</v>
      </c>
      <c r="C4477" s="162" t="s">
        <v>16631</v>
      </c>
      <c r="D4477" s="163">
        <v>1000</v>
      </c>
      <c r="E4477" s="163">
        <f>D4477*100</f>
        <v>100000</v>
      </c>
    </row>
    <row r="4478" ht="16.5" spans="1:5">
      <c r="A4478" s="151">
        <v>4477</v>
      </c>
      <c r="B4478" s="152" t="s">
        <v>14893</v>
      </c>
      <c r="C4478" s="160" t="s">
        <v>16630</v>
      </c>
      <c r="D4478" s="160">
        <v>45</v>
      </c>
      <c r="E4478" s="161">
        <f>SUM(D4478*100)</f>
        <v>4500</v>
      </c>
    </row>
    <row r="4479" ht="16.5" spans="1:5">
      <c r="A4479" s="151">
        <v>4478</v>
      </c>
      <c r="B4479" s="152" t="s">
        <v>14897</v>
      </c>
      <c r="C4479" s="153" t="s">
        <v>16629</v>
      </c>
      <c r="D4479" s="154">
        <v>10</v>
      </c>
      <c r="E4479" s="155">
        <f t="shared" ref="E4479:E4490" si="161">+D4479*100</f>
        <v>1000</v>
      </c>
    </row>
    <row r="4480" ht="16.5" spans="1:5">
      <c r="A4480" s="151">
        <v>4479</v>
      </c>
      <c r="B4480" s="152" t="s">
        <v>14900</v>
      </c>
      <c r="C4480" s="153" t="s">
        <v>16629</v>
      </c>
      <c r="D4480" s="158">
        <v>20</v>
      </c>
      <c r="E4480" s="155">
        <f t="shared" si="161"/>
        <v>2000</v>
      </c>
    </row>
    <row r="4481" ht="16.5" spans="1:5">
      <c r="A4481" s="151">
        <v>4480</v>
      </c>
      <c r="B4481" s="152" t="s">
        <v>14904</v>
      </c>
      <c r="C4481" s="153" t="s">
        <v>16629</v>
      </c>
      <c r="D4481" s="154">
        <v>10</v>
      </c>
      <c r="E4481" s="155">
        <f t="shared" si="161"/>
        <v>1000</v>
      </c>
    </row>
    <row r="4482" ht="16.5" spans="1:5">
      <c r="A4482" s="151">
        <v>4481</v>
      </c>
      <c r="B4482" s="152" t="s">
        <v>14908</v>
      </c>
      <c r="C4482" s="156" t="s">
        <v>16629</v>
      </c>
      <c r="D4482" s="154">
        <v>10</v>
      </c>
      <c r="E4482" s="155">
        <f t="shared" si="161"/>
        <v>1000</v>
      </c>
    </row>
    <row r="4483" ht="16.5" spans="1:5">
      <c r="A4483" s="151">
        <v>4482</v>
      </c>
      <c r="B4483" s="152" t="s">
        <v>14912</v>
      </c>
      <c r="C4483" s="153" t="s">
        <v>16629</v>
      </c>
      <c r="D4483" s="154">
        <v>10</v>
      </c>
      <c r="E4483" s="155">
        <f t="shared" si="161"/>
        <v>1000</v>
      </c>
    </row>
    <row r="4484" ht="16.5" spans="1:5">
      <c r="A4484" s="151">
        <v>4483</v>
      </c>
      <c r="B4484" s="152" t="s">
        <v>14916</v>
      </c>
      <c r="C4484" s="156" t="s">
        <v>16629</v>
      </c>
      <c r="D4484" s="159">
        <v>10</v>
      </c>
      <c r="E4484" s="155">
        <f t="shared" si="161"/>
        <v>1000</v>
      </c>
    </row>
    <row r="4485" ht="16.5" spans="1:5">
      <c r="A4485" s="151">
        <v>4484</v>
      </c>
      <c r="B4485" s="152" t="s">
        <v>14919</v>
      </c>
      <c r="C4485" s="153" t="s">
        <v>16629</v>
      </c>
      <c r="D4485" s="154">
        <v>10</v>
      </c>
      <c r="E4485" s="155">
        <f t="shared" si="161"/>
        <v>1000</v>
      </c>
    </row>
    <row r="4486" ht="16.5" spans="1:5">
      <c r="A4486" s="151">
        <v>4485</v>
      </c>
      <c r="B4486" s="152" t="s">
        <v>14923</v>
      </c>
      <c r="C4486" s="153" t="s">
        <v>16629</v>
      </c>
      <c r="D4486" s="154">
        <v>10</v>
      </c>
      <c r="E4486" s="155">
        <f t="shared" si="161"/>
        <v>1000</v>
      </c>
    </row>
    <row r="4487" ht="16.5" spans="1:5">
      <c r="A4487" s="151">
        <v>4486</v>
      </c>
      <c r="B4487" s="152" t="s">
        <v>14927</v>
      </c>
      <c r="C4487" s="156" t="s">
        <v>16629</v>
      </c>
      <c r="D4487" s="159">
        <v>10</v>
      </c>
      <c r="E4487" s="155">
        <f t="shared" si="161"/>
        <v>1000</v>
      </c>
    </row>
    <row r="4488" ht="16.5" spans="1:5">
      <c r="A4488" s="151">
        <v>4487</v>
      </c>
      <c r="B4488" s="152" t="s">
        <v>14930</v>
      </c>
      <c r="C4488" s="153" t="s">
        <v>16629</v>
      </c>
      <c r="D4488" s="154">
        <v>10</v>
      </c>
      <c r="E4488" s="155">
        <f t="shared" si="161"/>
        <v>1000</v>
      </c>
    </row>
    <row r="4489" ht="16.5" spans="1:5">
      <c r="A4489" s="151">
        <v>4488</v>
      </c>
      <c r="B4489" s="152" t="s">
        <v>14934</v>
      </c>
      <c r="C4489" s="156" t="s">
        <v>16629</v>
      </c>
      <c r="D4489" s="159">
        <v>10</v>
      </c>
      <c r="E4489" s="155">
        <f t="shared" si="161"/>
        <v>1000</v>
      </c>
    </row>
    <row r="4490" ht="16.5" spans="1:5">
      <c r="A4490" s="151">
        <v>4489</v>
      </c>
      <c r="B4490" s="152" t="s">
        <v>14938</v>
      </c>
      <c r="C4490" s="153" t="s">
        <v>16629</v>
      </c>
      <c r="D4490" s="154">
        <v>10</v>
      </c>
      <c r="E4490" s="155">
        <f t="shared" si="161"/>
        <v>1000</v>
      </c>
    </row>
    <row r="4491" ht="16.5" spans="1:5">
      <c r="A4491" s="151">
        <v>4490</v>
      </c>
      <c r="B4491" s="152" t="s">
        <v>14942</v>
      </c>
      <c r="C4491" s="160" t="s">
        <v>16630</v>
      </c>
      <c r="D4491" s="160">
        <v>500</v>
      </c>
      <c r="E4491" s="161">
        <f>SUM(D4491*100)</f>
        <v>50000</v>
      </c>
    </row>
    <row r="4492" ht="16.5" spans="1:5">
      <c r="A4492" s="151">
        <v>4491</v>
      </c>
      <c r="B4492" s="152" t="s">
        <v>14945</v>
      </c>
      <c r="C4492" s="156" t="s">
        <v>16629</v>
      </c>
      <c r="D4492" s="159">
        <v>10</v>
      </c>
      <c r="E4492" s="155">
        <f>+D4492*100</f>
        <v>1000</v>
      </c>
    </row>
    <row r="4493" ht="16.5" spans="1:5">
      <c r="A4493" s="151">
        <v>4492</v>
      </c>
      <c r="B4493" s="152" t="s">
        <v>14949</v>
      </c>
      <c r="C4493" s="160" t="s">
        <v>16630</v>
      </c>
      <c r="D4493" s="160">
        <v>100</v>
      </c>
      <c r="E4493" s="161">
        <f>SUM(D4493*100)</f>
        <v>10000</v>
      </c>
    </row>
    <row r="4494" ht="16.5" spans="1:5">
      <c r="A4494" s="151">
        <v>4493</v>
      </c>
      <c r="B4494" s="152" t="s">
        <v>14953</v>
      </c>
      <c r="C4494" s="156" t="s">
        <v>16629</v>
      </c>
      <c r="D4494" s="159">
        <v>10</v>
      </c>
      <c r="E4494" s="155">
        <f t="shared" ref="E4494:E4501" si="162">+D4494*100</f>
        <v>1000</v>
      </c>
    </row>
    <row r="4495" ht="16.5" spans="1:5">
      <c r="A4495" s="151">
        <v>4494</v>
      </c>
      <c r="B4495" s="152" t="s">
        <v>14956</v>
      </c>
      <c r="C4495" s="156" t="s">
        <v>16629</v>
      </c>
      <c r="D4495" s="157">
        <v>10</v>
      </c>
      <c r="E4495" s="155">
        <f t="shared" si="162"/>
        <v>1000</v>
      </c>
    </row>
    <row r="4496" ht="16.5" spans="1:5">
      <c r="A4496" s="151">
        <v>4495</v>
      </c>
      <c r="B4496" s="152" t="s">
        <v>14960</v>
      </c>
      <c r="C4496" s="153" t="s">
        <v>16629</v>
      </c>
      <c r="D4496" s="154">
        <v>10</v>
      </c>
      <c r="E4496" s="155">
        <f t="shared" si="162"/>
        <v>1000</v>
      </c>
    </row>
    <row r="4497" ht="16.5" spans="1:5">
      <c r="A4497" s="151">
        <v>4496</v>
      </c>
      <c r="B4497" s="152" t="s">
        <v>14963</v>
      </c>
      <c r="C4497" s="153" t="s">
        <v>16629</v>
      </c>
      <c r="D4497" s="158">
        <v>10</v>
      </c>
      <c r="E4497" s="155">
        <f t="shared" si="162"/>
        <v>1000</v>
      </c>
    </row>
    <row r="4498" ht="16.5" spans="1:5">
      <c r="A4498" s="151">
        <v>4497</v>
      </c>
      <c r="B4498" s="152" t="s">
        <v>14966</v>
      </c>
      <c r="C4498" s="156" t="s">
        <v>16629</v>
      </c>
      <c r="D4498" s="157">
        <v>10</v>
      </c>
      <c r="E4498" s="155">
        <f t="shared" si="162"/>
        <v>1000</v>
      </c>
    </row>
    <row r="4499" ht="16.5" spans="1:5">
      <c r="A4499" s="151">
        <v>4498</v>
      </c>
      <c r="B4499" s="152" t="s">
        <v>14970</v>
      </c>
      <c r="C4499" s="153" t="s">
        <v>16629</v>
      </c>
      <c r="D4499" s="154">
        <v>10</v>
      </c>
      <c r="E4499" s="155">
        <f t="shared" si="162"/>
        <v>1000</v>
      </c>
    </row>
    <row r="4500" ht="16.5" spans="1:5">
      <c r="A4500" s="151">
        <v>4499</v>
      </c>
      <c r="B4500" s="152" t="s">
        <v>14973</v>
      </c>
      <c r="C4500" s="156" t="s">
        <v>16629</v>
      </c>
      <c r="D4500" s="159">
        <v>10</v>
      </c>
      <c r="E4500" s="155">
        <f t="shared" si="162"/>
        <v>1000</v>
      </c>
    </row>
    <row r="4501" ht="16.5" spans="1:5">
      <c r="A4501" s="151">
        <v>4500</v>
      </c>
      <c r="B4501" s="152" t="s">
        <v>14977</v>
      </c>
      <c r="C4501" s="156" t="s">
        <v>16629</v>
      </c>
      <c r="D4501" s="157">
        <v>10</v>
      </c>
      <c r="E4501" s="155">
        <f t="shared" si="162"/>
        <v>1000</v>
      </c>
    </row>
    <row r="4502" ht="16.5" spans="1:5">
      <c r="A4502" s="151">
        <v>4501</v>
      </c>
      <c r="B4502" s="152" t="s">
        <v>14981</v>
      </c>
      <c r="C4502" s="160" t="s">
        <v>16630</v>
      </c>
      <c r="D4502" s="160">
        <v>250</v>
      </c>
      <c r="E4502" s="161">
        <f>SUM(D4502*100)</f>
        <v>25000</v>
      </c>
    </row>
    <row r="4503" ht="16.5" spans="1:5">
      <c r="A4503" s="151">
        <v>4502</v>
      </c>
      <c r="B4503" s="152" t="s">
        <v>14985</v>
      </c>
      <c r="C4503" s="156" t="s">
        <v>16629</v>
      </c>
      <c r="D4503" s="157">
        <v>10</v>
      </c>
      <c r="E4503" s="155">
        <f>+D4503*100</f>
        <v>1000</v>
      </c>
    </row>
    <row r="4504" ht="16.5" spans="1:5">
      <c r="A4504" s="151">
        <v>4503</v>
      </c>
      <c r="B4504" s="152" t="s">
        <v>14987</v>
      </c>
      <c r="C4504" s="156" t="s">
        <v>16629</v>
      </c>
      <c r="D4504" s="154">
        <v>10</v>
      </c>
      <c r="E4504" s="155">
        <f>+D4504*100</f>
        <v>1000</v>
      </c>
    </row>
    <row r="4505" ht="16.5" spans="1:5">
      <c r="A4505" s="151">
        <v>4504</v>
      </c>
      <c r="B4505" s="152" t="s">
        <v>14990</v>
      </c>
      <c r="C4505" s="156" t="s">
        <v>16629</v>
      </c>
      <c r="D4505" s="159">
        <v>10</v>
      </c>
      <c r="E4505" s="155">
        <f>+D4505*100</f>
        <v>1000</v>
      </c>
    </row>
    <row r="4506" ht="16.5" spans="1:5">
      <c r="A4506" s="151">
        <v>4505</v>
      </c>
      <c r="B4506" s="152" t="s">
        <v>14993</v>
      </c>
      <c r="C4506" s="162" t="s">
        <v>16633</v>
      </c>
      <c r="D4506" s="171">
        <f>G4506/100</f>
        <v>0</v>
      </c>
      <c r="E4506" s="171">
        <f>G4506</f>
        <v>0</v>
      </c>
    </row>
    <row r="4507" ht="16.5" spans="1:5">
      <c r="A4507" s="151">
        <v>4506</v>
      </c>
      <c r="B4507" s="152" t="s">
        <v>14997</v>
      </c>
      <c r="C4507" s="156" t="s">
        <v>16629</v>
      </c>
      <c r="D4507" s="157">
        <v>10</v>
      </c>
      <c r="E4507" s="155">
        <f>+D4507*100</f>
        <v>1000</v>
      </c>
    </row>
    <row r="4508" ht="16.5" spans="1:5">
      <c r="A4508" s="151">
        <v>4507</v>
      </c>
      <c r="B4508" s="152" t="s">
        <v>15000</v>
      </c>
      <c r="C4508" s="160" t="s">
        <v>16630</v>
      </c>
      <c r="D4508" s="160">
        <v>400</v>
      </c>
      <c r="E4508" s="161">
        <f>SUM(D4508*100)</f>
        <v>40000</v>
      </c>
    </row>
    <row r="4509" ht="16.5" spans="1:5">
      <c r="A4509" s="151">
        <v>4508</v>
      </c>
      <c r="B4509" s="152" t="s">
        <v>15004</v>
      </c>
      <c r="C4509" s="162" t="s">
        <v>16631</v>
      </c>
      <c r="D4509" s="163">
        <v>1000</v>
      </c>
      <c r="E4509" s="163">
        <f>D4509*100</f>
        <v>100000</v>
      </c>
    </row>
    <row r="4510" ht="16.5" spans="1:5">
      <c r="A4510" s="151">
        <v>4509</v>
      </c>
      <c r="B4510" s="152" t="s">
        <v>15008</v>
      </c>
      <c r="C4510" s="166" t="s">
        <v>16632</v>
      </c>
      <c r="D4510" s="173">
        <v>30000</v>
      </c>
      <c r="E4510" s="45">
        <v>3500000</v>
      </c>
    </row>
    <row r="4511" ht="16.5" spans="1:5">
      <c r="A4511" s="151">
        <v>4510</v>
      </c>
      <c r="B4511" s="152" t="s">
        <v>15013</v>
      </c>
      <c r="C4511" s="160" t="s">
        <v>16630</v>
      </c>
      <c r="D4511" s="160">
        <v>100</v>
      </c>
      <c r="E4511" s="161">
        <f>SUM(D4511*100)</f>
        <v>10000</v>
      </c>
    </row>
    <row r="4512" ht="16.5" spans="1:5">
      <c r="A4512" s="151">
        <v>4511</v>
      </c>
      <c r="B4512" s="152" t="s">
        <v>15013</v>
      </c>
      <c r="C4512" s="162" t="s">
        <v>16631</v>
      </c>
      <c r="D4512" s="163">
        <v>1000</v>
      </c>
      <c r="E4512" s="163">
        <f>D4512*100</f>
        <v>100000</v>
      </c>
    </row>
    <row r="4513" ht="16.5" spans="1:5">
      <c r="A4513" s="151">
        <v>4512</v>
      </c>
      <c r="B4513" s="152" t="s">
        <v>15017</v>
      </c>
      <c r="C4513" s="160" t="s">
        <v>16630</v>
      </c>
      <c r="D4513" s="160">
        <v>100</v>
      </c>
      <c r="E4513" s="161">
        <f>SUM(D4513*100)</f>
        <v>10000</v>
      </c>
    </row>
    <row r="4514" ht="16.5" spans="1:5">
      <c r="A4514" s="151">
        <v>4513</v>
      </c>
      <c r="B4514" s="152" t="s">
        <v>15021</v>
      </c>
      <c r="C4514" s="153" t="s">
        <v>16629</v>
      </c>
      <c r="D4514" s="158">
        <v>10</v>
      </c>
      <c r="E4514" s="155">
        <f>+D4514*100</f>
        <v>1000</v>
      </c>
    </row>
    <row r="4515" ht="16.5" spans="1:5">
      <c r="A4515" s="151">
        <v>4514</v>
      </c>
      <c r="B4515" s="152" t="s">
        <v>15024</v>
      </c>
      <c r="C4515" s="153" t="s">
        <v>16629</v>
      </c>
      <c r="D4515" s="154">
        <v>10</v>
      </c>
      <c r="E4515" s="155">
        <f>+D4515*100</f>
        <v>1000</v>
      </c>
    </row>
    <row r="4516" ht="16.5" spans="1:5">
      <c r="A4516" s="151">
        <v>4515</v>
      </c>
      <c r="B4516" s="152" t="s">
        <v>15028</v>
      </c>
      <c r="C4516" s="156" t="s">
        <v>16629</v>
      </c>
      <c r="D4516" s="157">
        <v>10</v>
      </c>
      <c r="E4516" s="155">
        <f>+D4516*100</f>
        <v>1000</v>
      </c>
    </row>
    <row r="4517" ht="16.5" spans="1:5">
      <c r="A4517" s="151">
        <v>4516</v>
      </c>
      <c r="B4517" s="152" t="s">
        <v>15031</v>
      </c>
      <c r="C4517" s="160" t="s">
        <v>16630</v>
      </c>
      <c r="D4517" s="164">
        <v>100</v>
      </c>
      <c r="E4517" s="161">
        <f>SUM(D4517*100)</f>
        <v>10000</v>
      </c>
    </row>
    <row r="4518" ht="16.5" spans="1:5">
      <c r="A4518" s="151">
        <v>4517</v>
      </c>
      <c r="B4518" s="152" t="s">
        <v>15034</v>
      </c>
      <c r="C4518" s="153" t="s">
        <v>16629</v>
      </c>
      <c r="D4518" s="154">
        <v>10</v>
      </c>
      <c r="E4518" s="155">
        <f>+D4518*100</f>
        <v>1000</v>
      </c>
    </row>
    <row r="4519" ht="16.5" spans="1:5">
      <c r="A4519" s="151">
        <v>4518</v>
      </c>
      <c r="B4519" s="152" t="s">
        <v>15038</v>
      </c>
      <c r="C4519" s="153" t="s">
        <v>16629</v>
      </c>
      <c r="D4519" s="154">
        <v>10</v>
      </c>
      <c r="E4519" s="155">
        <f>+D4519*100</f>
        <v>1000</v>
      </c>
    </row>
    <row r="4520" ht="16.5" spans="1:5">
      <c r="A4520" s="151">
        <v>4519</v>
      </c>
      <c r="B4520" s="152" t="s">
        <v>15042</v>
      </c>
      <c r="C4520" s="153" t="s">
        <v>16629</v>
      </c>
      <c r="D4520" s="154">
        <v>10</v>
      </c>
      <c r="E4520" s="155">
        <f>+D4520*100</f>
        <v>1000</v>
      </c>
    </row>
    <row r="4521" ht="16.5" spans="1:5">
      <c r="A4521" s="151">
        <v>4520</v>
      </c>
      <c r="B4521" s="152" t="s">
        <v>15045</v>
      </c>
      <c r="C4521" s="153" t="s">
        <v>16629</v>
      </c>
      <c r="D4521" s="158">
        <v>10</v>
      </c>
      <c r="E4521" s="155">
        <f>+D4521*100</f>
        <v>1000</v>
      </c>
    </row>
    <row r="4522" ht="16.5" spans="1:5">
      <c r="A4522" s="151">
        <v>4521</v>
      </c>
      <c r="B4522" s="152" t="s">
        <v>15048</v>
      </c>
      <c r="C4522" s="156" t="s">
        <v>16629</v>
      </c>
      <c r="D4522" s="159">
        <v>10</v>
      </c>
      <c r="E4522" s="155">
        <f>+D4522*100</f>
        <v>1000</v>
      </c>
    </row>
    <row r="4523" ht="16.5" spans="1:5">
      <c r="A4523" s="151">
        <v>4522</v>
      </c>
      <c r="B4523" s="152" t="s">
        <v>15052</v>
      </c>
      <c r="C4523" s="162" t="s">
        <v>16631</v>
      </c>
      <c r="D4523" s="169">
        <v>1000</v>
      </c>
      <c r="E4523" s="170">
        <f>D4523*100</f>
        <v>100000</v>
      </c>
    </row>
    <row r="4524" ht="16.5" spans="1:5">
      <c r="A4524" s="151">
        <v>4523</v>
      </c>
      <c r="B4524" s="152" t="s">
        <v>15052</v>
      </c>
      <c r="C4524" s="162" t="s">
        <v>16633</v>
      </c>
      <c r="D4524" s="171">
        <f>G4524/100</f>
        <v>0</v>
      </c>
      <c r="E4524" s="171">
        <f>G4524</f>
        <v>0</v>
      </c>
    </row>
    <row r="4525" ht="16.5" spans="1:5">
      <c r="A4525" s="151">
        <v>4524</v>
      </c>
      <c r="B4525" s="152" t="s">
        <v>15057</v>
      </c>
      <c r="C4525" s="156" t="s">
        <v>16629</v>
      </c>
      <c r="D4525" s="159">
        <v>10</v>
      </c>
      <c r="E4525" s="155">
        <f>+D4525*100</f>
        <v>1000</v>
      </c>
    </row>
    <row r="4526" ht="16.5" spans="1:5">
      <c r="A4526" s="151">
        <v>4525</v>
      </c>
      <c r="B4526" s="152" t="s">
        <v>15060</v>
      </c>
      <c r="C4526" s="153" t="s">
        <v>16629</v>
      </c>
      <c r="D4526" s="154">
        <v>10</v>
      </c>
      <c r="E4526" s="155">
        <f>+D4526*100</f>
        <v>1000</v>
      </c>
    </row>
    <row r="4527" ht="16.5" spans="1:5">
      <c r="A4527" s="151">
        <v>4526</v>
      </c>
      <c r="B4527" s="152" t="s">
        <v>15064</v>
      </c>
      <c r="C4527" s="153" t="s">
        <v>16629</v>
      </c>
      <c r="D4527" s="154">
        <v>10</v>
      </c>
      <c r="E4527" s="155">
        <f>+D4527*100</f>
        <v>1000</v>
      </c>
    </row>
    <row r="4528" ht="16.5" spans="1:5">
      <c r="A4528" s="151">
        <v>4527</v>
      </c>
      <c r="B4528" s="152" t="s">
        <v>15067</v>
      </c>
      <c r="C4528" s="160" t="s">
        <v>16630</v>
      </c>
      <c r="D4528" s="160">
        <v>40</v>
      </c>
      <c r="E4528" s="161">
        <f>SUM(D4528*100)</f>
        <v>4000</v>
      </c>
    </row>
    <row r="4529" ht="16.5" spans="1:5">
      <c r="A4529" s="151">
        <v>4528</v>
      </c>
      <c r="B4529" s="152" t="s">
        <v>15071</v>
      </c>
      <c r="C4529" s="160" t="s">
        <v>16630</v>
      </c>
      <c r="D4529" s="160">
        <v>40</v>
      </c>
      <c r="E4529" s="161">
        <f>SUM(D4529*100)</f>
        <v>4000</v>
      </c>
    </row>
    <row r="4530" ht="16.5" spans="1:5">
      <c r="A4530" s="151">
        <v>4529</v>
      </c>
      <c r="B4530" s="152" t="s">
        <v>15075</v>
      </c>
      <c r="C4530" s="160" t="s">
        <v>16630</v>
      </c>
      <c r="D4530" s="160">
        <v>40</v>
      </c>
      <c r="E4530" s="161">
        <f>SUM(D4530*100)</f>
        <v>4000</v>
      </c>
    </row>
    <row r="4531" ht="16.5" spans="1:5">
      <c r="A4531" s="151">
        <v>4530</v>
      </c>
      <c r="B4531" s="152" t="s">
        <v>15079</v>
      </c>
      <c r="C4531" s="160" t="s">
        <v>16630</v>
      </c>
      <c r="D4531" s="160">
        <v>40</v>
      </c>
      <c r="E4531" s="161">
        <f>SUM(D4531*100)</f>
        <v>4000</v>
      </c>
    </row>
    <row r="4532" ht="16.5" spans="1:5">
      <c r="A4532" s="151">
        <v>4531</v>
      </c>
      <c r="B4532" s="152" t="s">
        <v>15083</v>
      </c>
      <c r="C4532" s="160" t="s">
        <v>16630</v>
      </c>
      <c r="D4532" s="160">
        <v>1000</v>
      </c>
      <c r="E4532" s="161">
        <f>SUM(D4532*100)</f>
        <v>100000</v>
      </c>
    </row>
    <row r="4533" ht="16.5" spans="1:5">
      <c r="A4533" s="151">
        <v>4532</v>
      </c>
      <c r="B4533" s="152" t="s">
        <v>15087</v>
      </c>
      <c r="C4533" s="153" t="s">
        <v>16629</v>
      </c>
      <c r="D4533" s="158">
        <v>10</v>
      </c>
      <c r="E4533" s="155">
        <f>+D4533*100</f>
        <v>1000</v>
      </c>
    </row>
    <row r="4534" ht="16.5" spans="1:5">
      <c r="A4534" s="151">
        <v>4533</v>
      </c>
      <c r="B4534" s="152" t="s">
        <v>15090</v>
      </c>
      <c r="C4534" s="153" t="s">
        <v>16629</v>
      </c>
      <c r="D4534" s="158">
        <v>10</v>
      </c>
      <c r="E4534" s="155">
        <f>+D4534*100</f>
        <v>1000</v>
      </c>
    </row>
    <row r="4535" ht="16.5" spans="1:5">
      <c r="A4535" s="151">
        <v>4534</v>
      </c>
      <c r="B4535" s="152" t="s">
        <v>15093</v>
      </c>
      <c r="C4535" s="160" t="s">
        <v>16630</v>
      </c>
      <c r="D4535" s="164">
        <v>60</v>
      </c>
      <c r="E4535" s="161">
        <f>SUM(D4535*100)</f>
        <v>6000</v>
      </c>
    </row>
    <row r="4536" ht="16.5" spans="1:5">
      <c r="A4536" s="151">
        <v>4535</v>
      </c>
      <c r="B4536" s="152" t="s">
        <v>15096</v>
      </c>
      <c r="C4536" s="160" t="s">
        <v>16630</v>
      </c>
      <c r="D4536" s="160">
        <v>500</v>
      </c>
      <c r="E4536" s="161">
        <f>SUM(D4536*100)</f>
        <v>50000</v>
      </c>
    </row>
    <row r="4537" ht="16.5" spans="1:5">
      <c r="A4537" s="151">
        <v>4536</v>
      </c>
      <c r="B4537" s="152" t="s">
        <v>15099</v>
      </c>
      <c r="C4537" s="156" t="s">
        <v>16629</v>
      </c>
      <c r="D4537" s="157">
        <v>10</v>
      </c>
      <c r="E4537" s="155">
        <f>+D4537*100</f>
        <v>1000</v>
      </c>
    </row>
    <row r="4538" ht="16.5" spans="1:5">
      <c r="A4538" s="151">
        <v>4537</v>
      </c>
      <c r="B4538" s="152" t="s">
        <v>15102</v>
      </c>
      <c r="C4538" s="166" t="s">
        <v>16632</v>
      </c>
      <c r="D4538" s="166">
        <f>IFERROR(__xludf.DUMMYFUNCTION("""COMPUTED_VALUE"""),10000)</f>
        <v>10000</v>
      </c>
      <c r="E4538" s="168">
        <f>IFERROR(__xludf.DUMMYFUNCTION("""COMPUTED_VALUE"""),1500000)</f>
        <v>1500000</v>
      </c>
    </row>
    <row r="4539" ht="16.5" spans="1:5">
      <c r="A4539" s="151">
        <v>4538</v>
      </c>
      <c r="B4539" s="152" t="s">
        <v>15103</v>
      </c>
      <c r="C4539" s="160" t="s">
        <v>16630</v>
      </c>
      <c r="D4539" s="175">
        <v>100</v>
      </c>
      <c r="E4539" s="161">
        <f t="shared" ref="E4539:E4549" si="163">SUM(D4539*100)</f>
        <v>10000</v>
      </c>
    </row>
    <row r="4540" ht="16.5" spans="1:5">
      <c r="A4540" s="151">
        <v>4539</v>
      </c>
      <c r="B4540" s="152" t="s">
        <v>15106</v>
      </c>
      <c r="C4540" s="160" t="s">
        <v>16630</v>
      </c>
      <c r="D4540" s="160">
        <v>10</v>
      </c>
      <c r="E4540" s="161">
        <f t="shared" si="163"/>
        <v>1000</v>
      </c>
    </row>
    <row r="4541" ht="16.5" spans="1:5">
      <c r="A4541" s="151">
        <v>4540</v>
      </c>
      <c r="B4541" s="152" t="s">
        <v>15110</v>
      </c>
      <c r="C4541" s="160" t="s">
        <v>16630</v>
      </c>
      <c r="D4541" s="160">
        <v>50</v>
      </c>
      <c r="E4541" s="161">
        <f t="shared" si="163"/>
        <v>5000</v>
      </c>
    </row>
    <row r="4542" ht="16.5" spans="1:5">
      <c r="A4542" s="151">
        <v>4541</v>
      </c>
      <c r="B4542" s="152" t="s">
        <v>15113</v>
      </c>
      <c r="C4542" s="160" t="s">
        <v>16630</v>
      </c>
      <c r="D4542" s="160">
        <v>100</v>
      </c>
      <c r="E4542" s="161">
        <f t="shared" si="163"/>
        <v>10000</v>
      </c>
    </row>
    <row r="4543" ht="16.5" spans="1:5">
      <c r="A4543" s="151">
        <v>4542</v>
      </c>
      <c r="B4543" s="152" t="s">
        <v>15116</v>
      </c>
      <c r="C4543" s="160" t="s">
        <v>16630</v>
      </c>
      <c r="D4543" s="160">
        <v>400</v>
      </c>
      <c r="E4543" s="161">
        <f t="shared" si="163"/>
        <v>40000</v>
      </c>
    </row>
    <row r="4544" ht="16.5" spans="1:5">
      <c r="A4544" s="151">
        <v>4543</v>
      </c>
      <c r="B4544" s="152" t="s">
        <v>15119</v>
      </c>
      <c r="C4544" s="160" t="s">
        <v>16630</v>
      </c>
      <c r="D4544" s="160">
        <v>100</v>
      </c>
      <c r="E4544" s="161">
        <f t="shared" si="163"/>
        <v>10000</v>
      </c>
    </row>
    <row r="4545" ht="16.5" spans="1:5">
      <c r="A4545" s="151">
        <v>4544</v>
      </c>
      <c r="B4545" s="152" t="s">
        <v>15122</v>
      </c>
      <c r="C4545" s="160" t="s">
        <v>16630</v>
      </c>
      <c r="D4545" s="160">
        <v>510</v>
      </c>
      <c r="E4545" s="161">
        <f t="shared" si="163"/>
        <v>51000</v>
      </c>
    </row>
    <row r="4546" ht="16.5" spans="1:5">
      <c r="A4546" s="151">
        <v>4545</v>
      </c>
      <c r="B4546" s="152" t="s">
        <v>15125</v>
      </c>
      <c r="C4546" s="160" t="s">
        <v>16630</v>
      </c>
      <c r="D4546" s="160">
        <v>10</v>
      </c>
      <c r="E4546" s="161">
        <f t="shared" si="163"/>
        <v>1000</v>
      </c>
    </row>
    <row r="4547" ht="16.5" spans="1:5">
      <c r="A4547" s="151">
        <v>4546</v>
      </c>
      <c r="B4547" s="152" t="s">
        <v>15130</v>
      </c>
      <c r="C4547" s="160" t="s">
        <v>16630</v>
      </c>
      <c r="D4547" s="160">
        <v>100</v>
      </c>
      <c r="E4547" s="161">
        <f t="shared" si="163"/>
        <v>10000</v>
      </c>
    </row>
    <row r="4548" ht="16.5" spans="1:5">
      <c r="A4548" s="151">
        <v>4547</v>
      </c>
      <c r="B4548" s="152" t="s">
        <v>15133</v>
      </c>
      <c r="C4548" s="160" t="s">
        <v>16630</v>
      </c>
      <c r="D4548" s="165">
        <v>100</v>
      </c>
      <c r="E4548" s="161">
        <f t="shared" si="163"/>
        <v>10000</v>
      </c>
    </row>
    <row r="4549" ht="16.5" spans="1:5">
      <c r="A4549" s="151">
        <v>4548</v>
      </c>
      <c r="B4549" s="152" t="s">
        <v>15136</v>
      </c>
      <c r="C4549" s="160" t="s">
        <v>16630</v>
      </c>
      <c r="D4549" s="160">
        <v>30</v>
      </c>
      <c r="E4549" s="161">
        <f t="shared" si="163"/>
        <v>3000</v>
      </c>
    </row>
    <row r="4550" ht="16.5" spans="1:5">
      <c r="A4550" s="151">
        <v>4549</v>
      </c>
      <c r="B4550" s="152" t="s">
        <v>15136</v>
      </c>
      <c r="C4550" s="162" t="s">
        <v>16631</v>
      </c>
      <c r="D4550" s="169">
        <v>1000</v>
      </c>
      <c r="E4550" s="170">
        <f>D4550*100</f>
        <v>100000</v>
      </c>
    </row>
    <row r="4551" ht="16.5" spans="1:5">
      <c r="A4551" s="151">
        <v>4550</v>
      </c>
      <c r="B4551" s="152" t="s">
        <v>15140</v>
      </c>
      <c r="C4551" s="160" t="s">
        <v>16630</v>
      </c>
      <c r="D4551" s="41">
        <v>10</v>
      </c>
      <c r="E4551" s="161">
        <f>SUM(D4551*100)</f>
        <v>1000</v>
      </c>
    </row>
    <row r="4552" ht="16.5" spans="1:5">
      <c r="A4552" s="151">
        <v>4551</v>
      </c>
      <c r="B4552" s="152" t="s">
        <v>15143</v>
      </c>
      <c r="C4552" s="166" t="s">
        <v>16632</v>
      </c>
      <c r="D4552" s="151">
        <f>IFERROR(__xludf.DUMMYFUNCTION("""COMPUTED_VALUE"""),10000)</f>
        <v>10000</v>
      </c>
      <c r="E4552" s="167">
        <f>IFERROR(__xludf.DUMMYFUNCTION("""COMPUTED_VALUE"""),1500000)</f>
        <v>1500000</v>
      </c>
    </row>
    <row r="4553" ht="16.5" spans="1:5">
      <c r="A4553" s="151">
        <v>4552</v>
      </c>
      <c r="B4553" s="152" t="s">
        <v>15144</v>
      </c>
      <c r="C4553" s="160" t="s">
        <v>16630</v>
      </c>
      <c r="D4553" s="160">
        <v>150</v>
      </c>
      <c r="E4553" s="161">
        <f t="shared" ref="E4553:E4560" si="164">SUM(D4553*100)</f>
        <v>15000</v>
      </c>
    </row>
    <row r="4554" ht="16.5" spans="1:5">
      <c r="A4554" s="151">
        <v>4553</v>
      </c>
      <c r="B4554" s="152" t="s">
        <v>15148</v>
      </c>
      <c r="C4554" s="160" t="s">
        <v>16630</v>
      </c>
      <c r="D4554" s="160">
        <v>70</v>
      </c>
      <c r="E4554" s="161">
        <f t="shared" si="164"/>
        <v>7000</v>
      </c>
    </row>
    <row r="4555" ht="16.5" spans="1:5">
      <c r="A4555" s="151">
        <v>4554</v>
      </c>
      <c r="B4555" s="152" t="s">
        <v>15151</v>
      </c>
      <c r="C4555" s="160" t="s">
        <v>16630</v>
      </c>
      <c r="D4555" s="41">
        <v>10</v>
      </c>
      <c r="E4555" s="161">
        <f t="shared" si="164"/>
        <v>1000</v>
      </c>
    </row>
    <row r="4556" ht="16.5" spans="1:5">
      <c r="A4556" s="151">
        <v>4555</v>
      </c>
      <c r="B4556" s="152" t="s">
        <v>15154</v>
      </c>
      <c r="C4556" s="160" t="s">
        <v>16630</v>
      </c>
      <c r="D4556" s="160">
        <v>20</v>
      </c>
      <c r="E4556" s="161">
        <f t="shared" si="164"/>
        <v>2000</v>
      </c>
    </row>
    <row r="4557" ht="16.5" spans="1:5">
      <c r="A4557" s="151">
        <v>4556</v>
      </c>
      <c r="B4557" s="152" t="s">
        <v>15158</v>
      </c>
      <c r="C4557" s="160" t="s">
        <v>16630</v>
      </c>
      <c r="D4557" s="160">
        <v>100</v>
      </c>
      <c r="E4557" s="161">
        <f t="shared" si="164"/>
        <v>10000</v>
      </c>
    </row>
    <row r="4558" ht="16.5" spans="1:5">
      <c r="A4558" s="151">
        <v>4557</v>
      </c>
      <c r="B4558" s="152" t="s">
        <v>15162</v>
      </c>
      <c r="C4558" s="160" t="s">
        <v>16630</v>
      </c>
      <c r="D4558" s="160">
        <v>20</v>
      </c>
      <c r="E4558" s="161">
        <f t="shared" si="164"/>
        <v>2000</v>
      </c>
    </row>
    <row r="4559" ht="16.5" spans="1:5">
      <c r="A4559" s="151">
        <v>4558</v>
      </c>
      <c r="B4559" s="152" t="s">
        <v>15165</v>
      </c>
      <c r="C4559" s="160" t="s">
        <v>16630</v>
      </c>
      <c r="D4559" s="160">
        <v>200</v>
      </c>
      <c r="E4559" s="161">
        <f t="shared" si="164"/>
        <v>20000</v>
      </c>
    </row>
    <row r="4560" ht="16.5" spans="1:5">
      <c r="A4560" s="151">
        <v>4559</v>
      </c>
      <c r="B4560" s="152" t="s">
        <v>15169</v>
      </c>
      <c r="C4560" s="160" t="s">
        <v>16630</v>
      </c>
      <c r="D4560" s="160">
        <v>10</v>
      </c>
      <c r="E4560" s="161">
        <f t="shared" si="164"/>
        <v>1000</v>
      </c>
    </row>
    <row r="4561" ht="16.5" spans="1:5">
      <c r="A4561" s="151">
        <v>4560</v>
      </c>
      <c r="B4561" s="152" t="s">
        <v>15172</v>
      </c>
      <c r="C4561" s="162" t="s">
        <v>16631</v>
      </c>
      <c r="D4561" s="163">
        <v>1000</v>
      </c>
      <c r="E4561" s="163">
        <f>D4561*100</f>
        <v>100000</v>
      </c>
    </row>
    <row r="4562" ht="16.5" spans="1:5">
      <c r="A4562" s="151">
        <v>4561</v>
      </c>
      <c r="B4562" s="152" t="s">
        <v>15172</v>
      </c>
      <c r="C4562" s="162" t="s">
        <v>16633</v>
      </c>
      <c r="D4562" s="171">
        <f>G4562/100</f>
        <v>0</v>
      </c>
      <c r="E4562" s="171">
        <f>G4562</f>
        <v>0</v>
      </c>
    </row>
    <row r="4563" ht="16.5" spans="1:5">
      <c r="A4563" s="151">
        <v>4562</v>
      </c>
      <c r="B4563" s="152" t="s">
        <v>15176</v>
      </c>
      <c r="C4563" s="166" t="s">
        <v>16632</v>
      </c>
      <c r="D4563" s="151">
        <f>IFERROR(__xludf.DUMMYFUNCTION("""COMPUTED_VALUE"""),10000)</f>
        <v>10000</v>
      </c>
      <c r="E4563" s="167">
        <f>IFERROR(__xludf.DUMMYFUNCTION("""COMPUTED_VALUE"""),1500000)</f>
        <v>1500000</v>
      </c>
    </row>
    <row r="4564" ht="16.5" spans="1:5">
      <c r="A4564" s="151">
        <v>4563</v>
      </c>
      <c r="B4564" s="152" t="s">
        <v>15177</v>
      </c>
      <c r="C4564" s="153" t="s">
        <v>16629</v>
      </c>
      <c r="D4564" s="158">
        <v>10</v>
      </c>
      <c r="E4564" s="155">
        <f>+D4564*100</f>
        <v>1000</v>
      </c>
    </row>
    <row r="4565" ht="16.5" spans="1:5">
      <c r="A4565" s="151">
        <v>4564</v>
      </c>
      <c r="B4565" s="152" t="s">
        <v>15180</v>
      </c>
      <c r="C4565" s="156" t="s">
        <v>16629</v>
      </c>
      <c r="D4565" s="159">
        <v>10</v>
      </c>
      <c r="E4565" s="155">
        <f>+D4565*100</f>
        <v>1000</v>
      </c>
    </row>
    <row r="4566" ht="16.5" spans="1:5">
      <c r="A4566" s="151">
        <v>4565</v>
      </c>
      <c r="B4566" s="152" t="s">
        <v>15184</v>
      </c>
      <c r="C4566" s="156" t="s">
        <v>16629</v>
      </c>
      <c r="D4566" s="159">
        <v>10</v>
      </c>
      <c r="E4566" s="155">
        <f>+D4566*100</f>
        <v>1000</v>
      </c>
    </row>
    <row r="4567" ht="16.5" spans="1:5">
      <c r="A4567" s="151">
        <v>4566</v>
      </c>
      <c r="B4567" s="152" t="s">
        <v>15187</v>
      </c>
      <c r="C4567" s="156" t="s">
        <v>16629</v>
      </c>
      <c r="D4567" s="159">
        <v>10</v>
      </c>
      <c r="E4567" s="155">
        <f>+D4567*100</f>
        <v>1000</v>
      </c>
    </row>
    <row r="4568" ht="16.5" spans="1:5">
      <c r="A4568" s="151">
        <v>4567</v>
      </c>
      <c r="B4568" s="152" t="s">
        <v>15190</v>
      </c>
      <c r="C4568" s="160" t="s">
        <v>16630</v>
      </c>
      <c r="D4568" s="160">
        <v>30</v>
      </c>
      <c r="E4568" s="161">
        <f>SUM(D4568*100)</f>
        <v>3000</v>
      </c>
    </row>
    <row r="4569" ht="16.5" spans="1:5">
      <c r="A4569" s="151">
        <v>4568</v>
      </c>
      <c r="B4569" s="152" t="s">
        <v>15195</v>
      </c>
      <c r="C4569" s="156" t="s">
        <v>16629</v>
      </c>
      <c r="D4569" s="157">
        <v>10</v>
      </c>
      <c r="E4569" s="155">
        <f>+D4569*100</f>
        <v>1000</v>
      </c>
    </row>
    <row r="4570" ht="16.5" spans="1:5">
      <c r="A4570" s="151">
        <v>4569</v>
      </c>
      <c r="B4570" s="152" t="s">
        <v>15198</v>
      </c>
      <c r="C4570" s="160" t="s">
        <v>16630</v>
      </c>
      <c r="D4570" s="165">
        <v>10</v>
      </c>
      <c r="E4570" s="161">
        <f>SUM(D4570*100)</f>
        <v>1000</v>
      </c>
    </row>
    <row r="4571" ht="16.5" spans="1:5">
      <c r="A4571" s="151">
        <v>4570</v>
      </c>
      <c r="B4571" s="152" t="s">
        <v>15201</v>
      </c>
      <c r="C4571" s="160" t="s">
        <v>16630</v>
      </c>
      <c r="D4571" s="160">
        <v>10</v>
      </c>
      <c r="E4571" s="161">
        <f>SUM(D4571*100)</f>
        <v>1000</v>
      </c>
    </row>
    <row r="4572" ht="16.5" spans="1:5">
      <c r="A4572" s="151">
        <v>4571</v>
      </c>
      <c r="B4572" s="152" t="s">
        <v>15205</v>
      </c>
      <c r="C4572" s="156" t="s">
        <v>16629</v>
      </c>
      <c r="D4572" s="159">
        <v>10</v>
      </c>
      <c r="E4572" s="155">
        <f>+D4572*100</f>
        <v>1000</v>
      </c>
    </row>
    <row r="4573" ht="16.5" spans="1:5">
      <c r="A4573" s="151">
        <v>4572</v>
      </c>
      <c r="B4573" s="152" t="s">
        <v>15208</v>
      </c>
      <c r="C4573" s="160" t="s">
        <v>16630</v>
      </c>
      <c r="D4573" s="160">
        <v>50</v>
      </c>
      <c r="E4573" s="161">
        <f>SUM(D4573*100)</f>
        <v>5000</v>
      </c>
    </row>
    <row r="4574" ht="16.5" spans="1:5">
      <c r="A4574" s="151">
        <v>4573</v>
      </c>
      <c r="B4574" s="152" t="s">
        <v>15213</v>
      </c>
      <c r="C4574" s="166" t="s">
        <v>16632</v>
      </c>
      <c r="D4574" s="166">
        <f>IFERROR(__xludf.DUMMYFUNCTION("""COMPUTED_VALUE"""),10000)</f>
        <v>10000</v>
      </c>
      <c r="E4574" s="168">
        <f>IFERROR(__xludf.DUMMYFUNCTION("""COMPUTED_VALUE"""),1500000)</f>
        <v>1500000</v>
      </c>
    </row>
    <row r="4575" ht="16.5" spans="1:5">
      <c r="A4575" s="151">
        <v>4574</v>
      </c>
      <c r="B4575" s="152" t="s">
        <v>15214</v>
      </c>
      <c r="C4575" s="156" t="s">
        <v>16629</v>
      </c>
      <c r="D4575" s="159">
        <v>10</v>
      </c>
      <c r="E4575" s="155">
        <f>+D4575*100</f>
        <v>1000</v>
      </c>
    </row>
    <row r="4576" ht="16.5" spans="1:5">
      <c r="A4576" s="151">
        <v>4575</v>
      </c>
      <c r="B4576" s="152" t="s">
        <v>15217</v>
      </c>
      <c r="C4576" s="153" t="s">
        <v>16629</v>
      </c>
      <c r="D4576" s="154">
        <v>10</v>
      </c>
      <c r="E4576" s="155">
        <f>+D4576*100</f>
        <v>1000</v>
      </c>
    </row>
    <row r="4577" ht="16.5" spans="1:5">
      <c r="A4577" s="151">
        <v>4576</v>
      </c>
      <c r="B4577" s="152" t="s">
        <v>15220</v>
      </c>
      <c r="C4577" s="162" t="s">
        <v>16631</v>
      </c>
      <c r="D4577" s="163">
        <v>1000</v>
      </c>
      <c r="E4577" s="163">
        <f>D4577*100</f>
        <v>100000</v>
      </c>
    </row>
    <row r="4578" ht="16.5" spans="1:5">
      <c r="A4578" s="151">
        <v>4577</v>
      </c>
      <c r="B4578" s="152" t="s">
        <v>15224</v>
      </c>
      <c r="C4578" s="162" t="s">
        <v>16631</v>
      </c>
      <c r="D4578" s="163">
        <v>1000</v>
      </c>
      <c r="E4578" s="163">
        <f>D4578*100</f>
        <v>100000</v>
      </c>
    </row>
    <row r="4579" ht="16.5" spans="1:5">
      <c r="A4579" s="151">
        <v>4578</v>
      </c>
      <c r="B4579" s="152" t="s">
        <v>15228</v>
      </c>
      <c r="C4579" s="153" t="s">
        <v>16629</v>
      </c>
      <c r="D4579" s="158">
        <v>10</v>
      </c>
      <c r="E4579" s="155">
        <f t="shared" ref="E4579:E4593" si="165">+D4579*100</f>
        <v>1000</v>
      </c>
    </row>
    <row r="4580" ht="16.5" spans="1:5">
      <c r="A4580" s="151">
        <v>4579</v>
      </c>
      <c r="B4580" s="152" t="s">
        <v>15232</v>
      </c>
      <c r="C4580" s="156" t="s">
        <v>16629</v>
      </c>
      <c r="D4580" s="159">
        <v>10</v>
      </c>
      <c r="E4580" s="155">
        <f t="shared" si="165"/>
        <v>1000</v>
      </c>
    </row>
    <row r="4581" ht="16.5" spans="1:5">
      <c r="A4581" s="151">
        <v>4580</v>
      </c>
      <c r="B4581" s="152" t="s">
        <v>15236</v>
      </c>
      <c r="C4581" s="156" t="s">
        <v>16629</v>
      </c>
      <c r="D4581" s="159">
        <v>10</v>
      </c>
      <c r="E4581" s="155">
        <f t="shared" si="165"/>
        <v>1000</v>
      </c>
    </row>
    <row r="4582" ht="16.5" spans="1:5">
      <c r="A4582" s="151">
        <v>4581</v>
      </c>
      <c r="B4582" s="152" t="s">
        <v>15240</v>
      </c>
      <c r="C4582" s="156" t="s">
        <v>16629</v>
      </c>
      <c r="D4582" s="159">
        <v>10</v>
      </c>
      <c r="E4582" s="155">
        <f t="shared" si="165"/>
        <v>1000</v>
      </c>
    </row>
    <row r="4583" ht="16.5" spans="1:5">
      <c r="A4583" s="151">
        <v>4582</v>
      </c>
      <c r="B4583" s="152" t="s">
        <v>15244</v>
      </c>
      <c r="C4583" s="153" t="s">
        <v>16629</v>
      </c>
      <c r="D4583" s="154">
        <v>10</v>
      </c>
      <c r="E4583" s="155">
        <f t="shared" si="165"/>
        <v>1000</v>
      </c>
    </row>
    <row r="4584" ht="16.5" spans="1:5">
      <c r="A4584" s="151">
        <v>4583</v>
      </c>
      <c r="B4584" s="152" t="s">
        <v>15247</v>
      </c>
      <c r="C4584" s="156" t="s">
        <v>16629</v>
      </c>
      <c r="D4584" s="154">
        <v>10</v>
      </c>
      <c r="E4584" s="155">
        <f t="shared" si="165"/>
        <v>1000</v>
      </c>
    </row>
    <row r="4585" ht="16.5" spans="1:5">
      <c r="A4585" s="151">
        <v>4584</v>
      </c>
      <c r="B4585" s="152" t="s">
        <v>15250</v>
      </c>
      <c r="C4585" s="153" t="s">
        <v>16629</v>
      </c>
      <c r="D4585" s="154">
        <v>10</v>
      </c>
      <c r="E4585" s="155">
        <f t="shared" si="165"/>
        <v>1000</v>
      </c>
    </row>
    <row r="4586" ht="16.5" spans="1:5">
      <c r="A4586" s="151">
        <v>4585</v>
      </c>
      <c r="B4586" s="152" t="s">
        <v>15253</v>
      </c>
      <c r="C4586" s="156" t="s">
        <v>16629</v>
      </c>
      <c r="D4586" s="159">
        <v>10</v>
      </c>
      <c r="E4586" s="155">
        <f t="shared" si="165"/>
        <v>1000</v>
      </c>
    </row>
    <row r="4587" ht="16.5" spans="1:5">
      <c r="A4587" s="151">
        <v>4586</v>
      </c>
      <c r="B4587" s="152" t="s">
        <v>15257</v>
      </c>
      <c r="C4587" s="153" t="s">
        <v>16629</v>
      </c>
      <c r="D4587" s="154">
        <v>10</v>
      </c>
      <c r="E4587" s="155">
        <f t="shared" si="165"/>
        <v>1000</v>
      </c>
    </row>
    <row r="4588" ht="16.5" spans="1:5">
      <c r="A4588" s="151">
        <v>4587</v>
      </c>
      <c r="B4588" s="152" t="s">
        <v>15260</v>
      </c>
      <c r="C4588" s="153" t="s">
        <v>16629</v>
      </c>
      <c r="D4588" s="154">
        <v>10</v>
      </c>
      <c r="E4588" s="155">
        <f t="shared" si="165"/>
        <v>1000</v>
      </c>
    </row>
    <row r="4589" ht="16.5" spans="1:5">
      <c r="A4589" s="151">
        <v>4588</v>
      </c>
      <c r="B4589" s="152" t="s">
        <v>15264</v>
      </c>
      <c r="C4589" s="156" t="s">
        <v>16629</v>
      </c>
      <c r="D4589" s="159">
        <v>10</v>
      </c>
      <c r="E4589" s="155">
        <f t="shared" si="165"/>
        <v>1000</v>
      </c>
    </row>
    <row r="4590" ht="16.5" spans="1:5">
      <c r="A4590" s="151">
        <v>4589</v>
      </c>
      <c r="B4590" s="152" t="s">
        <v>15267</v>
      </c>
      <c r="C4590" s="153" t="s">
        <v>16629</v>
      </c>
      <c r="D4590" s="154">
        <v>10</v>
      </c>
      <c r="E4590" s="155">
        <f t="shared" si="165"/>
        <v>1000</v>
      </c>
    </row>
    <row r="4591" ht="16.5" spans="1:5">
      <c r="A4591" s="151">
        <v>4590</v>
      </c>
      <c r="B4591" s="152" t="s">
        <v>15270</v>
      </c>
      <c r="C4591" s="153" t="s">
        <v>16629</v>
      </c>
      <c r="D4591" s="154">
        <v>10</v>
      </c>
      <c r="E4591" s="155">
        <f t="shared" si="165"/>
        <v>1000</v>
      </c>
    </row>
    <row r="4592" ht="16.5" spans="1:5">
      <c r="A4592" s="151">
        <v>4591</v>
      </c>
      <c r="B4592" s="152" t="s">
        <v>15274</v>
      </c>
      <c r="C4592" s="156" t="s">
        <v>16629</v>
      </c>
      <c r="D4592" s="159">
        <v>10</v>
      </c>
      <c r="E4592" s="155">
        <f t="shared" si="165"/>
        <v>1000</v>
      </c>
    </row>
    <row r="4593" ht="16.5" spans="1:5">
      <c r="A4593" s="151">
        <v>4592</v>
      </c>
      <c r="B4593" s="152" t="s">
        <v>15278</v>
      </c>
      <c r="C4593" s="156" t="s">
        <v>16629</v>
      </c>
      <c r="D4593" s="159">
        <v>10</v>
      </c>
      <c r="E4593" s="155">
        <f t="shared" si="165"/>
        <v>1000</v>
      </c>
    </row>
    <row r="4594" ht="16.5" spans="1:5">
      <c r="A4594" s="151">
        <v>4593</v>
      </c>
      <c r="B4594" s="152" t="s">
        <v>15282</v>
      </c>
      <c r="C4594" s="160" t="s">
        <v>16630</v>
      </c>
      <c r="D4594" s="160">
        <v>1000</v>
      </c>
      <c r="E4594" s="161">
        <f>SUM(D4594*100)</f>
        <v>100000</v>
      </c>
    </row>
    <row r="4595" ht="16.5" spans="1:5">
      <c r="A4595" s="151">
        <v>4594</v>
      </c>
      <c r="B4595" s="152" t="s">
        <v>15286</v>
      </c>
      <c r="C4595" s="156" t="s">
        <v>16629</v>
      </c>
      <c r="D4595" s="157">
        <v>10</v>
      </c>
      <c r="E4595" s="155">
        <f>+D4595*100</f>
        <v>1000</v>
      </c>
    </row>
    <row r="4596" ht="16.5" spans="1:5">
      <c r="A4596" s="151">
        <v>4595</v>
      </c>
      <c r="B4596" s="152" t="s">
        <v>15289</v>
      </c>
      <c r="C4596" s="156" t="s">
        <v>16629</v>
      </c>
      <c r="D4596" s="157">
        <v>10</v>
      </c>
      <c r="E4596" s="155">
        <f>+D4596*100</f>
        <v>1000</v>
      </c>
    </row>
    <row r="4597" ht="16.5" spans="1:5">
      <c r="A4597" s="151">
        <v>4596</v>
      </c>
      <c r="B4597" s="152" t="s">
        <v>15292</v>
      </c>
      <c r="C4597" s="153" t="s">
        <v>16629</v>
      </c>
      <c r="D4597" s="154">
        <v>10</v>
      </c>
      <c r="E4597" s="155">
        <f>+D4597*100</f>
        <v>1000</v>
      </c>
    </row>
    <row r="4598" ht="16.5" spans="1:5">
      <c r="A4598" s="151">
        <v>4597</v>
      </c>
      <c r="B4598" s="152" t="s">
        <v>15295</v>
      </c>
      <c r="C4598" s="156" t="s">
        <v>16629</v>
      </c>
      <c r="D4598" s="157">
        <v>10</v>
      </c>
      <c r="E4598" s="155">
        <f>+D4598*100</f>
        <v>1000</v>
      </c>
    </row>
    <row r="4599" ht="16.5" spans="1:5">
      <c r="A4599" s="151">
        <v>4598</v>
      </c>
      <c r="B4599" s="152" t="s">
        <v>15299</v>
      </c>
      <c r="C4599" s="160" t="s">
        <v>16630</v>
      </c>
      <c r="D4599" s="160">
        <v>200</v>
      </c>
      <c r="E4599" s="161">
        <f>SUM(D4599*100)</f>
        <v>20000</v>
      </c>
    </row>
    <row r="4600" ht="16.5" spans="1:5">
      <c r="A4600" s="151">
        <v>4599</v>
      </c>
      <c r="B4600" s="152" t="s">
        <v>15299</v>
      </c>
      <c r="C4600" s="162" t="s">
        <v>16631</v>
      </c>
      <c r="D4600" s="163">
        <v>1000</v>
      </c>
      <c r="E4600" s="163">
        <f>D4600*100</f>
        <v>100000</v>
      </c>
    </row>
    <row r="4601" ht="16.5" spans="1:5">
      <c r="A4601" s="151">
        <v>4600</v>
      </c>
      <c r="B4601" s="152" t="s">
        <v>15302</v>
      </c>
      <c r="C4601" s="156" t="s">
        <v>16629</v>
      </c>
      <c r="D4601" s="157">
        <v>10</v>
      </c>
      <c r="E4601" s="155">
        <f>+D4601*100</f>
        <v>1000</v>
      </c>
    </row>
    <row r="4602" ht="16.5" spans="1:5">
      <c r="A4602" s="151">
        <v>4601</v>
      </c>
      <c r="B4602" s="152" t="s">
        <v>15305</v>
      </c>
      <c r="C4602" s="153" t="s">
        <v>16629</v>
      </c>
      <c r="D4602" s="158">
        <v>10</v>
      </c>
      <c r="E4602" s="155">
        <f>+D4602*100</f>
        <v>1000</v>
      </c>
    </row>
    <row r="4603" ht="16.5" spans="1:5">
      <c r="A4603" s="151">
        <v>4602</v>
      </c>
      <c r="B4603" s="152" t="s">
        <v>15308</v>
      </c>
      <c r="C4603" s="160" t="s">
        <v>16630</v>
      </c>
      <c r="D4603" s="160">
        <v>20</v>
      </c>
      <c r="E4603" s="161">
        <f>SUM(D4603*100)</f>
        <v>2000</v>
      </c>
    </row>
    <row r="4604" ht="16.5" spans="1:5">
      <c r="A4604" s="151">
        <v>4603</v>
      </c>
      <c r="B4604" s="152" t="s">
        <v>15311</v>
      </c>
      <c r="C4604" s="160" t="s">
        <v>16630</v>
      </c>
      <c r="D4604" s="175">
        <v>525</v>
      </c>
      <c r="E4604" s="161">
        <f>SUM(D4604*100)</f>
        <v>52500</v>
      </c>
    </row>
    <row r="4605" ht="16.5" spans="1:5">
      <c r="A4605" s="151">
        <v>4604</v>
      </c>
      <c r="B4605" s="152" t="s">
        <v>15314</v>
      </c>
      <c r="C4605" s="166" t="s">
        <v>16632</v>
      </c>
      <c r="D4605" s="166">
        <f>IFERROR(__xludf.DUMMYFUNCTION("""COMPUTED_VALUE"""),15000)</f>
        <v>15000</v>
      </c>
      <c r="E4605" s="168">
        <f>IFERROR(__xludf.DUMMYFUNCTION("""COMPUTED_VALUE"""),1500000)</f>
        <v>1500000</v>
      </c>
    </row>
    <row r="4606" ht="16.5" spans="1:5">
      <c r="A4606" s="151">
        <v>4605</v>
      </c>
      <c r="B4606" s="152" t="s">
        <v>15315</v>
      </c>
      <c r="C4606" s="156" t="s">
        <v>16629</v>
      </c>
      <c r="D4606" s="157">
        <v>10</v>
      </c>
      <c r="E4606" s="155">
        <f>+D4606*100</f>
        <v>1000</v>
      </c>
    </row>
    <row r="4607" ht="16.5" spans="1:5">
      <c r="A4607" s="151">
        <v>4606</v>
      </c>
      <c r="B4607" s="152" t="s">
        <v>15318</v>
      </c>
      <c r="C4607" s="160" t="s">
        <v>16630</v>
      </c>
      <c r="D4607" s="160">
        <v>20</v>
      </c>
      <c r="E4607" s="161">
        <f>SUM(D4607*100)</f>
        <v>2000</v>
      </c>
    </row>
    <row r="4608" ht="16.5" spans="1:5">
      <c r="A4608" s="151">
        <v>4607</v>
      </c>
      <c r="B4608" s="152" t="s">
        <v>15322</v>
      </c>
      <c r="C4608" s="160" t="s">
        <v>16630</v>
      </c>
      <c r="D4608" s="164">
        <v>100</v>
      </c>
      <c r="E4608" s="161">
        <f>SUM(D4608*100)</f>
        <v>10000</v>
      </c>
    </row>
    <row r="4609" ht="16.5" spans="1:5">
      <c r="A4609" s="151">
        <v>4608</v>
      </c>
      <c r="B4609" s="152" t="s">
        <v>15325</v>
      </c>
      <c r="C4609" s="153" t="s">
        <v>16629</v>
      </c>
      <c r="D4609" s="154">
        <v>10</v>
      </c>
      <c r="E4609" s="155">
        <f t="shared" ref="E4609:E4616" si="166">+D4609*100</f>
        <v>1000</v>
      </c>
    </row>
    <row r="4610" ht="16.5" spans="1:5">
      <c r="A4610" s="151">
        <v>4609</v>
      </c>
      <c r="B4610" s="152" t="s">
        <v>15328</v>
      </c>
      <c r="C4610" s="153" t="s">
        <v>16629</v>
      </c>
      <c r="D4610" s="154">
        <v>20</v>
      </c>
      <c r="E4610" s="155">
        <f t="shared" si="166"/>
        <v>2000</v>
      </c>
    </row>
    <row r="4611" ht="16.5" spans="1:5">
      <c r="A4611" s="151">
        <v>4610</v>
      </c>
      <c r="B4611" s="152" t="s">
        <v>15331</v>
      </c>
      <c r="C4611" s="156" t="s">
        <v>16629</v>
      </c>
      <c r="D4611" s="157">
        <v>10</v>
      </c>
      <c r="E4611" s="155">
        <f t="shared" si="166"/>
        <v>1000</v>
      </c>
    </row>
    <row r="4612" ht="16.5" spans="1:5">
      <c r="A4612" s="151">
        <v>4611</v>
      </c>
      <c r="B4612" s="152" t="s">
        <v>15334</v>
      </c>
      <c r="C4612" s="156" t="s">
        <v>16629</v>
      </c>
      <c r="D4612" s="157">
        <v>10</v>
      </c>
      <c r="E4612" s="155">
        <f t="shared" si="166"/>
        <v>1000</v>
      </c>
    </row>
    <row r="4613" ht="16.5" spans="1:5">
      <c r="A4613" s="151">
        <v>4612</v>
      </c>
      <c r="B4613" s="152" t="s">
        <v>15338</v>
      </c>
      <c r="C4613" s="153" t="s">
        <v>16629</v>
      </c>
      <c r="D4613" s="154">
        <v>10</v>
      </c>
      <c r="E4613" s="155">
        <f t="shared" si="166"/>
        <v>1000</v>
      </c>
    </row>
    <row r="4614" ht="16.5" spans="1:5">
      <c r="A4614" s="151">
        <v>4613</v>
      </c>
      <c r="B4614" s="152" t="s">
        <v>15342</v>
      </c>
      <c r="C4614" s="153" t="s">
        <v>16629</v>
      </c>
      <c r="D4614" s="158">
        <v>10</v>
      </c>
      <c r="E4614" s="155">
        <f t="shared" si="166"/>
        <v>1000</v>
      </c>
    </row>
    <row r="4615" ht="16.5" spans="1:5">
      <c r="A4615" s="151">
        <v>4614</v>
      </c>
      <c r="B4615" s="152" t="s">
        <v>15346</v>
      </c>
      <c r="C4615" s="156" t="s">
        <v>16629</v>
      </c>
      <c r="D4615" s="159">
        <v>10</v>
      </c>
      <c r="E4615" s="155">
        <f t="shared" si="166"/>
        <v>1000</v>
      </c>
    </row>
    <row r="4616" ht="16.5" spans="1:5">
      <c r="A4616" s="151">
        <v>4615</v>
      </c>
      <c r="B4616" s="152" t="s">
        <v>15349</v>
      </c>
      <c r="C4616" s="153" t="s">
        <v>16629</v>
      </c>
      <c r="D4616" s="158">
        <v>10</v>
      </c>
      <c r="E4616" s="155">
        <f t="shared" si="166"/>
        <v>1000</v>
      </c>
    </row>
    <row r="4617" ht="16.5" spans="1:5">
      <c r="A4617" s="151">
        <v>4616</v>
      </c>
      <c r="B4617" s="152" t="s">
        <v>15353</v>
      </c>
      <c r="C4617" s="166" t="s">
        <v>16632</v>
      </c>
      <c r="D4617" s="166">
        <f>IFERROR(__xludf.DUMMYFUNCTION("""COMPUTED_VALUE"""),10000)</f>
        <v>10000</v>
      </c>
      <c r="E4617" s="168">
        <f>IFERROR(__xludf.DUMMYFUNCTION("""COMPUTED_VALUE"""),1500000)</f>
        <v>1500000</v>
      </c>
    </row>
    <row r="4618" ht="16.5" spans="1:5">
      <c r="A4618" s="151">
        <v>4617</v>
      </c>
      <c r="B4618" s="152" t="s">
        <v>15354</v>
      </c>
      <c r="C4618" s="153" t="s">
        <v>16629</v>
      </c>
      <c r="D4618" s="154">
        <v>10</v>
      </c>
      <c r="E4618" s="155">
        <f>+D4618*100</f>
        <v>1000</v>
      </c>
    </row>
    <row r="4619" ht="16.5" spans="1:5">
      <c r="A4619" s="151">
        <v>4618</v>
      </c>
      <c r="B4619" s="152" t="s">
        <v>15358</v>
      </c>
      <c r="C4619" s="153" t="s">
        <v>16629</v>
      </c>
      <c r="D4619" s="154">
        <v>10</v>
      </c>
      <c r="E4619" s="155">
        <f>+D4619*100</f>
        <v>1000</v>
      </c>
    </row>
    <row r="4620" ht="16.5" spans="1:5">
      <c r="A4620" s="151">
        <v>4619</v>
      </c>
      <c r="B4620" s="152" t="s">
        <v>15361</v>
      </c>
      <c r="C4620" s="160" t="s">
        <v>16630</v>
      </c>
      <c r="D4620" s="160">
        <v>10</v>
      </c>
      <c r="E4620" s="161">
        <f>SUM(D4620*100)</f>
        <v>1000</v>
      </c>
    </row>
    <row r="4621" ht="16.5" spans="1:5">
      <c r="A4621" s="151">
        <v>4620</v>
      </c>
      <c r="B4621" s="152" t="s">
        <v>15365</v>
      </c>
      <c r="C4621" s="162" t="s">
        <v>16631</v>
      </c>
      <c r="D4621" s="163">
        <v>1000</v>
      </c>
      <c r="E4621" s="163">
        <f>D4621*100</f>
        <v>100000</v>
      </c>
    </row>
    <row r="4622" ht="16.5" spans="1:5">
      <c r="A4622" s="151">
        <v>4621</v>
      </c>
      <c r="B4622" s="152" t="s">
        <v>15369</v>
      </c>
      <c r="C4622" s="162" t="s">
        <v>16631</v>
      </c>
      <c r="D4622" s="163">
        <v>2000</v>
      </c>
      <c r="E4622" s="163">
        <f>D4622*100</f>
        <v>200000</v>
      </c>
    </row>
    <row r="4623" ht="16.5" spans="1:5">
      <c r="A4623" s="151">
        <v>4622</v>
      </c>
      <c r="B4623" s="152" t="s">
        <v>15374</v>
      </c>
      <c r="C4623" s="160" t="s">
        <v>16630</v>
      </c>
      <c r="D4623" s="41">
        <v>100</v>
      </c>
      <c r="E4623" s="161">
        <f>SUM(D4623*100)</f>
        <v>10000</v>
      </c>
    </row>
    <row r="4624" ht="16.5" spans="1:5">
      <c r="A4624" s="151">
        <v>4623</v>
      </c>
      <c r="B4624" s="152" t="s">
        <v>15377</v>
      </c>
      <c r="C4624" s="166" t="s">
        <v>16632</v>
      </c>
      <c r="D4624" s="151">
        <f>IFERROR(__xludf.DUMMYFUNCTION("""COMPUTED_VALUE"""),10000)</f>
        <v>10000</v>
      </c>
      <c r="E4624" s="167">
        <f>IFERROR(__xludf.DUMMYFUNCTION("""COMPUTED_VALUE"""),1500000)</f>
        <v>1500000</v>
      </c>
    </row>
    <row r="4625" ht="16.5" spans="1:5">
      <c r="A4625" s="151">
        <v>4624</v>
      </c>
      <c r="B4625" s="152" t="s">
        <v>15378</v>
      </c>
      <c r="C4625" s="160" t="s">
        <v>16630</v>
      </c>
      <c r="D4625" s="165">
        <v>100</v>
      </c>
      <c r="E4625" s="161">
        <f>SUM(D4625*100)</f>
        <v>10000</v>
      </c>
    </row>
    <row r="4626" ht="16.5" spans="1:5">
      <c r="A4626" s="151">
        <v>4625</v>
      </c>
      <c r="B4626" s="152" t="s">
        <v>15381</v>
      </c>
      <c r="C4626" s="160" t="s">
        <v>16630</v>
      </c>
      <c r="D4626" s="160">
        <v>100</v>
      </c>
      <c r="E4626" s="161">
        <f>SUM(D4626*100)</f>
        <v>10000</v>
      </c>
    </row>
    <row r="4627" ht="16.5" spans="1:5">
      <c r="A4627" s="151">
        <v>4626</v>
      </c>
      <c r="B4627" s="152" t="s">
        <v>15385</v>
      </c>
      <c r="C4627" s="166" t="s">
        <v>16632</v>
      </c>
      <c r="D4627" s="166">
        <f>IFERROR(__xludf.DUMMYFUNCTION("""COMPUTED_VALUE"""),10000)</f>
        <v>10000</v>
      </c>
      <c r="E4627" s="168">
        <f>IFERROR(__xludf.DUMMYFUNCTION("""COMPUTED_VALUE"""),1500000)</f>
        <v>1500000</v>
      </c>
    </row>
    <row r="4628" ht="16.5" spans="1:5">
      <c r="A4628" s="151">
        <v>4627</v>
      </c>
      <c r="B4628" s="152" t="s">
        <v>15386</v>
      </c>
      <c r="C4628" s="162" t="s">
        <v>16631</v>
      </c>
      <c r="D4628" s="163">
        <v>1000</v>
      </c>
      <c r="E4628" s="163">
        <f>D4628*100</f>
        <v>100000</v>
      </c>
    </row>
    <row r="4629" ht="16.5" spans="1:5">
      <c r="A4629" s="151">
        <v>4628</v>
      </c>
      <c r="B4629" s="152" t="s">
        <v>15391</v>
      </c>
      <c r="C4629" s="166" t="s">
        <v>16632</v>
      </c>
      <c r="D4629" s="181">
        <v>15000</v>
      </c>
      <c r="E4629" s="45">
        <v>3500000</v>
      </c>
    </row>
    <row r="4630" ht="16.5" spans="1:5">
      <c r="A4630" s="151">
        <v>4629</v>
      </c>
      <c r="B4630" s="152" t="s">
        <v>15391</v>
      </c>
      <c r="C4630" s="162" t="s">
        <v>16631</v>
      </c>
      <c r="D4630" s="163">
        <v>1000</v>
      </c>
      <c r="E4630" s="163">
        <f>D4630*100</f>
        <v>100000</v>
      </c>
    </row>
    <row r="4631" ht="16.5" spans="1:5">
      <c r="A4631" s="151">
        <v>4630</v>
      </c>
      <c r="B4631" s="152" t="s">
        <v>15395</v>
      </c>
      <c r="C4631" s="160" t="s">
        <v>16630</v>
      </c>
      <c r="D4631" s="160">
        <v>50</v>
      </c>
      <c r="E4631" s="161">
        <f>SUM(D4631*100)</f>
        <v>5000</v>
      </c>
    </row>
    <row r="4632" ht="16.5" spans="1:5">
      <c r="A4632" s="151">
        <v>4631</v>
      </c>
      <c r="B4632" s="152" t="s">
        <v>15399</v>
      </c>
      <c r="C4632" s="162" t="s">
        <v>16631</v>
      </c>
      <c r="D4632" s="169">
        <v>10000</v>
      </c>
      <c r="E4632" s="170">
        <f>D4632*100</f>
        <v>1000000</v>
      </c>
    </row>
    <row r="4633" ht="16.5" spans="1:5">
      <c r="A4633" s="151">
        <v>4632</v>
      </c>
      <c r="B4633" s="152" t="s">
        <v>15404</v>
      </c>
      <c r="C4633" s="162" t="s">
        <v>16631</v>
      </c>
      <c r="D4633" s="163">
        <v>2000</v>
      </c>
      <c r="E4633" s="163">
        <f>D4633*100</f>
        <v>200000</v>
      </c>
    </row>
    <row r="4634" ht="16.5" spans="1:5">
      <c r="A4634" s="151">
        <v>4633</v>
      </c>
      <c r="B4634" s="152" t="s">
        <v>15408</v>
      </c>
      <c r="C4634" s="160" t="s">
        <v>16630</v>
      </c>
      <c r="D4634" s="160">
        <v>10</v>
      </c>
      <c r="E4634" s="161">
        <f>SUM(D4634*100)</f>
        <v>1000</v>
      </c>
    </row>
    <row r="4635" ht="16.5" spans="1:5">
      <c r="A4635" s="151">
        <v>4634</v>
      </c>
      <c r="B4635" s="152" t="s">
        <v>15412</v>
      </c>
      <c r="C4635" s="160" t="s">
        <v>16630</v>
      </c>
      <c r="D4635" s="41">
        <v>20</v>
      </c>
      <c r="E4635" s="161">
        <f>SUM(D4635*100)</f>
        <v>2000</v>
      </c>
    </row>
    <row r="4636" ht="16.5" spans="1:5">
      <c r="A4636" s="151">
        <v>4635</v>
      </c>
      <c r="B4636" s="152" t="s">
        <v>15415</v>
      </c>
      <c r="C4636" s="160" t="s">
        <v>16630</v>
      </c>
      <c r="D4636" s="160">
        <v>10</v>
      </c>
      <c r="E4636" s="161">
        <f>SUM(D4636*100)</f>
        <v>1000</v>
      </c>
    </row>
    <row r="4637" ht="16.5" spans="1:5">
      <c r="A4637" s="151">
        <v>4636</v>
      </c>
      <c r="B4637" s="152" t="s">
        <v>15419</v>
      </c>
      <c r="C4637" s="162" t="s">
        <v>16631</v>
      </c>
      <c r="D4637" s="163">
        <v>2000</v>
      </c>
      <c r="E4637" s="163">
        <f>D4637*100</f>
        <v>200000</v>
      </c>
    </row>
    <row r="4638" ht="16.5" spans="1:5">
      <c r="A4638" s="151">
        <v>4637</v>
      </c>
      <c r="B4638" s="152" t="s">
        <v>15423</v>
      </c>
      <c r="C4638" s="162" t="s">
        <v>16631</v>
      </c>
      <c r="D4638" s="169">
        <v>1000</v>
      </c>
      <c r="E4638" s="170">
        <f>D4638*100</f>
        <v>100000</v>
      </c>
    </row>
    <row r="4639" ht="16.5" spans="1:5">
      <c r="A4639" s="151">
        <v>4638</v>
      </c>
      <c r="B4639" s="152" t="s">
        <v>15428</v>
      </c>
      <c r="C4639" s="160" t="s">
        <v>16630</v>
      </c>
      <c r="D4639" s="160">
        <v>10</v>
      </c>
      <c r="E4639" s="161">
        <f>SUM(D4639*100)</f>
        <v>1000</v>
      </c>
    </row>
    <row r="4640" ht="16.5" spans="1:5">
      <c r="A4640" s="151">
        <v>4639</v>
      </c>
      <c r="B4640" s="152" t="s">
        <v>15431</v>
      </c>
      <c r="C4640" s="162" t="s">
        <v>16631</v>
      </c>
      <c r="D4640" s="169">
        <v>1000</v>
      </c>
      <c r="E4640" s="170">
        <f>D4640*100</f>
        <v>100000</v>
      </c>
    </row>
    <row r="4641" ht="16.5" spans="1:5">
      <c r="A4641" s="151">
        <v>4640</v>
      </c>
      <c r="B4641" s="152" t="s">
        <v>15436</v>
      </c>
      <c r="C4641" s="166" t="s">
        <v>16632</v>
      </c>
      <c r="D4641" s="166">
        <f>IFERROR(__xludf.DUMMYFUNCTION("""COMPUTED_VALUE"""),10000)</f>
        <v>10000</v>
      </c>
      <c r="E4641" s="168">
        <f>IFERROR(__xludf.DUMMYFUNCTION("""COMPUTED_VALUE"""),1500000)</f>
        <v>1500000</v>
      </c>
    </row>
    <row r="4642" ht="16.5" spans="1:5">
      <c r="A4642" s="151">
        <v>4641</v>
      </c>
      <c r="B4642" s="152" t="s">
        <v>15437</v>
      </c>
      <c r="C4642" s="160" t="s">
        <v>16630</v>
      </c>
      <c r="D4642" s="160">
        <v>600</v>
      </c>
      <c r="E4642" s="161">
        <f>SUM(D4642*100)</f>
        <v>60000</v>
      </c>
    </row>
    <row r="4643" ht="16.5" spans="1:5">
      <c r="A4643" s="151">
        <v>4642</v>
      </c>
      <c r="B4643" s="152" t="s">
        <v>15441</v>
      </c>
      <c r="C4643" s="160" t="s">
        <v>16630</v>
      </c>
      <c r="D4643" s="165">
        <v>2000</v>
      </c>
      <c r="E4643" s="161">
        <f>SUM(D4643*100)</f>
        <v>200000</v>
      </c>
    </row>
    <row r="4644" ht="16.5" spans="1:5">
      <c r="A4644" s="151">
        <v>4643</v>
      </c>
      <c r="B4644" s="152" t="s">
        <v>15444</v>
      </c>
      <c r="C4644" s="160" t="s">
        <v>16630</v>
      </c>
      <c r="D4644" s="172">
        <v>500</v>
      </c>
      <c r="E4644" s="161">
        <f>+D4644*100</f>
        <v>50000</v>
      </c>
    </row>
    <row r="4645" ht="16.5" spans="1:5">
      <c r="A4645" s="151">
        <v>4644</v>
      </c>
      <c r="B4645" s="152" t="s">
        <v>15447</v>
      </c>
      <c r="C4645" s="160" t="s">
        <v>16630</v>
      </c>
      <c r="D4645" s="160">
        <v>50</v>
      </c>
      <c r="E4645" s="161">
        <f>SUM(D4645*100)</f>
        <v>5000</v>
      </c>
    </row>
    <row r="4646" ht="16.5" spans="1:5">
      <c r="A4646" s="151">
        <v>4645</v>
      </c>
      <c r="B4646" s="152" t="s">
        <v>15450</v>
      </c>
      <c r="C4646" s="160" t="s">
        <v>16630</v>
      </c>
      <c r="D4646" s="160">
        <v>150</v>
      </c>
      <c r="E4646" s="161">
        <f>SUM(D4646*100)</f>
        <v>15000</v>
      </c>
    </row>
    <row r="4647" ht="16.5" spans="1:5">
      <c r="A4647" s="151">
        <v>4646</v>
      </c>
      <c r="B4647" s="152" t="s">
        <v>15453</v>
      </c>
      <c r="C4647" s="162" t="s">
        <v>16631</v>
      </c>
      <c r="D4647" s="163">
        <v>1000</v>
      </c>
      <c r="E4647" s="163">
        <f>D4647*100</f>
        <v>100000</v>
      </c>
    </row>
    <row r="4648" ht="16.5" spans="1:5">
      <c r="A4648" s="151">
        <v>4647</v>
      </c>
      <c r="B4648" s="152" t="s">
        <v>15453</v>
      </c>
      <c r="C4648" s="162" t="s">
        <v>16633</v>
      </c>
      <c r="D4648" s="171">
        <f>G4648/100</f>
        <v>0</v>
      </c>
      <c r="E4648" s="171">
        <f>G4648</f>
        <v>0</v>
      </c>
    </row>
    <row r="4649" ht="16.5" spans="1:5">
      <c r="A4649" s="151">
        <v>4648</v>
      </c>
      <c r="B4649" s="152" t="s">
        <v>15457</v>
      </c>
      <c r="C4649" s="166" t="s">
        <v>16632</v>
      </c>
      <c r="D4649" s="166">
        <f>IFERROR(__xludf.DUMMYFUNCTION("""COMPUTED_VALUE"""),10000)</f>
        <v>10000</v>
      </c>
      <c r="E4649" s="168">
        <f>IFERROR(__xludf.DUMMYFUNCTION("""COMPUTED_VALUE"""),1500000)</f>
        <v>1500000</v>
      </c>
    </row>
    <row r="4650" ht="16.5" spans="1:5">
      <c r="A4650" s="151">
        <v>4649</v>
      </c>
      <c r="B4650" s="152" t="s">
        <v>15458</v>
      </c>
      <c r="C4650" s="166" t="s">
        <v>16632</v>
      </c>
      <c r="D4650" s="166">
        <f>IFERROR(__xludf.DUMMYFUNCTION("""COMPUTED_VALUE"""),10000)</f>
        <v>10000</v>
      </c>
      <c r="E4650" s="168">
        <f>IFERROR(__xludf.DUMMYFUNCTION("""COMPUTED_VALUE"""),1500000)</f>
        <v>1500000</v>
      </c>
    </row>
    <row r="4651" ht="16.5" spans="1:5">
      <c r="A4651" s="151">
        <v>4650</v>
      </c>
      <c r="B4651" s="152" t="s">
        <v>15458</v>
      </c>
      <c r="C4651" s="166" t="s">
        <v>16632</v>
      </c>
      <c r="D4651" s="166">
        <f>IFERROR(__xludf.DUMMYFUNCTION("""COMPUTED_VALUE"""),10000)</f>
        <v>10000</v>
      </c>
      <c r="E4651" s="168">
        <f>IFERROR(__xludf.DUMMYFUNCTION("""COMPUTED_VALUE"""),1500000)</f>
        <v>1500000</v>
      </c>
    </row>
    <row r="4652" ht="16.5" spans="1:5">
      <c r="A4652" s="151">
        <v>4651</v>
      </c>
      <c r="B4652" s="152" t="s">
        <v>15458</v>
      </c>
      <c r="C4652" s="166" t="s">
        <v>16632</v>
      </c>
      <c r="D4652" s="181">
        <v>17000</v>
      </c>
      <c r="E4652" s="45">
        <v>3500000</v>
      </c>
    </row>
    <row r="4653" ht="16.5" spans="1:5">
      <c r="A4653" s="151">
        <v>4652</v>
      </c>
      <c r="B4653" s="152" t="s">
        <v>15458</v>
      </c>
      <c r="C4653" s="162" t="s">
        <v>16631</v>
      </c>
      <c r="D4653" s="163">
        <v>41000</v>
      </c>
      <c r="E4653" s="163">
        <f>D4653*100</f>
        <v>4100000</v>
      </c>
    </row>
    <row r="4654" ht="16.5" spans="1:5">
      <c r="A4654" s="151">
        <v>4653</v>
      </c>
      <c r="B4654" s="152" t="s">
        <v>15459</v>
      </c>
      <c r="C4654" s="160" t="s">
        <v>16630</v>
      </c>
      <c r="D4654" s="160">
        <v>100</v>
      </c>
      <c r="E4654" s="161">
        <f>SUM(D4654*100)</f>
        <v>10000</v>
      </c>
    </row>
    <row r="4655" ht="16.5" spans="1:5">
      <c r="A4655" s="151">
        <v>4654</v>
      </c>
      <c r="B4655" s="152" t="s">
        <v>15462</v>
      </c>
      <c r="C4655" s="153" t="s">
        <v>16629</v>
      </c>
      <c r="D4655" s="154">
        <v>10</v>
      </c>
      <c r="E4655" s="155">
        <f>+D4655*100</f>
        <v>1000</v>
      </c>
    </row>
    <row r="4656" ht="16.5" spans="1:5">
      <c r="A4656" s="151">
        <v>4655</v>
      </c>
      <c r="B4656" s="152" t="s">
        <v>15465</v>
      </c>
      <c r="C4656" s="166" t="s">
        <v>16632</v>
      </c>
      <c r="D4656" s="166">
        <f>IFERROR(__xludf.DUMMYFUNCTION("""COMPUTED_VALUE"""),10000)</f>
        <v>10000</v>
      </c>
      <c r="E4656" s="168">
        <f>IFERROR(__xludf.DUMMYFUNCTION("""COMPUTED_VALUE"""),1500000)</f>
        <v>1500000</v>
      </c>
    </row>
    <row r="4657" ht="16.5" spans="1:5">
      <c r="A4657" s="151">
        <v>4656</v>
      </c>
      <c r="B4657" s="152" t="s">
        <v>15466</v>
      </c>
      <c r="C4657" s="160" t="s">
        <v>16630</v>
      </c>
      <c r="D4657" s="160">
        <v>30</v>
      </c>
      <c r="E4657" s="161">
        <f>SUM(D4657*100)</f>
        <v>3000</v>
      </c>
    </row>
    <row r="4658" ht="16.5" spans="1:5">
      <c r="A4658" s="151">
        <v>4657</v>
      </c>
      <c r="B4658" s="152" t="s">
        <v>15469</v>
      </c>
      <c r="C4658" s="160" t="s">
        <v>16630</v>
      </c>
      <c r="D4658" s="160">
        <v>10</v>
      </c>
      <c r="E4658" s="161">
        <f>SUM(D4658*100)</f>
        <v>1000</v>
      </c>
    </row>
    <row r="4659" ht="16.5" spans="1:5">
      <c r="A4659" s="151">
        <v>4658</v>
      </c>
      <c r="B4659" s="152" t="s">
        <v>15472</v>
      </c>
      <c r="C4659" s="160" t="s">
        <v>16630</v>
      </c>
      <c r="D4659" s="160">
        <v>3000</v>
      </c>
      <c r="E4659" s="161">
        <f>SUM(D4659*100)</f>
        <v>300000</v>
      </c>
    </row>
    <row r="4660" ht="16.5" spans="1:5">
      <c r="A4660" s="151">
        <v>4659</v>
      </c>
      <c r="B4660" s="152" t="s">
        <v>15472</v>
      </c>
      <c r="C4660" s="162" t="s">
        <v>16631</v>
      </c>
      <c r="D4660" s="163">
        <v>3000</v>
      </c>
      <c r="E4660" s="163">
        <f>D4660*100</f>
        <v>300000</v>
      </c>
    </row>
    <row r="4661" ht="16.5" spans="1:5">
      <c r="A4661" s="151">
        <v>4660</v>
      </c>
      <c r="B4661" s="152" t="s">
        <v>15475</v>
      </c>
      <c r="C4661" s="162" t="s">
        <v>16631</v>
      </c>
      <c r="D4661" s="169">
        <v>1000</v>
      </c>
      <c r="E4661" s="170">
        <f>D4661*100</f>
        <v>100000</v>
      </c>
    </row>
    <row r="4662" ht="16.5" spans="1:5">
      <c r="A4662" s="151">
        <v>4661</v>
      </c>
      <c r="B4662" s="152" t="s">
        <v>15479</v>
      </c>
      <c r="C4662" s="156" t="s">
        <v>16629</v>
      </c>
      <c r="D4662" s="159">
        <v>10</v>
      </c>
      <c r="E4662" s="155">
        <f>+D4662*100</f>
        <v>1000</v>
      </c>
    </row>
    <row r="4663" ht="16.5" spans="1:5">
      <c r="A4663" s="151">
        <v>4662</v>
      </c>
      <c r="B4663" s="152" t="s">
        <v>15483</v>
      </c>
      <c r="C4663" s="160" t="s">
        <v>16630</v>
      </c>
      <c r="D4663" s="160">
        <v>10</v>
      </c>
      <c r="E4663" s="161">
        <f>SUM(D4663*100)</f>
        <v>1000</v>
      </c>
    </row>
    <row r="4664" ht="16.5" spans="1:5">
      <c r="A4664" s="151">
        <v>4663</v>
      </c>
      <c r="B4664" s="152" t="s">
        <v>15487</v>
      </c>
      <c r="C4664" s="153" t="s">
        <v>16629</v>
      </c>
      <c r="D4664" s="154">
        <v>100</v>
      </c>
      <c r="E4664" s="155">
        <f>+D4664*100</f>
        <v>10000</v>
      </c>
    </row>
    <row r="4665" ht="16.5" spans="1:5">
      <c r="A4665" s="151">
        <v>4664</v>
      </c>
      <c r="B4665" s="152" t="s">
        <v>15490</v>
      </c>
      <c r="C4665" s="160" t="s">
        <v>16630</v>
      </c>
      <c r="D4665" s="160">
        <v>100</v>
      </c>
      <c r="E4665" s="161">
        <f>SUM(D4665*100)</f>
        <v>10000</v>
      </c>
    </row>
    <row r="4666" ht="16.5" spans="1:5">
      <c r="A4666" s="151">
        <v>4665</v>
      </c>
      <c r="B4666" s="152" t="s">
        <v>15494</v>
      </c>
      <c r="C4666" s="162" t="s">
        <v>16631</v>
      </c>
      <c r="D4666" s="163">
        <v>1000</v>
      </c>
      <c r="E4666" s="163">
        <f>D4666*100</f>
        <v>100000</v>
      </c>
    </row>
    <row r="4667" ht="16.5" spans="1:5">
      <c r="A4667" s="151">
        <v>4666</v>
      </c>
      <c r="B4667" s="152" t="s">
        <v>15498</v>
      </c>
      <c r="C4667" s="160" t="s">
        <v>16630</v>
      </c>
      <c r="D4667" s="175">
        <v>10</v>
      </c>
      <c r="E4667" s="161">
        <f>SUM(D4667*100)</f>
        <v>1000</v>
      </c>
    </row>
    <row r="4668" ht="16.5" spans="1:5">
      <c r="A4668" s="151">
        <v>4667</v>
      </c>
      <c r="B4668" s="152" t="s">
        <v>15501</v>
      </c>
      <c r="C4668" s="160" t="s">
        <v>16630</v>
      </c>
      <c r="D4668" s="160">
        <v>10</v>
      </c>
      <c r="E4668" s="161">
        <f>SUM(D4668*100)</f>
        <v>1000</v>
      </c>
    </row>
    <row r="4669" ht="16.5" spans="1:5">
      <c r="A4669" s="151">
        <v>4668</v>
      </c>
      <c r="B4669" s="152" t="s">
        <v>15504</v>
      </c>
      <c r="C4669" s="160" t="s">
        <v>16630</v>
      </c>
      <c r="D4669" s="160">
        <v>20</v>
      </c>
      <c r="E4669" s="161">
        <f>SUM(D4669*100)</f>
        <v>2000</v>
      </c>
    </row>
    <row r="4670" ht="16.5" spans="1:5">
      <c r="A4670" s="151">
        <v>4669</v>
      </c>
      <c r="B4670" s="152" t="s">
        <v>15509</v>
      </c>
      <c r="C4670" s="160" t="s">
        <v>16630</v>
      </c>
      <c r="D4670" s="175">
        <v>500</v>
      </c>
      <c r="E4670" s="161">
        <f>SUM(D4670*100)</f>
        <v>50000</v>
      </c>
    </row>
    <row r="4671" ht="16.5" spans="1:5">
      <c r="A4671" s="151">
        <v>4670</v>
      </c>
      <c r="B4671" s="152" t="s">
        <v>15512</v>
      </c>
      <c r="C4671" s="166" t="s">
        <v>16632</v>
      </c>
      <c r="D4671" s="166">
        <f>IFERROR(__xludf.DUMMYFUNCTION("""COMPUTED_VALUE"""),10000)</f>
        <v>10000</v>
      </c>
      <c r="E4671" s="168">
        <f>IFERROR(__xludf.DUMMYFUNCTION("""COMPUTED_VALUE"""),1500000)</f>
        <v>1500000</v>
      </c>
    </row>
    <row r="4672" ht="16.5" spans="1:5">
      <c r="A4672" s="151">
        <v>4671</v>
      </c>
      <c r="B4672" s="152" t="s">
        <v>15513</v>
      </c>
      <c r="C4672" s="162" t="s">
        <v>16631</v>
      </c>
      <c r="D4672" s="163">
        <v>1000</v>
      </c>
      <c r="E4672" s="163">
        <f>D4672*100</f>
        <v>100000</v>
      </c>
    </row>
    <row r="4673" ht="16.5" spans="1:5">
      <c r="A4673" s="151">
        <v>4672</v>
      </c>
      <c r="B4673" s="152" t="s">
        <v>15518</v>
      </c>
      <c r="C4673" s="160" t="s">
        <v>16630</v>
      </c>
      <c r="D4673" s="160">
        <v>100</v>
      </c>
      <c r="E4673" s="161">
        <f>SUM(D4673*100)</f>
        <v>10000</v>
      </c>
    </row>
    <row r="4674" ht="16.5" spans="1:5">
      <c r="A4674" s="151">
        <v>4673</v>
      </c>
      <c r="B4674" s="152" t="s">
        <v>15522</v>
      </c>
      <c r="C4674" s="162" t="s">
        <v>16631</v>
      </c>
      <c r="D4674" s="163">
        <v>1000</v>
      </c>
      <c r="E4674" s="163">
        <f>D4674*100</f>
        <v>100000</v>
      </c>
    </row>
    <row r="4675" ht="16.5" spans="1:5">
      <c r="A4675" s="151">
        <v>4674</v>
      </c>
      <c r="B4675" s="152" t="s">
        <v>15526</v>
      </c>
      <c r="C4675" s="160" t="s">
        <v>16630</v>
      </c>
      <c r="D4675" s="41">
        <v>50</v>
      </c>
      <c r="E4675" s="161">
        <f>SUM(D4675*100)</f>
        <v>5000</v>
      </c>
    </row>
    <row r="4676" ht="16.5" spans="1:5">
      <c r="A4676" s="151">
        <v>4675</v>
      </c>
      <c r="B4676" s="152" t="s">
        <v>15529</v>
      </c>
      <c r="C4676" s="156" t="s">
        <v>16629</v>
      </c>
      <c r="D4676" s="159">
        <v>10</v>
      </c>
      <c r="E4676" s="155">
        <f>+D4676*100</f>
        <v>1000</v>
      </c>
    </row>
    <row r="4677" ht="16.5" spans="1:5">
      <c r="A4677" s="151">
        <v>4676</v>
      </c>
      <c r="B4677" s="152" t="s">
        <v>15533</v>
      </c>
      <c r="C4677" s="160" t="s">
        <v>16630</v>
      </c>
      <c r="D4677" s="160">
        <v>10</v>
      </c>
      <c r="E4677" s="161">
        <f>SUM(D4677*100)</f>
        <v>1000</v>
      </c>
    </row>
    <row r="4678" ht="16.5" spans="1:5">
      <c r="A4678" s="151">
        <v>4677</v>
      </c>
      <c r="B4678" s="152" t="s">
        <v>15537</v>
      </c>
      <c r="C4678" s="160" t="s">
        <v>16630</v>
      </c>
      <c r="D4678" s="160">
        <v>15</v>
      </c>
      <c r="E4678" s="161">
        <f>SUM(D4678*100)</f>
        <v>1500</v>
      </c>
    </row>
    <row r="4679" ht="16.5" spans="1:5">
      <c r="A4679" s="151">
        <v>4678</v>
      </c>
      <c r="B4679" s="152" t="s">
        <v>15542</v>
      </c>
      <c r="C4679" s="156" t="s">
        <v>16629</v>
      </c>
      <c r="D4679" s="159">
        <v>10</v>
      </c>
      <c r="E4679" s="155">
        <f>+D4679*100</f>
        <v>1000</v>
      </c>
    </row>
    <row r="4680" ht="16.5" spans="1:5">
      <c r="A4680" s="151">
        <v>4679</v>
      </c>
      <c r="B4680" s="152" t="s">
        <v>15545</v>
      </c>
      <c r="C4680" s="160" t="s">
        <v>16630</v>
      </c>
      <c r="D4680" s="160">
        <v>150</v>
      </c>
      <c r="E4680" s="161">
        <f>SUM(D4680*100)</f>
        <v>15000</v>
      </c>
    </row>
    <row r="4681" ht="16.5" spans="1:5">
      <c r="A4681" s="151">
        <v>4680</v>
      </c>
      <c r="B4681" s="152" t="s">
        <v>15548</v>
      </c>
      <c r="C4681" s="166" t="s">
        <v>16632</v>
      </c>
      <c r="D4681" s="151">
        <f>IFERROR(__xludf.DUMMYFUNCTION("""COMPUTED_VALUE"""),10000)</f>
        <v>10000</v>
      </c>
      <c r="E4681" s="167">
        <f>IFERROR(__xludf.DUMMYFUNCTION("""COMPUTED_VALUE"""),1500000)</f>
        <v>1500000</v>
      </c>
    </row>
    <row r="4682" ht="16.5" spans="1:5">
      <c r="A4682" s="151">
        <v>4681</v>
      </c>
      <c r="B4682" s="152" t="s">
        <v>15548</v>
      </c>
      <c r="C4682" s="162" t="s">
        <v>16631</v>
      </c>
      <c r="D4682" s="163">
        <v>1000</v>
      </c>
      <c r="E4682" s="163">
        <f>D4682*100</f>
        <v>100000</v>
      </c>
    </row>
    <row r="4683" ht="16.5" spans="1:5">
      <c r="A4683" s="151">
        <v>4682</v>
      </c>
      <c r="B4683" s="152" t="s">
        <v>15549</v>
      </c>
      <c r="C4683" s="162" t="s">
        <v>16631</v>
      </c>
      <c r="D4683" s="163">
        <v>1000</v>
      </c>
      <c r="E4683" s="163">
        <f>D4683*100</f>
        <v>100000</v>
      </c>
    </row>
    <row r="4684" ht="16.5" spans="1:5">
      <c r="A4684" s="151">
        <v>4683</v>
      </c>
      <c r="B4684" s="152" t="s">
        <v>15553</v>
      </c>
      <c r="C4684" s="160" t="s">
        <v>16630</v>
      </c>
      <c r="D4684" s="175">
        <v>1000</v>
      </c>
      <c r="E4684" s="161">
        <f>SUM(D4684*100)</f>
        <v>100000</v>
      </c>
    </row>
    <row r="4685" ht="16.5" spans="1:5">
      <c r="A4685" s="151">
        <v>4684</v>
      </c>
      <c r="B4685" s="152" t="s">
        <v>15556</v>
      </c>
      <c r="C4685" s="162" t="s">
        <v>16631</v>
      </c>
      <c r="D4685" s="163">
        <v>1000</v>
      </c>
      <c r="E4685" s="163">
        <f>D4685*100</f>
        <v>100000</v>
      </c>
    </row>
    <row r="4686" ht="16.5" spans="1:5">
      <c r="A4686" s="151">
        <v>4685</v>
      </c>
      <c r="B4686" s="152" t="s">
        <v>15560</v>
      </c>
      <c r="C4686" s="166" t="s">
        <v>16632</v>
      </c>
      <c r="D4686" s="166">
        <f>IFERROR(__xludf.DUMMYFUNCTION("""COMPUTED_VALUE"""),10000)</f>
        <v>10000</v>
      </c>
      <c r="E4686" s="168">
        <f>IFERROR(__xludf.DUMMYFUNCTION("""COMPUTED_VALUE"""),1500000)</f>
        <v>1500000</v>
      </c>
    </row>
    <row r="4687" ht="16.5" spans="1:5">
      <c r="A4687" s="151">
        <v>4686</v>
      </c>
      <c r="B4687" s="152" t="s">
        <v>15561</v>
      </c>
      <c r="C4687" s="156" t="s">
        <v>16629</v>
      </c>
      <c r="D4687" s="159">
        <v>10</v>
      </c>
      <c r="E4687" s="155">
        <f>+D4687*100</f>
        <v>1000</v>
      </c>
    </row>
    <row r="4688" ht="16.5" spans="1:5">
      <c r="A4688" s="151">
        <v>4687</v>
      </c>
      <c r="B4688" s="152" t="s">
        <v>15564</v>
      </c>
      <c r="C4688" s="160" t="s">
        <v>16630</v>
      </c>
      <c r="D4688" s="160">
        <v>100</v>
      </c>
      <c r="E4688" s="161">
        <f>SUM(D4688*100)</f>
        <v>10000</v>
      </c>
    </row>
    <row r="4689" ht="16.5" spans="1:5">
      <c r="A4689" s="151">
        <v>4688</v>
      </c>
      <c r="B4689" s="152" t="s">
        <v>15568</v>
      </c>
      <c r="C4689" s="162" t="s">
        <v>16631</v>
      </c>
      <c r="D4689" s="163">
        <v>1000</v>
      </c>
      <c r="E4689" s="163">
        <f>D4689*100</f>
        <v>100000</v>
      </c>
    </row>
    <row r="4690" ht="16.5" spans="1:5">
      <c r="A4690" s="151">
        <v>4689</v>
      </c>
      <c r="B4690" s="152" t="s">
        <v>15572</v>
      </c>
      <c r="C4690" s="160" t="s">
        <v>16630</v>
      </c>
      <c r="D4690" s="160">
        <v>200</v>
      </c>
      <c r="E4690" s="161">
        <f>SUM(D4690*100)</f>
        <v>20000</v>
      </c>
    </row>
    <row r="4691" ht="16.5" spans="1:5">
      <c r="A4691" s="151">
        <v>4690</v>
      </c>
      <c r="B4691" s="152" t="s">
        <v>15576</v>
      </c>
      <c r="C4691" s="160" t="s">
        <v>16630</v>
      </c>
      <c r="D4691" s="160">
        <v>100</v>
      </c>
      <c r="E4691" s="161">
        <f>SUM(D4691*100)</f>
        <v>10000</v>
      </c>
    </row>
    <row r="4692" ht="16.5" spans="1:5">
      <c r="A4692" s="151">
        <v>4691</v>
      </c>
      <c r="B4692" s="152" t="s">
        <v>15579</v>
      </c>
      <c r="C4692" s="160" t="s">
        <v>16630</v>
      </c>
      <c r="D4692" s="160">
        <v>100</v>
      </c>
      <c r="E4692" s="161">
        <f>SUM(D4692*100)</f>
        <v>10000</v>
      </c>
    </row>
    <row r="4693" ht="16.5" spans="1:5">
      <c r="A4693" s="151">
        <v>4692</v>
      </c>
      <c r="B4693" s="152" t="s">
        <v>15582</v>
      </c>
      <c r="C4693" s="162" t="s">
        <v>16631</v>
      </c>
      <c r="D4693" s="163">
        <v>1000</v>
      </c>
      <c r="E4693" s="163">
        <f>D4693*100</f>
        <v>100000</v>
      </c>
    </row>
    <row r="4694" ht="16.5" spans="1:5">
      <c r="A4694" s="151">
        <v>4693</v>
      </c>
      <c r="B4694" s="152" t="s">
        <v>15587</v>
      </c>
      <c r="C4694" s="160" t="s">
        <v>16630</v>
      </c>
      <c r="D4694" s="164">
        <v>10</v>
      </c>
      <c r="E4694" s="161">
        <f>SUM(D4694*100)</f>
        <v>1000</v>
      </c>
    </row>
    <row r="4695" ht="16.5" spans="1:5">
      <c r="A4695" s="151">
        <v>4694</v>
      </c>
      <c r="B4695" s="152" t="s">
        <v>15590</v>
      </c>
      <c r="C4695" s="160" t="s">
        <v>16630</v>
      </c>
      <c r="D4695" s="164">
        <v>10</v>
      </c>
      <c r="E4695" s="161">
        <f>SUM(D4695*100)</f>
        <v>1000</v>
      </c>
    </row>
    <row r="4696" ht="16.5" spans="1:5">
      <c r="A4696" s="151">
        <v>4695</v>
      </c>
      <c r="B4696" s="152" t="s">
        <v>15593</v>
      </c>
      <c r="C4696" s="153" t="s">
        <v>16629</v>
      </c>
      <c r="D4696" s="154">
        <v>10</v>
      </c>
      <c r="E4696" s="155">
        <f t="shared" ref="E4696:E4719" si="167">+D4696*100</f>
        <v>1000</v>
      </c>
    </row>
    <row r="4697" ht="16.5" spans="1:5">
      <c r="A4697" s="151">
        <v>4696</v>
      </c>
      <c r="B4697" s="152" t="s">
        <v>15596</v>
      </c>
      <c r="C4697" s="153" t="s">
        <v>16629</v>
      </c>
      <c r="D4697" s="154">
        <v>10</v>
      </c>
      <c r="E4697" s="155">
        <f t="shared" si="167"/>
        <v>1000</v>
      </c>
    </row>
    <row r="4698" ht="16.5" spans="1:5">
      <c r="A4698" s="151">
        <v>4697</v>
      </c>
      <c r="B4698" s="152" t="s">
        <v>15599</v>
      </c>
      <c r="C4698" s="153" t="s">
        <v>16629</v>
      </c>
      <c r="D4698" s="158">
        <v>10</v>
      </c>
      <c r="E4698" s="155">
        <f t="shared" si="167"/>
        <v>1000</v>
      </c>
    </row>
    <row r="4699" ht="16.5" spans="1:5">
      <c r="A4699" s="151">
        <v>4698</v>
      </c>
      <c r="B4699" s="152" t="s">
        <v>15603</v>
      </c>
      <c r="C4699" s="156" t="s">
        <v>16629</v>
      </c>
      <c r="D4699" s="159">
        <v>10</v>
      </c>
      <c r="E4699" s="155">
        <f t="shared" si="167"/>
        <v>1000</v>
      </c>
    </row>
    <row r="4700" ht="16.5" spans="1:5">
      <c r="A4700" s="151">
        <v>4699</v>
      </c>
      <c r="B4700" s="152" t="s">
        <v>15606</v>
      </c>
      <c r="C4700" s="156" t="s">
        <v>16629</v>
      </c>
      <c r="D4700" s="154">
        <v>10</v>
      </c>
      <c r="E4700" s="155">
        <f t="shared" si="167"/>
        <v>1000</v>
      </c>
    </row>
    <row r="4701" ht="16.5" spans="1:5">
      <c r="A4701" s="151">
        <v>4700</v>
      </c>
      <c r="B4701" s="152" t="s">
        <v>15609</v>
      </c>
      <c r="C4701" s="156" t="s">
        <v>16629</v>
      </c>
      <c r="D4701" s="159">
        <v>10</v>
      </c>
      <c r="E4701" s="155">
        <f t="shared" si="167"/>
        <v>1000</v>
      </c>
    </row>
    <row r="4702" ht="16.5" spans="1:5">
      <c r="A4702" s="151">
        <v>4701</v>
      </c>
      <c r="B4702" s="152" t="s">
        <v>15612</v>
      </c>
      <c r="C4702" s="156" t="s">
        <v>16629</v>
      </c>
      <c r="D4702" s="154">
        <v>10</v>
      </c>
      <c r="E4702" s="155">
        <f t="shared" si="167"/>
        <v>1000</v>
      </c>
    </row>
    <row r="4703" ht="16.5" spans="1:5">
      <c r="A4703" s="151">
        <v>4702</v>
      </c>
      <c r="B4703" s="152" t="s">
        <v>15615</v>
      </c>
      <c r="C4703" s="156" t="s">
        <v>16629</v>
      </c>
      <c r="D4703" s="159">
        <v>10</v>
      </c>
      <c r="E4703" s="155">
        <f t="shared" si="167"/>
        <v>1000</v>
      </c>
    </row>
    <row r="4704" ht="16.5" spans="1:5">
      <c r="A4704" s="151">
        <v>4703</v>
      </c>
      <c r="B4704" s="152" t="s">
        <v>15618</v>
      </c>
      <c r="C4704" s="153" t="s">
        <v>16629</v>
      </c>
      <c r="D4704" s="158">
        <v>10</v>
      </c>
      <c r="E4704" s="155">
        <f t="shared" si="167"/>
        <v>1000</v>
      </c>
    </row>
    <row r="4705" ht="16.5" spans="1:5">
      <c r="A4705" s="151">
        <v>4704</v>
      </c>
      <c r="B4705" s="152" t="s">
        <v>15621</v>
      </c>
      <c r="C4705" s="156" t="s">
        <v>16629</v>
      </c>
      <c r="D4705" s="159">
        <v>10</v>
      </c>
      <c r="E4705" s="155">
        <f t="shared" si="167"/>
        <v>1000</v>
      </c>
    </row>
    <row r="4706" ht="16.5" spans="1:5">
      <c r="A4706" s="151">
        <v>4705</v>
      </c>
      <c r="B4706" s="152" t="s">
        <v>15624</v>
      </c>
      <c r="C4706" s="156" t="s">
        <v>16629</v>
      </c>
      <c r="D4706" s="159">
        <v>10</v>
      </c>
      <c r="E4706" s="155">
        <f t="shared" si="167"/>
        <v>1000</v>
      </c>
    </row>
    <row r="4707" ht="16.5" spans="1:5">
      <c r="A4707" s="151">
        <v>4706</v>
      </c>
      <c r="B4707" s="152" t="s">
        <v>15627</v>
      </c>
      <c r="C4707" s="153" t="s">
        <v>16629</v>
      </c>
      <c r="D4707" s="154">
        <v>10</v>
      </c>
      <c r="E4707" s="155">
        <f t="shared" si="167"/>
        <v>1000</v>
      </c>
    </row>
    <row r="4708" ht="16.5" spans="1:5">
      <c r="A4708" s="151">
        <v>4707</v>
      </c>
      <c r="B4708" s="152" t="s">
        <v>15630</v>
      </c>
      <c r="C4708" s="153" t="s">
        <v>16629</v>
      </c>
      <c r="D4708" s="158">
        <v>10</v>
      </c>
      <c r="E4708" s="155">
        <f t="shared" si="167"/>
        <v>1000</v>
      </c>
    </row>
    <row r="4709" ht="16.5" spans="1:5">
      <c r="A4709" s="151">
        <v>4708</v>
      </c>
      <c r="B4709" s="152" t="s">
        <v>15633</v>
      </c>
      <c r="C4709" s="156" t="s">
        <v>16629</v>
      </c>
      <c r="D4709" s="159">
        <v>10</v>
      </c>
      <c r="E4709" s="155">
        <f t="shared" si="167"/>
        <v>1000</v>
      </c>
    </row>
    <row r="4710" ht="16.5" spans="1:5">
      <c r="A4710" s="151">
        <v>4709</v>
      </c>
      <c r="B4710" s="152" t="s">
        <v>15636</v>
      </c>
      <c r="C4710" s="156" t="s">
        <v>16629</v>
      </c>
      <c r="D4710" s="154">
        <v>10</v>
      </c>
      <c r="E4710" s="155">
        <f t="shared" si="167"/>
        <v>1000</v>
      </c>
    </row>
    <row r="4711" ht="16.5" spans="1:5">
      <c r="A4711" s="151">
        <v>4710</v>
      </c>
      <c r="B4711" s="152" t="s">
        <v>15639</v>
      </c>
      <c r="C4711" s="153" t="s">
        <v>16629</v>
      </c>
      <c r="D4711" s="154">
        <v>10</v>
      </c>
      <c r="E4711" s="155">
        <f t="shared" si="167"/>
        <v>1000</v>
      </c>
    </row>
    <row r="4712" ht="16.5" spans="1:5">
      <c r="A4712" s="151">
        <v>4711</v>
      </c>
      <c r="B4712" s="152" t="s">
        <v>15642</v>
      </c>
      <c r="C4712" s="156" t="s">
        <v>16629</v>
      </c>
      <c r="D4712" s="157">
        <v>10</v>
      </c>
      <c r="E4712" s="155">
        <f t="shared" si="167"/>
        <v>1000</v>
      </c>
    </row>
    <row r="4713" ht="16.5" spans="1:5">
      <c r="A4713" s="151">
        <v>4712</v>
      </c>
      <c r="B4713" s="152" t="s">
        <v>15645</v>
      </c>
      <c r="C4713" s="153" t="s">
        <v>16629</v>
      </c>
      <c r="D4713" s="154">
        <v>10</v>
      </c>
      <c r="E4713" s="155">
        <f t="shared" si="167"/>
        <v>1000</v>
      </c>
    </row>
    <row r="4714" ht="16.5" spans="1:5">
      <c r="A4714" s="151">
        <v>4713</v>
      </c>
      <c r="B4714" s="152" t="s">
        <v>15648</v>
      </c>
      <c r="C4714" s="153" t="s">
        <v>16629</v>
      </c>
      <c r="D4714" s="158">
        <v>10</v>
      </c>
      <c r="E4714" s="155">
        <f t="shared" si="167"/>
        <v>1000</v>
      </c>
    </row>
    <row r="4715" ht="16.5" spans="1:5">
      <c r="A4715" s="151">
        <v>4714</v>
      </c>
      <c r="B4715" s="152" t="s">
        <v>15651</v>
      </c>
      <c r="C4715" s="160" t="s">
        <v>16630</v>
      </c>
      <c r="D4715" s="172">
        <v>100</v>
      </c>
      <c r="E4715" s="161">
        <f t="shared" si="167"/>
        <v>10000</v>
      </c>
    </row>
    <row r="4716" ht="16.5" spans="1:5">
      <c r="A4716" s="151">
        <v>4715</v>
      </c>
      <c r="B4716" s="152" t="s">
        <v>15654</v>
      </c>
      <c r="C4716" s="156" t="s">
        <v>16629</v>
      </c>
      <c r="D4716" s="157">
        <v>10</v>
      </c>
      <c r="E4716" s="155">
        <f t="shared" si="167"/>
        <v>1000</v>
      </c>
    </row>
    <row r="4717" ht="16.5" spans="1:5">
      <c r="A4717" s="151">
        <v>4716</v>
      </c>
      <c r="B4717" s="152" t="s">
        <v>15657</v>
      </c>
      <c r="C4717" s="156" t="s">
        <v>16629</v>
      </c>
      <c r="D4717" s="159">
        <v>10</v>
      </c>
      <c r="E4717" s="155">
        <f t="shared" si="167"/>
        <v>1000</v>
      </c>
    </row>
    <row r="4718" ht="16.5" spans="1:5">
      <c r="A4718" s="151">
        <v>4717</v>
      </c>
      <c r="B4718" s="152" t="s">
        <v>15660</v>
      </c>
      <c r="C4718" s="156" t="s">
        <v>16629</v>
      </c>
      <c r="D4718" s="157">
        <v>10</v>
      </c>
      <c r="E4718" s="155">
        <f t="shared" si="167"/>
        <v>1000</v>
      </c>
    </row>
    <row r="4719" ht="16.5" spans="1:5">
      <c r="A4719" s="151">
        <v>4718</v>
      </c>
      <c r="B4719" s="152" t="s">
        <v>15664</v>
      </c>
      <c r="C4719" s="153" t="s">
        <v>16629</v>
      </c>
      <c r="D4719" s="154">
        <v>10</v>
      </c>
      <c r="E4719" s="155">
        <f t="shared" si="167"/>
        <v>1000</v>
      </c>
    </row>
    <row r="4720" ht="16.5" spans="1:5">
      <c r="A4720" s="151">
        <v>4719</v>
      </c>
      <c r="B4720" s="152" t="s">
        <v>15668</v>
      </c>
      <c r="C4720" s="160" t="s">
        <v>16630</v>
      </c>
      <c r="D4720" s="160">
        <v>100</v>
      </c>
      <c r="E4720" s="161">
        <f>SUM(D4720*100)</f>
        <v>10000</v>
      </c>
    </row>
    <row r="4721" ht="16.5" spans="1:5">
      <c r="A4721" s="151">
        <v>4720</v>
      </c>
      <c r="B4721" s="152" t="s">
        <v>15671</v>
      </c>
      <c r="C4721" s="153" t="s">
        <v>16629</v>
      </c>
      <c r="D4721" s="154">
        <v>10</v>
      </c>
      <c r="E4721" s="155">
        <f t="shared" ref="E4721:E4728" si="168">+D4721*100</f>
        <v>1000</v>
      </c>
    </row>
    <row r="4722" ht="16.5" spans="1:5">
      <c r="A4722" s="151">
        <v>4721</v>
      </c>
      <c r="B4722" s="152" t="s">
        <v>15674</v>
      </c>
      <c r="C4722" s="156" t="s">
        <v>16629</v>
      </c>
      <c r="D4722" s="154">
        <v>10</v>
      </c>
      <c r="E4722" s="155">
        <f t="shared" si="168"/>
        <v>1000</v>
      </c>
    </row>
    <row r="4723" ht="16.5" spans="1:5">
      <c r="A4723" s="151">
        <v>4722</v>
      </c>
      <c r="B4723" s="152" t="s">
        <v>15677</v>
      </c>
      <c r="C4723" s="153" t="s">
        <v>16629</v>
      </c>
      <c r="D4723" s="158">
        <v>10</v>
      </c>
      <c r="E4723" s="155">
        <f t="shared" si="168"/>
        <v>1000</v>
      </c>
    </row>
    <row r="4724" ht="16.5" spans="1:5">
      <c r="A4724" s="151">
        <v>4723</v>
      </c>
      <c r="B4724" s="152" t="s">
        <v>15680</v>
      </c>
      <c r="C4724" s="153" t="s">
        <v>16629</v>
      </c>
      <c r="D4724" s="154">
        <v>10</v>
      </c>
      <c r="E4724" s="155">
        <f t="shared" si="168"/>
        <v>1000</v>
      </c>
    </row>
    <row r="4725" ht="16.5" spans="1:5">
      <c r="A4725" s="151">
        <v>4724</v>
      </c>
      <c r="B4725" s="152" t="s">
        <v>15683</v>
      </c>
      <c r="C4725" s="156" t="s">
        <v>16629</v>
      </c>
      <c r="D4725" s="159">
        <v>50</v>
      </c>
      <c r="E4725" s="155">
        <f t="shared" si="168"/>
        <v>5000</v>
      </c>
    </row>
    <row r="4726" ht="16.5" spans="1:5">
      <c r="A4726" s="151">
        <v>4725</v>
      </c>
      <c r="B4726" s="152" t="s">
        <v>15687</v>
      </c>
      <c r="C4726" s="153" t="s">
        <v>16629</v>
      </c>
      <c r="D4726" s="158">
        <v>10</v>
      </c>
      <c r="E4726" s="155">
        <f t="shared" si="168"/>
        <v>1000</v>
      </c>
    </row>
    <row r="4727" ht="16.5" spans="1:5">
      <c r="A4727" s="151">
        <v>4726</v>
      </c>
      <c r="B4727" s="152" t="s">
        <v>15690</v>
      </c>
      <c r="C4727" s="156" t="s">
        <v>16629</v>
      </c>
      <c r="D4727" s="157">
        <v>10</v>
      </c>
      <c r="E4727" s="155">
        <f t="shared" si="168"/>
        <v>1000</v>
      </c>
    </row>
    <row r="4728" ht="16.5" spans="1:5">
      <c r="A4728" s="151">
        <v>4727</v>
      </c>
      <c r="B4728" s="152" t="s">
        <v>15693</v>
      </c>
      <c r="C4728" s="153" t="s">
        <v>16629</v>
      </c>
      <c r="D4728" s="154">
        <v>10</v>
      </c>
      <c r="E4728" s="155">
        <f t="shared" si="168"/>
        <v>1000</v>
      </c>
    </row>
    <row r="4729" ht="16.5" spans="1:5">
      <c r="A4729" s="151">
        <v>4728</v>
      </c>
      <c r="B4729" s="152" t="s">
        <v>15697</v>
      </c>
      <c r="C4729" s="160" t="s">
        <v>16630</v>
      </c>
      <c r="D4729" s="160">
        <v>100</v>
      </c>
      <c r="E4729" s="161">
        <f>SUM(D4729*100)</f>
        <v>10000</v>
      </c>
    </row>
    <row r="4730" ht="16.5" spans="1:5">
      <c r="A4730" s="151">
        <v>4729</v>
      </c>
      <c r="B4730" s="152" t="s">
        <v>15701</v>
      </c>
      <c r="C4730" s="153" t="s">
        <v>16629</v>
      </c>
      <c r="D4730" s="158">
        <v>10</v>
      </c>
      <c r="E4730" s="155">
        <f>+D4730*100</f>
        <v>1000</v>
      </c>
    </row>
    <row r="4731" ht="16.5" spans="1:5">
      <c r="A4731" s="151">
        <v>4730</v>
      </c>
      <c r="B4731" s="152" t="s">
        <v>15704</v>
      </c>
      <c r="C4731" s="153" t="s">
        <v>16629</v>
      </c>
      <c r="D4731" s="154">
        <v>10</v>
      </c>
      <c r="E4731" s="155">
        <f>+D4731*100</f>
        <v>1000</v>
      </c>
    </row>
    <row r="4732" ht="16.5" spans="1:5">
      <c r="A4732" s="151">
        <v>4731</v>
      </c>
      <c r="B4732" s="152" t="s">
        <v>15708</v>
      </c>
      <c r="C4732" s="160" t="s">
        <v>16630</v>
      </c>
      <c r="D4732" s="41">
        <v>100</v>
      </c>
      <c r="E4732" s="161">
        <f>SUM(D4732*100)</f>
        <v>10000</v>
      </c>
    </row>
    <row r="4733" ht="16.5" spans="1:5">
      <c r="A4733" s="151">
        <v>4732</v>
      </c>
      <c r="B4733" s="152" t="s">
        <v>15711</v>
      </c>
      <c r="C4733" s="156" t="s">
        <v>16629</v>
      </c>
      <c r="D4733" s="159">
        <v>10</v>
      </c>
      <c r="E4733" s="155">
        <f>+D4733*100</f>
        <v>1000</v>
      </c>
    </row>
    <row r="4734" ht="16.5" spans="1:5">
      <c r="A4734" s="151">
        <v>4733</v>
      </c>
      <c r="B4734" s="152" t="s">
        <v>15714</v>
      </c>
      <c r="C4734" s="156" t="s">
        <v>16629</v>
      </c>
      <c r="D4734" s="159">
        <v>10</v>
      </c>
      <c r="E4734" s="155">
        <f>+D4734*100</f>
        <v>1000</v>
      </c>
    </row>
    <row r="4735" ht="16.5" spans="1:5">
      <c r="A4735" s="151">
        <v>4734</v>
      </c>
      <c r="B4735" s="152" t="s">
        <v>15718</v>
      </c>
      <c r="C4735" s="160" t="s">
        <v>16630</v>
      </c>
      <c r="D4735" s="160">
        <v>100</v>
      </c>
      <c r="E4735" s="161">
        <f>SUM(D4735*100)</f>
        <v>10000</v>
      </c>
    </row>
    <row r="4736" ht="16.5" spans="1:5">
      <c r="A4736" s="151">
        <v>4735</v>
      </c>
      <c r="B4736" s="152" t="s">
        <v>15722</v>
      </c>
      <c r="C4736" s="153" t="s">
        <v>16629</v>
      </c>
      <c r="D4736" s="158">
        <v>10</v>
      </c>
      <c r="E4736" s="155">
        <f>+D4736*100</f>
        <v>1000</v>
      </c>
    </row>
    <row r="4737" ht="16.5" spans="1:5">
      <c r="A4737" s="151">
        <v>4736</v>
      </c>
      <c r="B4737" s="152" t="s">
        <v>15726</v>
      </c>
      <c r="C4737" s="156" t="s">
        <v>16629</v>
      </c>
      <c r="D4737" s="157">
        <v>10</v>
      </c>
      <c r="E4737" s="155">
        <f>+D4737*100</f>
        <v>1000</v>
      </c>
    </row>
    <row r="4738" ht="16.5" spans="1:5">
      <c r="A4738" s="151">
        <v>4737</v>
      </c>
      <c r="B4738" s="152" t="s">
        <v>15730</v>
      </c>
      <c r="C4738" s="156" t="s">
        <v>16629</v>
      </c>
      <c r="D4738" s="159">
        <v>10</v>
      </c>
      <c r="E4738" s="155">
        <f>+D4738*100</f>
        <v>1000</v>
      </c>
    </row>
    <row r="4739" ht="16.5" spans="1:5">
      <c r="A4739" s="151">
        <v>4738</v>
      </c>
      <c r="B4739" s="152" t="s">
        <v>15734</v>
      </c>
      <c r="C4739" s="160" t="s">
        <v>16630</v>
      </c>
      <c r="D4739" s="160">
        <v>20</v>
      </c>
      <c r="E4739" s="161">
        <f>SUM(D4739*100)</f>
        <v>2000</v>
      </c>
    </row>
    <row r="4740" ht="16.5" spans="1:5">
      <c r="A4740" s="151">
        <v>4739</v>
      </c>
      <c r="B4740" s="152" t="s">
        <v>15737</v>
      </c>
      <c r="C4740" s="153" t="s">
        <v>16629</v>
      </c>
      <c r="D4740" s="154">
        <v>10</v>
      </c>
      <c r="E4740" s="155">
        <f>+D4740*100</f>
        <v>1000</v>
      </c>
    </row>
    <row r="4741" ht="16.5" spans="1:5">
      <c r="A4741" s="151">
        <v>4740</v>
      </c>
      <c r="B4741" s="152" t="s">
        <v>15740</v>
      </c>
      <c r="C4741" s="160" t="s">
        <v>16630</v>
      </c>
      <c r="D4741" s="160">
        <v>1000</v>
      </c>
      <c r="E4741" s="161">
        <f>SUM(D4741*100)</f>
        <v>100000</v>
      </c>
    </row>
    <row r="4742" ht="16.5" spans="1:5">
      <c r="A4742" s="151">
        <v>4741</v>
      </c>
      <c r="B4742" s="152" t="s">
        <v>15740</v>
      </c>
      <c r="C4742" s="162" t="s">
        <v>16631</v>
      </c>
      <c r="D4742" s="163">
        <v>1000</v>
      </c>
      <c r="E4742" s="163">
        <f>D4742*100</f>
        <v>100000</v>
      </c>
    </row>
    <row r="4743" ht="16.5" spans="1:5">
      <c r="A4743" s="151">
        <v>4742</v>
      </c>
      <c r="B4743" s="152" t="s">
        <v>15744</v>
      </c>
      <c r="C4743" s="162" t="s">
        <v>16631</v>
      </c>
      <c r="D4743" s="163">
        <v>1000</v>
      </c>
      <c r="E4743" s="163">
        <f>D4743*100</f>
        <v>100000</v>
      </c>
    </row>
    <row r="4744" ht="16.5" spans="1:5">
      <c r="A4744" s="151">
        <v>4743</v>
      </c>
      <c r="B4744" s="152" t="s">
        <v>15748</v>
      </c>
      <c r="C4744" s="153" t="s">
        <v>16629</v>
      </c>
      <c r="D4744" s="154">
        <v>10</v>
      </c>
      <c r="E4744" s="155">
        <f>+D4744*100</f>
        <v>1000</v>
      </c>
    </row>
    <row r="4745" ht="16.5" spans="1:5">
      <c r="A4745" s="151">
        <v>4744</v>
      </c>
      <c r="B4745" s="152" t="s">
        <v>15751</v>
      </c>
      <c r="C4745" s="156" t="s">
        <v>16629</v>
      </c>
      <c r="D4745" s="159">
        <v>10</v>
      </c>
      <c r="E4745" s="155">
        <f>+D4745*100</f>
        <v>1000</v>
      </c>
    </row>
    <row r="4746" ht="16.5" spans="1:5">
      <c r="A4746" s="151">
        <v>4745</v>
      </c>
      <c r="B4746" s="152" t="s">
        <v>15754</v>
      </c>
      <c r="C4746" s="156" t="s">
        <v>16629</v>
      </c>
      <c r="D4746" s="159">
        <v>10</v>
      </c>
      <c r="E4746" s="155">
        <f>+D4746*100</f>
        <v>1000</v>
      </c>
    </row>
    <row r="4747" ht="16.5" spans="1:5">
      <c r="A4747" s="151">
        <v>4746</v>
      </c>
      <c r="B4747" s="152" t="s">
        <v>15757</v>
      </c>
      <c r="C4747" s="162" t="s">
        <v>16631</v>
      </c>
      <c r="D4747" s="163">
        <v>1000</v>
      </c>
      <c r="E4747" s="163">
        <f>D4747*100</f>
        <v>100000</v>
      </c>
    </row>
    <row r="4748" ht="16.5" spans="1:5">
      <c r="A4748" s="151">
        <v>4747</v>
      </c>
      <c r="B4748" s="152" t="s">
        <v>15762</v>
      </c>
      <c r="C4748" s="156" t="s">
        <v>16629</v>
      </c>
      <c r="D4748" s="159">
        <v>10</v>
      </c>
      <c r="E4748" s="155">
        <f>+D4748*100</f>
        <v>1000</v>
      </c>
    </row>
    <row r="4749" ht="16.5" spans="1:5">
      <c r="A4749" s="151">
        <v>4748</v>
      </c>
      <c r="B4749" s="152" t="s">
        <v>15765</v>
      </c>
      <c r="C4749" s="166" t="s">
        <v>16632</v>
      </c>
      <c r="D4749" s="166">
        <f>IFERROR(__xludf.DUMMYFUNCTION("""COMPUTED_VALUE"""),10000)</f>
        <v>10000</v>
      </c>
      <c r="E4749" s="168">
        <f>IFERROR(__xludf.DUMMYFUNCTION("""COMPUTED_VALUE"""),1500000)</f>
        <v>1500000</v>
      </c>
    </row>
    <row r="4750" ht="16.5" spans="1:5">
      <c r="A4750" s="151">
        <v>4749</v>
      </c>
      <c r="B4750" s="152" t="s">
        <v>15766</v>
      </c>
      <c r="C4750" s="162" t="s">
        <v>16631</v>
      </c>
      <c r="D4750" s="169">
        <v>2000</v>
      </c>
      <c r="E4750" s="170">
        <f>D4750*100</f>
        <v>200000</v>
      </c>
    </row>
    <row r="4751" ht="16.5" spans="1:5">
      <c r="A4751" s="151">
        <v>4750</v>
      </c>
      <c r="B4751" s="152" t="s">
        <v>15770</v>
      </c>
      <c r="C4751" s="153" t="s">
        <v>16629</v>
      </c>
      <c r="D4751" s="158">
        <v>10</v>
      </c>
      <c r="E4751" s="155">
        <f>+D4751*100</f>
        <v>1000</v>
      </c>
    </row>
    <row r="4752" ht="16.5" spans="1:5">
      <c r="A4752" s="151">
        <v>4751</v>
      </c>
      <c r="B4752" s="152" t="s">
        <v>15773</v>
      </c>
      <c r="C4752" s="160" t="s">
        <v>16630</v>
      </c>
      <c r="D4752" s="160">
        <v>10</v>
      </c>
      <c r="E4752" s="161">
        <f>SUM(D4752*100)</f>
        <v>1000</v>
      </c>
    </row>
    <row r="4753" ht="16.5" spans="1:5">
      <c r="A4753" s="151">
        <v>4752</v>
      </c>
      <c r="B4753" s="152" t="s">
        <v>15778</v>
      </c>
      <c r="C4753" s="153" t="s">
        <v>16629</v>
      </c>
      <c r="D4753" s="154">
        <v>10</v>
      </c>
      <c r="E4753" s="155">
        <f>+D4753*100</f>
        <v>1000</v>
      </c>
    </row>
    <row r="4754" ht="16.5" spans="1:5">
      <c r="A4754" s="151">
        <v>4753</v>
      </c>
      <c r="B4754" s="152" t="s">
        <v>15782</v>
      </c>
      <c r="C4754" s="166" t="s">
        <v>16632</v>
      </c>
      <c r="D4754" s="173">
        <v>35000</v>
      </c>
      <c r="E4754" s="45">
        <v>3500000</v>
      </c>
    </row>
    <row r="4755" ht="16.5" spans="1:5">
      <c r="A4755" s="151">
        <v>4754</v>
      </c>
      <c r="B4755" s="152" t="s">
        <v>15786</v>
      </c>
      <c r="C4755" s="156" t="s">
        <v>16629</v>
      </c>
      <c r="D4755" s="154">
        <v>10</v>
      </c>
      <c r="E4755" s="155">
        <f>+D4755*100</f>
        <v>1000</v>
      </c>
    </row>
    <row r="4756" ht="16.5" spans="1:5">
      <c r="A4756" s="151">
        <v>4755</v>
      </c>
      <c r="B4756" s="152" t="s">
        <v>15789</v>
      </c>
      <c r="C4756" s="156" t="s">
        <v>16629</v>
      </c>
      <c r="D4756" s="159">
        <v>10</v>
      </c>
      <c r="E4756" s="155">
        <f>+D4756*100</f>
        <v>1000</v>
      </c>
    </row>
    <row r="4757" ht="16.5" spans="1:5">
      <c r="A4757" s="151">
        <v>4756</v>
      </c>
      <c r="B4757" s="152" t="s">
        <v>15792</v>
      </c>
      <c r="C4757" s="153" t="s">
        <v>16629</v>
      </c>
      <c r="D4757" s="158">
        <v>10</v>
      </c>
      <c r="E4757" s="155">
        <f>+D4757*100</f>
        <v>1000</v>
      </c>
    </row>
    <row r="4758" ht="16.5" spans="1:5">
      <c r="A4758" s="151">
        <v>4757</v>
      </c>
      <c r="B4758" s="152" t="s">
        <v>15795</v>
      </c>
      <c r="C4758" s="153" t="s">
        <v>16629</v>
      </c>
      <c r="D4758" s="158">
        <v>10</v>
      </c>
      <c r="E4758" s="155">
        <f>+D4758*100</f>
        <v>1000</v>
      </c>
    </row>
    <row r="4759" ht="16.5" spans="1:5">
      <c r="A4759" s="151">
        <v>4758</v>
      </c>
      <c r="B4759" s="152" t="s">
        <v>15798</v>
      </c>
      <c r="C4759" s="160" t="s">
        <v>16630</v>
      </c>
      <c r="D4759" s="160">
        <v>100</v>
      </c>
      <c r="E4759" s="161">
        <f>SUM(D4759*100)</f>
        <v>10000</v>
      </c>
    </row>
    <row r="4760" ht="16.5" spans="1:5">
      <c r="A4760" s="151">
        <v>4759</v>
      </c>
      <c r="B4760" s="152" t="s">
        <v>15802</v>
      </c>
      <c r="C4760" s="174" t="s">
        <v>16634</v>
      </c>
      <c r="D4760" s="160">
        <v>150</v>
      </c>
      <c r="E4760" s="161">
        <f>SUM(D4760*100)</f>
        <v>15000</v>
      </c>
    </row>
    <row r="4761" ht="16.5" spans="1:5">
      <c r="A4761" s="151">
        <v>4760</v>
      </c>
      <c r="B4761" s="152" t="s">
        <v>15806</v>
      </c>
      <c r="C4761" s="153" t="s">
        <v>16629</v>
      </c>
      <c r="D4761" s="154">
        <v>10</v>
      </c>
      <c r="E4761" s="155">
        <f>+D4761*100</f>
        <v>1000</v>
      </c>
    </row>
    <row r="4762" ht="16.5" spans="1:5">
      <c r="A4762" s="151">
        <v>4761</v>
      </c>
      <c r="B4762" s="152" t="s">
        <v>15809</v>
      </c>
      <c r="C4762" s="156" t="s">
        <v>16629</v>
      </c>
      <c r="D4762" s="159">
        <v>10</v>
      </c>
      <c r="E4762" s="155">
        <f>+D4762*100</f>
        <v>1000</v>
      </c>
    </row>
    <row r="4763" ht="16.5" spans="1:5">
      <c r="A4763" s="151">
        <v>4762</v>
      </c>
      <c r="B4763" s="152" t="s">
        <v>15812</v>
      </c>
      <c r="C4763" s="160" t="s">
        <v>16630</v>
      </c>
      <c r="D4763" s="160">
        <v>50</v>
      </c>
      <c r="E4763" s="161">
        <f>SUM(D4763*100)</f>
        <v>5000</v>
      </c>
    </row>
    <row r="4764" ht="16.5" spans="1:5">
      <c r="A4764" s="151">
        <v>4763</v>
      </c>
      <c r="B4764" s="152" t="s">
        <v>15816</v>
      </c>
      <c r="C4764" s="153" t="s">
        <v>16629</v>
      </c>
      <c r="D4764" s="158">
        <v>10</v>
      </c>
      <c r="E4764" s="155">
        <f t="shared" ref="E4764:E4769" si="169">+D4764*100</f>
        <v>1000</v>
      </c>
    </row>
    <row r="4765" ht="16.5" spans="1:5">
      <c r="A4765" s="151">
        <v>4764</v>
      </c>
      <c r="B4765" s="152" t="s">
        <v>15819</v>
      </c>
      <c r="C4765" s="153" t="s">
        <v>16629</v>
      </c>
      <c r="D4765" s="154">
        <v>10</v>
      </c>
      <c r="E4765" s="155">
        <f t="shared" si="169"/>
        <v>1000</v>
      </c>
    </row>
    <row r="4766" ht="16.5" spans="1:5">
      <c r="A4766" s="151">
        <v>4765</v>
      </c>
      <c r="B4766" s="152" t="s">
        <v>15822</v>
      </c>
      <c r="C4766" s="153" t="s">
        <v>16629</v>
      </c>
      <c r="D4766" s="158">
        <v>10</v>
      </c>
      <c r="E4766" s="155">
        <f t="shared" si="169"/>
        <v>1000</v>
      </c>
    </row>
    <row r="4767" ht="16.5" spans="1:5">
      <c r="A4767" s="151">
        <v>4766</v>
      </c>
      <c r="B4767" s="152" t="s">
        <v>15826</v>
      </c>
      <c r="C4767" s="153" t="s">
        <v>16629</v>
      </c>
      <c r="D4767" s="154">
        <v>10</v>
      </c>
      <c r="E4767" s="155">
        <f t="shared" si="169"/>
        <v>1000</v>
      </c>
    </row>
    <row r="4768" ht="16.5" spans="1:5">
      <c r="A4768" s="151">
        <v>4767</v>
      </c>
      <c r="B4768" s="152" t="s">
        <v>15829</v>
      </c>
      <c r="C4768" s="156" t="s">
        <v>16629</v>
      </c>
      <c r="D4768" s="159">
        <v>10</v>
      </c>
      <c r="E4768" s="155">
        <f t="shared" si="169"/>
        <v>1000</v>
      </c>
    </row>
    <row r="4769" ht="16.5" spans="1:5">
      <c r="A4769" s="151">
        <v>4768</v>
      </c>
      <c r="B4769" s="152" t="s">
        <v>15832</v>
      </c>
      <c r="C4769" s="156" t="s">
        <v>16629</v>
      </c>
      <c r="D4769" s="159">
        <v>10</v>
      </c>
      <c r="E4769" s="155">
        <f t="shared" si="169"/>
        <v>1000</v>
      </c>
    </row>
    <row r="4770" ht="16.5" spans="1:5">
      <c r="A4770" s="151">
        <v>4769</v>
      </c>
      <c r="B4770" s="152" t="s">
        <v>15836</v>
      </c>
      <c r="C4770" s="162" t="s">
        <v>16631</v>
      </c>
      <c r="D4770" s="163">
        <v>1000</v>
      </c>
      <c r="E4770" s="163">
        <f>D4770*100</f>
        <v>100000</v>
      </c>
    </row>
    <row r="4771" ht="16.5" spans="1:5">
      <c r="A4771" s="151">
        <v>4770</v>
      </c>
      <c r="B4771" s="152" t="s">
        <v>15841</v>
      </c>
      <c r="C4771" s="156" t="s">
        <v>16629</v>
      </c>
      <c r="D4771" s="159">
        <v>10</v>
      </c>
      <c r="E4771" s="155">
        <f>+D4771*100</f>
        <v>1000</v>
      </c>
    </row>
    <row r="4772" ht="16.5" spans="1:5">
      <c r="A4772" s="151">
        <v>4771</v>
      </c>
      <c r="B4772" s="152" t="s">
        <v>15844</v>
      </c>
      <c r="C4772" s="153" t="s">
        <v>16629</v>
      </c>
      <c r="D4772" s="154">
        <v>10</v>
      </c>
      <c r="E4772" s="155">
        <f>+D4772*100</f>
        <v>1000</v>
      </c>
    </row>
    <row r="4773" ht="16.5" spans="1:5">
      <c r="A4773" s="151">
        <v>4772</v>
      </c>
      <c r="B4773" s="152" t="s">
        <v>15848</v>
      </c>
      <c r="C4773" s="153" t="s">
        <v>16629</v>
      </c>
      <c r="D4773" s="154">
        <v>10</v>
      </c>
      <c r="E4773" s="155">
        <f>+D4773*100</f>
        <v>1000</v>
      </c>
    </row>
    <row r="4774" ht="16.5" spans="1:5">
      <c r="A4774" s="151">
        <v>4773</v>
      </c>
      <c r="B4774" s="152" t="s">
        <v>15851</v>
      </c>
      <c r="C4774" s="160" t="s">
        <v>16630</v>
      </c>
      <c r="D4774" s="160">
        <v>30</v>
      </c>
      <c r="E4774" s="161">
        <f>SUM(D4774*100)</f>
        <v>3000</v>
      </c>
    </row>
    <row r="4775" ht="16.5" spans="1:5">
      <c r="A4775" s="151">
        <v>4774</v>
      </c>
      <c r="B4775" s="152" t="s">
        <v>15855</v>
      </c>
      <c r="C4775" s="153" t="s">
        <v>16629</v>
      </c>
      <c r="D4775" s="154">
        <v>10</v>
      </c>
      <c r="E4775" s="155">
        <f>+D4775*100</f>
        <v>1000</v>
      </c>
    </row>
    <row r="4776" ht="16.5" spans="1:5">
      <c r="A4776" s="151">
        <v>4775</v>
      </c>
      <c r="B4776" s="152" t="s">
        <v>15859</v>
      </c>
      <c r="C4776" s="153" t="s">
        <v>16629</v>
      </c>
      <c r="D4776" s="158">
        <v>10</v>
      </c>
      <c r="E4776" s="155">
        <f>+D4776*100</f>
        <v>1000</v>
      </c>
    </row>
    <row r="4777" ht="16.5" spans="1:5">
      <c r="A4777" s="151">
        <v>4776</v>
      </c>
      <c r="B4777" s="152" t="s">
        <v>15862</v>
      </c>
      <c r="C4777" s="153" t="s">
        <v>16629</v>
      </c>
      <c r="D4777" s="158">
        <v>10</v>
      </c>
      <c r="E4777" s="155">
        <f>+D4777*100</f>
        <v>1000</v>
      </c>
    </row>
    <row r="4778" ht="16.5" spans="1:5">
      <c r="A4778" s="151">
        <v>4777</v>
      </c>
      <c r="B4778" s="152" t="s">
        <v>15865</v>
      </c>
      <c r="C4778" s="153" t="s">
        <v>16629</v>
      </c>
      <c r="D4778" s="154">
        <v>100</v>
      </c>
      <c r="E4778" s="155">
        <f>+D4778*100</f>
        <v>10000</v>
      </c>
    </row>
    <row r="4779" ht="16.5" spans="1:5">
      <c r="A4779" s="151">
        <v>4778</v>
      </c>
      <c r="B4779" s="152" t="s">
        <v>15868</v>
      </c>
      <c r="C4779" s="160" t="s">
        <v>16630</v>
      </c>
      <c r="D4779" s="160">
        <v>40</v>
      </c>
      <c r="E4779" s="161">
        <f>SUM(D4779*100)</f>
        <v>4000</v>
      </c>
    </row>
    <row r="4780" ht="16.5" spans="1:5">
      <c r="A4780" s="151">
        <v>4779</v>
      </c>
      <c r="B4780" s="152" t="s">
        <v>15871</v>
      </c>
      <c r="C4780" s="153" t="s">
        <v>16629</v>
      </c>
      <c r="D4780" s="154">
        <v>10</v>
      </c>
      <c r="E4780" s="155">
        <f>+D4780*100</f>
        <v>1000</v>
      </c>
    </row>
    <row r="4781" ht="16.5" spans="1:5">
      <c r="A4781" s="151">
        <v>4780</v>
      </c>
      <c r="B4781" s="152" t="s">
        <v>15875</v>
      </c>
      <c r="C4781" s="160" t="s">
        <v>16630</v>
      </c>
      <c r="D4781" s="164">
        <v>20</v>
      </c>
      <c r="E4781" s="161">
        <f>SUM(D4781*100)</f>
        <v>2000</v>
      </c>
    </row>
    <row r="4782" ht="16.5" spans="1:5">
      <c r="A4782" s="151">
        <v>4781</v>
      </c>
      <c r="B4782" s="152" t="s">
        <v>15878</v>
      </c>
      <c r="C4782" s="156" t="s">
        <v>16629</v>
      </c>
      <c r="D4782" s="159">
        <v>10</v>
      </c>
      <c r="E4782" s="155">
        <f>+D4782*100</f>
        <v>1000</v>
      </c>
    </row>
    <row r="4783" ht="16.5" spans="1:5">
      <c r="A4783" s="151">
        <v>4782</v>
      </c>
      <c r="B4783" s="152" t="s">
        <v>15881</v>
      </c>
      <c r="C4783" s="153" t="s">
        <v>16629</v>
      </c>
      <c r="D4783" s="158">
        <v>10</v>
      </c>
      <c r="E4783" s="155">
        <f>+D4783*100</f>
        <v>1000</v>
      </c>
    </row>
    <row r="4784" ht="16.5" spans="1:5">
      <c r="A4784" s="151">
        <v>4783</v>
      </c>
      <c r="B4784" s="152" t="s">
        <v>15884</v>
      </c>
      <c r="C4784" s="160" t="s">
        <v>16630</v>
      </c>
      <c r="D4784" s="160">
        <v>10</v>
      </c>
      <c r="E4784" s="161">
        <f>SUM(D4784*100)</f>
        <v>1000</v>
      </c>
    </row>
    <row r="4785" ht="16.5" spans="1:5">
      <c r="A4785" s="151">
        <v>4784</v>
      </c>
      <c r="B4785" s="152" t="s">
        <v>15887</v>
      </c>
      <c r="C4785" s="156" t="s">
        <v>16629</v>
      </c>
      <c r="D4785" s="157">
        <v>10</v>
      </c>
      <c r="E4785" s="155">
        <f>+D4785*100</f>
        <v>1000</v>
      </c>
    </row>
    <row r="4786" ht="16.5" spans="1:5">
      <c r="A4786" s="151">
        <v>4785</v>
      </c>
      <c r="B4786" s="152" t="s">
        <v>15890</v>
      </c>
      <c r="C4786" s="160" t="s">
        <v>16630</v>
      </c>
      <c r="D4786" s="41">
        <v>100</v>
      </c>
      <c r="E4786" s="161">
        <f>SUM(D4786*100)</f>
        <v>10000</v>
      </c>
    </row>
    <row r="4787" ht="16.5" spans="1:5">
      <c r="A4787" s="151">
        <v>4786</v>
      </c>
      <c r="B4787" s="152" t="s">
        <v>15893</v>
      </c>
      <c r="C4787" s="156" t="s">
        <v>16629</v>
      </c>
      <c r="D4787" s="159">
        <v>10</v>
      </c>
      <c r="E4787" s="155">
        <f>+D4787*100</f>
        <v>1000</v>
      </c>
    </row>
    <row r="4788" ht="16.5" spans="1:5">
      <c r="A4788" s="151">
        <v>4787</v>
      </c>
      <c r="B4788" s="152" t="s">
        <v>15896</v>
      </c>
      <c r="C4788" s="160" t="s">
        <v>16630</v>
      </c>
      <c r="D4788" s="175">
        <v>40</v>
      </c>
      <c r="E4788" s="161">
        <f>SUM(D4788*100)</f>
        <v>4000</v>
      </c>
    </row>
    <row r="4789" ht="16.5" spans="1:5">
      <c r="A4789" s="151">
        <v>4788</v>
      </c>
      <c r="B4789" s="152" t="s">
        <v>15899</v>
      </c>
      <c r="C4789" s="153" t="s">
        <v>16629</v>
      </c>
      <c r="D4789" s="154">
        <v>10</v>
      </c>
      <c r="E4789" s="155">
        <f>+D4789*100</f>
        <v>1000</v>
      </c>
    </row>
    <row r="4790" ht="16.5" spans="1:5">
      <c r="A4790" s="151">
        <v>4789</v>
      </c>
      <c r="B4790" s="152" t="s">
        <v>15903</v>
      </c>
      <c r="C4790" s="166" t="s">
        <v>16632</v>
      </c>
      <c r="D4790" s="166">
        <f>IFERROR(__xludf.DUMMYFUNCTION("""COMPUTED_VALUE"""),10000)</f>
        <v>10000</v>
      </c>
      <c r="E4790" s="168">
        <f>IFERROR(__xludf.DUMMYFUNCTION("""COMPUTED_VALUE"""),1500000)</f>
        <v>1500000</v>
      </c>
    </row>
    <row r="4791" ht="16.5" spans="1:5">
      <c r="A4791" s="151">
        <v>4790</v>
      </c>
      <c r="B4791" s="152" t="s">
        <v>15904</v>
      </c>
      <c r="C4791" s="156" t="s">
        <v>16629</v>
      </c>
      <c r="D4791" s="159">
        <v>10</v>
      </c>
      <c r="E4791" s="155">
        <f t="shared" ref="E4791:E4798" si="170">+D4791*100</f>
        <v>1000</v>
      </c>
    </row>
    <row r="4792" ht="16.5" spans="1:5">
      <c r="A4792" s="151">
        <v>4791</v>
      </c>
      <c r="B4792" s="152" t="s">
        <v>15908</v>
      </c>
      <c r="C4792" s="153" t="s">
        <v>16629</v>
      </c>
      <c r="D4792" s="154">
        <v>10</v>
      </c>
      <c r="E4792" s="155">
        <f t="shared" si="170"/>
        <v>1000</v>
      </c>
    </row>
    <row r="4793" ht="16.5" spans="1:5">
      <c r="A4793" s="151">
        <v>4792</v>
      </c>
      <c r="B4793" s="152" t="s">
        <v>15912</v>
      </c>
      <c r="C4793" s="153" t="s">
        <v>16629</v>
      </c>
      <c r="D4793" s="158">
        <v>10</v>
      </c>
      <c r="E4793" s="155">
        <f t="shared" si="170"/>
        <v>1000</v>
      </c>
    </row>
    <row r="4794" ht="16.5" spans="1:5">
      <c r="A4794" s="151">
        <v>4793</v>
      </c>
      <c r="B4794" s="152" t="s">
        <v>15916</v>
      </c>
      <c r="C4794" s="153" t="s">
        <v>16629</v>
      </c>
      <c r="D4794" s="154">
        <v>10</v>
      </c>
      <c r="E4794" s="155">
        <f t="shared" si="170"/>
        <v>1000</v>
      </c>
    </row>
    <row r="4795" ht="16.5" spans="1:5">
      <c r="A4795" s="151">
        <v>4794</v>
      </c>
      <c r="B4795" s="152" t="s">
        <v>15919</v>
      </c>
      <c r="C4795" s="153" t="s">
        <v>16629</v>
      </c>
      <c r="D4795" s="154">
        <v>10</v>
      </c>
      <c r="E4795" s="155">
        <f t="shared" si="170"/>
        <v>1000</v>
      </c>
    </row>
    <row r="4796" ht="16.5" spans="1:5">
      <c r="A4796" s="151">
        <v>4795</v>
      </c>
      <c r="B4796" s="152" t="s">
        <v>15923</v>
      </c>
      <c r="C4796" s="153" t="s">
        <v>16629</v>
      </c>
      <c r="D4796" s="154">
        <v>10</v>
      </c>
      <c r="E4796" s="155">
        <f t="shared" si="170"/>
        <v>1000</v>
      </c>
    </row>
    <row r="4797" ht="16.5" spans="1:5">
      <c r="A4797" s="151">
        <v>4796</v>
      </c>
      <c r="B4797" s="152" t="s">
        <v>15927</v>
      </c>
      <c r="C4797" s="156" t="s">
        <v>16629</v>
      </c>
      <c r="D4797" s="159">
        <v>10</v>
      </c>
      <c r="E4797" s="155">
        <f t="shared" si="170"/>
        <v>1000</v>
      </c>
    </row>
    <row r="4798" ht="16.5" spans="1:5">
      <c r="A4798" s="151">
        <v>4797</v>
      </c>
      <c r="B4798" s="152" t="s">
        <v>15931</v>
      </c>
      <c r="C4798" s="153" t="s">
        <v>16629</v>
      </c>
      <c r="D4798" s="154">
        <v>10</v>
      </c>
      <c r="E4798" s="155">
        <f t="shared" si="170"/>
        <v>1000</v>
      </c>
    </row>
    <row r="4799" ht="16.5" spans="1:5">
      <c r="A4799" s="151">
        <v>4798</v>
      </c>
      <c r="B4799" s="152" t="s">
        <v>15934</v>
      </c>
      <c r="C4799" s="162" t="s">
        <v>16631</v>
      </c>
      <c r="D4799" s="163">
        <v>1000</v>
      </c>
      <c r="E4799" s="163">
        <f>D4799*100</f>
        <v>100000</v>
      </c>
    </row>
    <row r="4800" ht="16.5" spans="1:5">
      <c r="A4800" s="151">
        <v>4799</v>
      </c>
      <c r="B4800" s="152" t="s">
        <v>15938</v>
      </c>
      <c r="C4800" s="162" t="s">
        <v>16631</v>
      </c>
      <c r="D4800" s="163">
        <v>1000</v>
      </c>
      <c r="E4800" s="163">
        <f>D4800*100</f>
        <v>100000</v>
      </c>
    </row>
    <row r="4801" ht="16.5" spans="1:5">
      <c r="A4801" s="151">
        <v>4800</v>
      </c>
      <c r="B4801" s="152" t="s">
        <v>15943</v>
      </c>
      <c r="C4801" s="153" t="s">
        <v>16629</v>
      </c>
      <c r="D4801" s="154">
        <v>10</v>
      </c>
      <c r="E4801" s="155">
        <f>+D4801*100</f>
        <v>1000</v>
      </c>
    </row>
    <row r="4802" ht="16.5" spans="1:5">
      <c r="A4802" s="151">
        <v>4801</v>
      </c>
      <c r="B4802" s="152" t="s">
        <v>15946</v>
      </c>
      <c r="C4802" s="153" t="s">
        <v>16629</v>
      </c>
      <c r="D4802" s="158">
        <v>10</v>
      </c>
      <c r="E4802" s="155">
        <f>+D4802*100</f>
        <v>1000</v>
      </c>
    </row>
    <row r="4803" ht="16.5" spans="1:5">
      <c r="A4803" s="151">
        <v>4802</v>
      </c>
      <c r="B4803" s="152" t="s">
        <v>15949</v>
      </c>
      <c r="C4803" s="160" t="s">
        <v>16630</v>
      </c>
      <c r="D4803" s="164">
        <v>20</v>
      </c>
      <c r="E4803" s="161">
        <f>SUM(D4803*100)</f>
        <v>2000</v>
      </c>
    </row>
    <row r="4804" ht="16.5" spans="1:5">
      <c r="A4804" s="151">
        <v>4803</v>
      </c>
      <c r="B4804" s="152" t="s">
        <v>15952</v>
      </c>
      <c r="C4804" s="162" t="s">
        <v>16631</v>
      </c>
      <c r="D4804" s="163">
        <v>1000</v>
      </c>
      <c r="E4804" s="163">
        <f>D4804*100</f>
        <v>100000</v>
      </c>
    </row>
    <row r="4805" ht="16.5" spans="1:5">
      <c r="A4805" s="151">
        <v>4804</v>
      </c>
      <c r="B4805" s="152" t="s">
        <v>15956</v>
      </c>
      <c r="C4805" s="153" t="s">
        <v>16629</v>
      </c>
      <c r="D4805" s="154">
        <v>10</v>
      </c>
      <c r="E4805" s="155">
        <f>+D4805*100</f>
        <v>1000</v>
      </c>
    </row>
    <row r="4806" ht="16.5" spans="1:5">
      <c r="A4806" s="151">
        <v>4805</v>
      </c>
      <c r="B4806" s="152" t="s">
        <v>15959</v>
      </c>
      <c r="C4806" s="162" t="s">
        <v>16631</v>
      </c>
      <c r="D4806" s="163">
        <v>1000</v>
      </c>
      <c r="E4806" s="163">
        <f>D4806*100</f>
        <v>100000</v>
      </c>
    </row>
    <row r="4807" ht="16.5" spans="1:5">
      <c r="A4807" s="151">
        <v>4806</v>
      </c>
      <c r="B4807" s="152" t="s">
        <v>15964</v>
      </c>
      <c r="C4807" s="156" t="s">
        <v>16629</v>
      </c>
      <c r="D4807" s="159">
        <v>20</v>
      </c>
      <c r="E4807" s="155">
        <f>+D4807*100</f>
        <v>2000</v>
      </c>
    </row>
    <row r="4808" ht="16.5" spans="1:5">
      <c r="A4808" s="151">
        <v>4807</v>
      </c>
      <c r="B4808" s="152" t="s">
        <v>15968</v>
      </c>
      <c r="C4808" s="156" t="s">
        <v>16629</v>
      </c>
      <c r="D4808" s="159">
        <v>10</v>
      </c>
      <c r="E4808" s="155">
        <f>+D4808*100</f>
        <v>1000</v>
      </c>
    </row>
    <row r="4809" ht="16.5" spans="1:5">
      <c r="A4809" s="151">
        <v>4808</v>
      </c>
      <c r="B4809" s="152" t="s">
        <v>15971</v>
      </c>
      <c r="C4809" s="156" t="s">
        <v>16629</v>
      </c>
      <c r="D4809" s="159">
        <v>10</v>
      </c>
      <c r="E4809" s="155">
        <f>+D4809*100</f>
        <v>1000</v>
      </c>
    </row>
    <row r="4810" ht="16.5" spans="1:5">
      <c r="A4810" s="151">
        <v>4809</v>
      </c>
      <c r="B4810" s="152" t="s">
        <v>15974</v>
      </c>
      <c r="C4810" s="160" t="s">
        <v>16630</v>
      </c>
      <c r="D4810" s="165">
        <v>10</v>
      </c>
      <c r="E4810" s="161">
        <f>SUM(D4810*100)</f>
        <v>1000</v>
      </c>
    </row>
    <row r="4811" ht="16.5" spans="1:5">
      <c r="A4811" s="151">
        <v>4810</v>
      </c>
      <c r="B4811" s="152" t="s">
        <v>15977</v>
      </c>
      <c r="C4811" s="156" t="s">
        <v>16629</v>
      </c>
      <c r="D4811" s="159">
        <v>10</v>
      </c>
      <c r="E4811" s="155">
        <f>+D4811*100</f>
        <v>1000</v>
      </c>
    </row>
    <row r="4812" ht="16.5" spans="1:5">
      <c r="A4812" s="151">
        <v>4811</v>
      </c>
      <c r="B4812" s="152" t="s">
        <v>15980</v>
      </c>
      <c r="C4812" s="153" t="s">
        <v>16629</v>
      </c>
      <c r="D4812" s="154">
        <v>10</v>
      </c>
      <c r="E4812" s="155">
        <f>+D4812*100</f>
        <v>1000</v>
      </c>
    </row>
    <row r="4813" ht="16.5" spans="1:5">
      <c r="A4813" s="151">
        <v>4812</v>
      </c>
      <c r="B4813" s="152" t="s">
        <v>15983</v>
      </c>
      <c r="C4813" s="160" t="s">
        <v>16630</v>
      </c>
      <c r="D4813" s="160">
        <v>25</v>
      </c>
      <c r="E4813" s="161">
        <f>SUM(D4813*100)</f>
        <v>2500</v>
      </c>
    </row>
    <row r="4814" ht="16.5" spans="1:5">
      <c r="A4814" s="151">
        <v>4813</v>
      </c>
      <c r="B4814" s="152" t="s">
        <v>15986</v>
      </c>
      <c r="C4814" s="160" t="s">
        <v>16630</v>
      </c>
      <c r="D4814" s="165">
        <v>30</v>
      </c>
      <c r="E4814" s="161">
        <f>SUM(D4814*100)</f>
        <v>3000</v>
      </c>
    </row>
    <row r="4815" ht="16.5" spans="1:5">
      <c r="A4815" s="151">
        <v>4814</v>
      </c>
      <c r="B4815" s="152" t="s">
        <v>15989</v>
      </c>
      <c r="C4815" s="160" t="s">
        <v>16630</v>
      </c>
      <c r="D4815" s="165">
        <v>30</v>
      </c>
      <c r="E4815" s="161">
        <f>SUM(D4815*100)</f>
        <v>3000</v>
      </c>
    </row>
    <row r="4816" ht="16.5" spans="1:5">
      <c r="A4816" s="151">
        <v>4815</v>
      </c>
      <c r="B4816" s="152" t="s">
        <v>15992</v>
      </c>
      <c r="C4816" s="153" t="s">
        <v>16629</v>
      </c>
      <c r="D4816" s="154">
        <v>10</v>
      </c>
      <c r="E4816" s="155">
        <f>+D4816*100</f>
        <v>1000</v>
      </c>
    </row>
    <row r="4817" ht="16.5" spans="1:5">
      <c r="A4817" s="151">
        <v>4816</v>
      </c>
      <c r="B4817" s="152" t="s">
        <v>15995</v>
      </c>
      <c r="C4817" s="156" t="s">
        <v>16629</v>
      </c>
      <c r="D4817" s="159">
        <v>10</v>
      </c>
      <c r="E4817" s="155">
        <f>+D4817*100</f>
        <v>1000</v>
      </c>
    </row>
    <row r="4818" ht="16.5" spans="1:5">
      <c r="A4818" s="151">
        <v>4817</v>
      </c>
      <c r="B4818" s="152" t="s">
        <v>15998</v>
      </c>
      <c r="C4818" s="160"/>
      <c r="D4818" s="172">
        <v>10</v>
      </c>
      <c r="E4818" s="161">
        <f>+D4818*100</f>
        <v>1000</v>
      </c>
    </row>
    <row r="4819" ht="16.5" spans="1:5">
      <c r="A4819" s="151">
        <v>4818</v>
      </c>
      <c r="B4819" s="152" t="s">
        <v>16001</v>
      </c>
      <c r="C4819" s="153" t="s">
        <v>16629</v>
      </c>
      <c r="D4819" s="154">
        <v>10</v>
      </c>
      <c r="E4819" s="155">
        <f>+D4819*100</f>
        <v>1000</v>
      </c>
    </row>
    <row r="4820" ht="16.5" spans="1:5">
      <c r="A4820" s="151">
        <v>4819</v>
      </c>
      <c r="B4820" s="152" t="s">
        <v>16005</v>
      </c>
      <c r="C4820" s="160" t="s">
        <v>16630</v>
      </c>
      <c r="D4820" s="160">
        <v>100</v>
      </c>
      <c r="E4820" s="161">
        <f>SUM(D4820*100)</f>
        <v>10000</v>
      </c>
    </row>
    <row r="4821" ht="16.5" spans="1:5">
      <c r="A4821" s="151">
        <v>4820</v>
      </c>
      <c r="B4821" s="152" t="s">
        <v>16008</v>
      </c>
      <c r="C4821" s="153" t="s">
        <v>16629</v>
      </c>
      <c r="D4821" s="158">
        <v>10</v>
      </c>
      <c r="E4821" s="155">
        <f>+D4821*100</f>
        <v>1000</v>
      </c>
    </row>
    <row r="4822" ht="16.5" spans="1:5">
      <c r="A4822" s="151">
        <v>4821</v>
      </c>
      <c r="B4822" s="152" t="s">
        <v>16011</v>
      </c>
      <c r="C4822" s="162" t="s">
        <v>16631</v>
      </c>
      <c r="D4822" s="163">
        <v>2000</v>
      </c>
      <c r="E4822" s="163">
        <f>D4822*100</f>
        <v>200000</v>
      </c>
    </row>
    <row r="4823" ht="16.5" spans="1:5">
      <c r="A4823" s="151">
        <v>4822</v>
      </c>
      <c r="B4823" s="152" t="s">
        <v>16016</v>
      </c>
      <c r="C4823" s="153" t="s">
        <v>16629</v>
      </c>
      <c r="D4823" s="154">
        <v>10</v>
      </c>
      <c r="E4823" s="155">
        <f>+D4823*100</f>
        <v>1000</v>
      </c>
    </row>
    <row r="4824" ht="16.5" spans="1:5">
      <c r="A4824" s="151">
        <v>4823</v>
      </c>
      <c r="B4824" s="152" t="s">
        <v>16019</v>
      </c>
      <c r="C4824" s="153" t="s">
        <v>16629</v>
      </c>
      <c r="D4824" s="154">
        <v>10</v>
      </c>
      <c r="E4824" s="155">
        <f>+D4824*100</f>
        <v>1000</v>
      </c>
    </row>
    <row r="4825" ht="16.5" spans="1:5">
      <c r="A4825" s="151">
        <v>4824</v>
      </c>
      <c r="B4825" s="152" t="s">
        <v>16022</v>
      </c>
      <c r="C4825" s="160" t="s">
        <v>16630</v>
      </c>
      <c r="D4825" s="160">
        <v>30</v>
      </c>
      <c r="E4825" s="161">
        <f>SUM(D4825*100)</f>
        <v>3000</v>
      </c>
    </row>
    <row r="4826" ht="16.5" spans="1:5">
      <c r="A4826" s="151">
        <v>4825</v>
      </c>
      <c r="B4826" s="152" t="s">
        <v>16026</v>
      </c>
      <c r="C4826" s="160" t="s">
        <v>16630</v>
      </c>
      <c r="D4826" s="160">
        <v>10</v>
      </c>
      <c r="E4826" s="161">
        <f>SUM(D4826*100)</f>
        <v>1000</v>
      </c>
    </row>
    <row r="4827" ht="16.5" spans="1:5">
      <c r="A4827" s="151">
        <v>4826</v>
      </c>
      <c r="B4827" s="152" t="s">
        <v>16029</v>
      </c>
      <c r="C4827" s="160" t="s">
        <v>16630</v>
      </c>
      <c r="D4827" s="160">
        <v>200</v>
      </c>
      <c r="E4827" s="161">
        <f>SUM(D4827*100)</f>
        <v>20000</v>
      </c>
    </row>
    <row r="4828" ht="16.5" spans="1:5">
      <c r="A4828" s="151">
        <v>4827</v>
      </c>
      <c r="B4828" s="152" t="s">
        <v>16033</v>
      </c>
      <c r="C4828" s="156" t="s">
        <v>16629</v>
      </c>
      <c r="D4828" s="159">
        <v>10</v>
      </c>
      <c r="E4828" s="155">
        <f t="shared" ref="E4828:E4835" si="171">+D4828*100</f>
        <v>1000</v>
      </c>
    </row>
    <row r="4829" ht="16.5" spans="1:5">
      <c r="A4829" s="151">
        <v>4828</v>
      </c>
      <c r="B4829" s="152" t="s">
        <v>16036</v>
      </c>
      <c r="C4829" s="156" t="s">
        <v>16629</v>
      </c>
      <c r="D4829" s="159">
        <v>10</v>
      </c>
      <c r="E4829" s="155">
        <f t="shared" si="171"/>
        <v>1000</v>
      </c>
    </row>
    <row r="4830" ht="16.5" spans="1:5">
      <c r="A4830" s="151">
        <v>4829</v>
      </c>
      <c r="B4830" s="152" t="s">
        <v>16039</v>
      </c>
      <c r="C4830" s="156" t="s">
        <v>16629</v>
      </c>
      <c r="D4830" s="154">
        <v>10</v>
      </c>
      <c r="E4830" s="155">
        <f t="shared" si="171"/>
        <v>1000</v>
      </c>
    </row>
    <row r="4831" ht="16.5" spans="1:5">
      <c r="A4831" s="151">
        <v>4830</v>
      </c>
      <c r="B4831" s="152" t="s">
        <v>16043</v>
      </c>
      <c r="C4831" s="156" t="s">
        <v>16629</v>
      </c>
      <c r="D4831" s="159">
        <v>10</v>
      </c>
      <c r="E4831" s="155">
        <f t="shared" si="171"/>
        <v>1000</v>
      </c>
    </row>
    <row r="4832" ht="16.5" spans="1:5">
      <c r="A4832" s="151">
        <v>4831</v>
      </c>
      <c r="B4832" s="152" t="s">
        <v>16046</v>
      </c>
      <c r="C4832" s="153" t="s">
        <v>16629</v>
      </c>
      <c r="D4832" s="180">
        <v>10</v>
      </c>
      <c r="E4832" s="155">
        <f t="shared" si="171"/>
        <v>1000</v>
      </c>
    </row>
    <row r="4833" ht="16.5" spans="1:5">
      <c r="A4833" s="151">
        <v>4832</v>
      </c>
      <c r="B4833" s="152" t="s">
        <v>16049</v>
      </c>
      <c r="C4833" s="156" t="s">
        <v>16629</v>
      </c>
      <c r="D4833" s="159">
        <v>10</v>
      </c>
      <c r="E4833" s="155">
        <f t="shared" si="171"/>
        <v>1000</v>
      </c>
    </row>
    <row r="4834" ht="16.5" spans="1:5">
      <c r="A4834" s="151">
        <v>4833</v>
      </c>
      <c r="B4834" s="152" t="s">
        <v>16052</v>
      </c>
      <c r="C4834" s="156" t="s">
        <v>16629</v>
      </c>
      <c r="D4834" s="159">
        <v>10</v>
      </c>
      <c r="E4834" s="155">
        <f t="shared" si="171"/>
        <v>1000</v>
      </c>
    </row>
    <row r="4835" ht="16.5" spans="1:5">
      <c r="A4835" s="151">
        <v>4834</v>
      </c>
      <c r="B4835" s="152" t="s">
        <v>16055</v>
      </c>
      <c r="C4835" s="156" t="s">
        <v>16629</v>
      </c>
      <c r="D4835" s="159">
        <v>10</v>
      </c>
      <c r="E4835" s="155">
        <f t="shared" si="171"/>
        <v>1000</v>
      </c>
    </row>
    <row r="4836" ht="16.5" spans="1:5">
      <c r="A4836" s="151">
        <v>4835</v>
      </c>
      <c r="B4836" s="152" t="s">
        <v>16058</v>
      </c>
      <c r="C4836" s="160" t="s">
        <v>16630</v>
      </c>
      <c r="D4836" s="41">
        <v>20</v>
      </c>
      <c r="E4836" s="161">
        <f>SUM(D4836*100)</f>
        <v>2000</v>
      </c>
    </row>
    <row r="4837" ht="16.5" spans="1:5">
      <c r="A4837" s="151">
        <v>4836</v>
      </c>
      <c r="B4837" s="152" t="s">
        <v>16061</v>
      </c>
      <c r="C4837" s="162" t="s">
        <v>16631</v>
      </c>
      <c r="D4837" s="163">
        <v>1000</v>
      </c>
      <c r="E4837" s="163">
        <f>D4837*100</f>
        <v>100000</v>
      </c>
    </row>
    <row r="4838" ht="16.5" spans="1:5">
      <c r="A4838" s="151">
        <v>4837</v>
      </c>
      <c r="B4838" s="152" t="s">
        <v>16065</v>
      </c>
      <c r="C4838" s="160" t="s">
        <v>16630</v>
      </c>
      <c r="D4838" s="160">
        <v>10</v>
      </c>
      <c r="E4838" s="161">
        <f>SUM(D4838*100)</f>
        <v>1000</v>
      </c>
    </row>
    <row r="4839" ht="16.5" spans="1:5">
      <c r="A4839" s="151">
        <v>4838</v>
      </c>
      <c r="B4839" s="152" t="s">
        <v>16069</v>
      </c>
      <c r="C4839" s="160" t="s">
        <v>16630</v>
      </c>
      <c r="D4839" s="160">
        <v>410</v>
      </c>
      <c r="E4839" s="161">
        <f>SUM(D4839*100)</f>
        <v>41000</v>
      </c>
    </row>
    <row r="4840" ht="16.5" spans="1:5">
      <c r="A4840" s="151">
        <v>4839</v>
      </c>
      <c r="B4840" s="152" t="s">
        <v>16073</v>
      </c>
      <c r="C4840" s="156" t="s">
        <v>16629</v>
      </c>
      <c r="D4840" s="159">
        <v>10</v>
      </c>
      <c r="E4840" s="155">
        <f t="shared" ref="E4840:E4847" si="172">+D4840*100</f>
        <v>1000</v>
      </c>
    </row>
    <row r="4841" ht="16.5" spans="1:5">
      <c r="A4841" s="151">
        <v>4840</v>
      </c>
      <c r="B4841" s="152" t="s">
        <v>16076</v>
      </c>
      <c r="C4841" s="153" t="s">
        <v>16629</v>
      </c>
      <c r="D4841" s="154">
        <v>10</v>
      </c>
      <c r="E4841" s="155">
        <f t="shared" si="172"/>
        <v>1000</v>
      </c>
    </row>
    <row r="4842" ht="16.5" spans="1:5">
      <c r="A4842" s="151">
        <v>4841</v>
      </c>
      <c r="B4842" s="152" t="s">
        <v>16079</v>
      </c>
      <c r="C4842" s="156" t="s">
        <v>16629</v>
      </c>
      <c r="D4842" s="157">
        <v>10</v>
      </c>
      <c r="E4842" s="155">
        <f t="shared" si="172"/>
        <v>1000</v>
      </c>
    </row>
    <row r="4843" ht="16.5" spans="1:5">
      <c r="A4843" s="151">
        <v>4842</v>
      </c>
      <c r="B4843" s="152" t="s">
        <v>16082</v>
      </c>
      <c r="C4843" s="153" t="s">
        <v>16629</v>
      </c>
      <c r="D4843" s="154">
        <v>10</v>
      </c>
      <c r="E4843" s="155">
        <f t="shared" si="172"/>
        <v>1000</v>
      </c>
    </row>
    <row r="4844" ht="16.5" spans="1:5">
      <c r="A4844" s="151">
        <v>4843</v>
      </c>
      <c r="B4844" s="152" t="s">
        <v>16086</v>
      </c>
      <c r="C4844" s="156" t="s">
        <v>16629</v>
      </c>
      <c r="D4844" s="159">
        <v>10</v>
      </c>
      <c r="E4844" s="155">
        <f t="shared" si="172"/>
        <v>1000</v>
      </c>
    </row>
    <row r="4845" ht="16.5" spans="1:5">
      <c r="A4845" s="151">
        <v>4844</v>
      </c>
      <c r="B4845" s="152" t="s">
        <v>16090</v>
      </c>
      <c r="C4845" s="156" t="s">
        <v>16629</v>
      </c>
      <c r="D4845" s="159">
        <v>10</v>
      </c>
      <c r="E4845" s="155">
        <f t="shared" si="172"/>
        <v>1000</v>
      </c>
    </row>
    <row r="4846" ht="16.5" spans="1:5">
      <c r="A4846" s="151">
        <v>4845</v>
      </c>
      <c r="B4846" s="152" t="s">
        <v>16093</v>
      </c>
      <c r="C4846" s="160" t="s">
        <v>16630</v>
      </c>
      <c r="D4846" s="172">
        <v>50</v>
      </c>
      <c r="E4846" s="161">
        <f t="shared" si="172"/>
        <v>5000</v>
      </c>
    </row>
    <row r="4847" ht="16.5" spans="1:5">
      <c r="A4847" s="151">
        <v>4846</v>
      </c>
      <c r="B4847" s="152" t="s">
        <v>16096</v>
      </c>
      <c r="C4847" s="153" t="s">
        <v>16629</v>
      </c>
      <c r="D4847" s="154">
        <v>10</v>
      </c>
      <c r="E4847" s="155">
        <f t="shared" si="172"/>
        <v>1000</v>
      </c>
    </row>
    <row r="4848" ht="16.5" spans="1:5">
      <c r="A4848" s="151">
        <v>4847</v>
      </c>
      <c r="B4848" s="152" t="s">
        <v>16099</v>
      </c>
      <c r="C4848" s="160" t="s">
        <v>16630</v>
      </c>
      <c r="D4848" s="172">
        <v>20</v>
      </c>
      <c r="E4848" s="161">
        <f>SUM(D4848*100)</f>
        <v>2000</v>
      </c>
    </row>
    <row r="4849" ht="16.5" spans="1:5">
      <c r="A4849" s="151">
        <v>4848</v>
      </c>
      <c r="B4849" s="152" t="s">
        <v>16102</v>
      </c>
      <c r="C4849" s="160" t="s">
        <v>16630</v>
      </c>
      <c r="D4849" s="160">
        <v>400</v>
      </c>
      <c r="E4849" s="161">
        <f>SUM(D4849*100)</f>
        <v>40000</v>
      </c>
    </row>
    <row r="4850" ht="16.5" spans="1:5">
      <c r="A4850" s="151">
        <v>4849</v>
      </c>
      <c r="B4850" s="152" t="s">
        <v>16106</v>
      </c>
      <c r="C4850" s="166" t="s">
        <v>16632</v>
      </c>
      <c r="D4850" s="166">
        <f>IFERROR(__xludf.DUMMYFUNCTION("""COMPUTED_VALUE"""),15000)</f>
        <v>15000</v>
      </c>
      <c r="E4850" s="168">
        <f>IFERROR(__xludf.DUMMYFUNCTION("""COMPUTED_VALUE"""),1500000)</f>
        <v>1500000</v>
      </c>
    </row>
    <row r="4851" ht="16.5" spans="1:5">
      <c r="A4851" s="151">
        <v>4850</v>
      </c>
      <c r="B4851" s="152" t="s">
        <v>16107</v>
      </c>
      <c r="C4851" s="153" t="s">
        <v>16629</v>
      </c>
      <c r="D4851" s="158">
        <v>10</v>
      </c>
      <c r="E4851" s="155">
        <f t="shared" ref="E4851:E4856" si="173">+D4851*100</f>
        <v>1000</v>
      </c>
    </row>
    <row r="4852" ht="16.5" spans="1:5">
      <c r="A4852" s="151">
        <v>4851</v>
      </c>
      <c r="B4852" s="152" t="s">
        <v>16111</v>
      </c>
      <c r="C4852" s="153" t="s">
        <v>16629</v>
      </c>
      <c r="D4852" s="154">
        <v>10</v>
      </c>
      <c r="E4852" s="155">
        <f t="shared" si="173"/>
        <v>1000</v>
      </c>
    </row>
    <row r="4853" ht="16.5" spans="1:5">
      <c r="A4853" s="151">
        <v>4852</v>
      </c>
      <c r="B4853" s="152" t="s">
        <v>16114</v>
      </c>
      <c r="C4853" s="153" t="s">
        <v>16629</v>
      </c>
      <c r="D4853" s="154">
        <v>10</v>
      </c>
      <c r="E4853" s="155">
        <f t="shared" si="173"/>
        <v>1000</v>
      </c>
    </row>
    <row r="4854" ht="16.5" spans="1:5">
      <c r="A4854" s="151">
        <v>4853</v>
      </c>
      <c r="B4854" s="152" t="s">
        <v>16117</v>
      </c>
      <c r="C4854" s="153" t="s">
        <v>16629</v>
      </c>
      <c r="D4854" s="154">
        <v>10</v>
      </c>
      <c r="E4854" s="155">
        <f t="shared" si="173"/>
        <v>1000</v>
      </c>
    </row>
    <row r="4855" ht="16.5" spans="1:5">
      <c r="A4855" s="151">
        <v>4854</v>
      </c>
      <c r="B4855" s="152" t="s">
        <v>16120</v>
      </c>
      <c r="C4855" s="156" t="s">
        <v>16629</v>
      </c>
      <c r="D4855" s="159">
        <v>10</v>
      </c>
      <c r="E4855" s="155">
        <f t="shared" si="173"/>
        <v>1000</v>
      </c>
    </row>
    <row r="4856" ht="16.5" spans="1:5">
      <c r="A4856" s="151">
        <v>4855</v>
      </c>
      <c r="B4856" s="152" t="s">
        <v>16124</v>
      </c>
      <c r="C4856" s="156" t="s">
        <v>16629</v>
      </c>
      <c r="D4856" s="159">
        <v>10</v>
      </c>
      <c r="E4856" s="155">
        <f t="shared" si="173"/>
        <v>1000</v>
      </c>
    </row>
    <row r="4857" ht="16.5" spans="1:5">
      <c r="A4857" s="151">
        <v>4856</v>
      </c>
      <c r="B4857" s="152" t="s">
        <v>16127</v>
      </c>
      <c r="C4857" s="160" t="s">
        <v>16630</v>
      </c>
      <c r="D4857" s="175">
        <v>50</v>
      </c>
      <c r="E4857" s="161">
        <f>SUM(D4857*100)</f>
        <v>5000</v>
      </c>
    </row>
    <row r="4858" ht="16.5" spans="1:5">
      <c r="A4858" s="151">
        <v>4857</v>
      </c>
      <c r="B4858" s="152" t="s">
        <v>16130</v>
      </c>
      <c r="C4858" s="156" t="s">
        <v>16629</v>
      </c>
      <c r="D4858" s="157">
        <v>10</v>
      </c>
      <c r="E4858" s="155">
        <f>+D4858*100</f>
        <v>1000</v>
      </c>
    </row>
    <row r="4859" ht="16.5" spans="1:5">
      <c r="A4859" s="151">
        <v>4858</v>
      </c>
      <c r="B4859" s="152" t="s">
        <v>16133</v>
      </c>
      <c r="C4859" s="156" t="s">
        <v>16629</v>
      </c>
      <c r="D4859" s="159">
        <v>10</v>
      </c>
      <c r="E4859" s="155">
        <f>+D4859*100</f>
        <v>1000</v>
      </c>
    </row>
    <row r="4860" ht="16.5" spans="1:5">
      <c r="A4860" s="151">
        <v>4859</v>
      </c>
      <c r="B4860" s="152" t="s">
        <v>16136</v>
      </c>
      <c r="C4860" s="153" t="s">
        <v>16629</v>
      </c>
      <c r="D4860" s="158">
        <v>10</v>
      </c>
      <c r="E4860" s="155">
        <f>+D4860*100</f>
        <v>1000</v>
      </c>
    </row>
    <row r="4861" ht="16.5" spans="1:5">
      <c r="A4861" s="151">
        <v>4860</v>
      </c>
      <c r="B4861" s="152" t="s">
        <v>16139</v>
      </c>
      <c r="C4861" s="160" t="s">
        <v>16630</v>
      </c>
      <c r="D4861" s="165">
        <v>300</v>
      </c>
      <c r="E4861" s="161">
        <f>SUM(D4861*100)</f>
        <v>30000</v>
      </c>
    </row>
    <row r="4862" ht="16.5" spans="1:5">
      <c r="A4862" s="151">
        <v>4861</v>
      </c>
      <c r="B4862" s="152" t="s">
        <v>16142</v>
      </c>
      <c r="C4862" s="166" t="s">
        <v>16632</v>
      </c>
      <c r="D4862" s="166">
        <f>IFERROR(__xludf.DUMMYFUNCTION("""COMPUTED_VALUE"""),10000)</f>
        <v>10000</v>
      </c>
      <c r="E4862" s="168">
        <f>IFERROR(__xludf.DUMMYFUNCTION("""COMPUTED_VALUE"""),1500000)</f>
        <v>1500000</v>
      </c>
    </row>
    <row r="4863" ht="16.5" spans="1:5">
      <c r="A4863" s="151">
        <v>4862</v>
      </c>
      <c r="B4863" s="152" t="s">
        <v>16143</v>
      </c>
      <c r="C4863" s="153" t="s">
        <v>16629</v>
      </c>
      <c r="D4863" s="154">
        <v>10</v>
      </c>
      <c r="E4863" s="155">
        <f>+D4863*100</f>
        <v>1000</v>
      </c>
    </row>
    <row r="4864" ht="16.5" spans="1:5">
      <c r="A4864" s="151">
        <v>4863</v>
      </c>
      <c r="B4864" s="152" t="s">
        <v>16146</v>
      </c>
      <c r="C4864" s="160" t="s">
        <v>16630</v>
      </c>
      <c r="D4864" s="41">
        <v>300</v>
      </c>
      <c r="E4864" s="161">
        <f>SUM(D4864*100)</f>
        <v>30000</v>
      </c>
    </row>
    <row r="4865" ht="16.5" spans="1:5">
      <c r="A4865" s="151">
        <v>4864</v>
      </c>
      <c r="B4865" s="152" t="s">
        <v>16149</v>
      </c>
      <c r="C4865" s="156" t="s">
        <v>16629</v>
      </c>
      <c r="D4865" s="159">
        <v>10</v>
      </c>
      <c r="E4865" s="155">
        <f>+D4865*100</f>
        <v>1000</v>
      </c>
    </row>
    <row r="4866" ht="16.5" spans="1:5">
      <c r="A4866" s="151">
        <v>4865</v>
      </c>
      <c r="B4866" s="152" t="s">
        <v>16152</v>
      </c>
      <c r="C4866" s="156" t="s">
        <v>16629</v>
      </c>
      <c r="D4866" s="154">
        <v>10</v>
      </c>
      <c r="E4866" s="155">
        <f>+D4866*100</f>
        <v>1000</v>
      </c>
    </row>
    <row r="4867" ht="16.5" spans="1:5">
      <c r="A4867" s="151">
        <v>4866</v>
      </c>
      <c r="B4867" s="152" t="s">
        <v>16155</v>
      </c>
      <c r="C4867" s="153" t="s">
        <v>16629</v>
      </c>
      <c r="D4867" s="158">
        <v>10</v>
      </c>
      <c r="E4867" s="155">
        <f>+D4867*100</f>
        <v>1000</v>
      </c>
    </row>
    <row r="4868" ht="16.5" spans="1:5">
      <c r="A4868" s="151">
        <v>4867</v>
      </c>
      <c r="B4868" s="152" t="s">
        <v>16158</v>
      </c>
      <c r="C4868" s="153" t="s">
        <v>16629</v>
      </c>
      <c r="D4868" s="158">
        <v>10</v>
      </c>
      <c r="E4868" s="155">
        <f>+D4868*100</f>
        <v>1000</v>
      </c>
    </row>
    <row r="4869" ht="16.5" spans="1:5">
      <c r="A4869" s="151">
        <v>4868</v>
      </c>
      <c r="B4869" s="152" t="s">
        <v>16161</v>
      </c>
      <c r="C4869" s="166" t="s">
        <v>16632</v>
      </c>
      <c r="D4869" s="173">
        <v>35000</v>
      </c>
      <c r="E4869" s="45">
        <v>3500000</v>
      </c>
    </row>
    <row r="4870" ht="16.5" spans="1:5">
      <c r="A4870" s="151">
        <v>4869</v>
      </c>
      <c r="B4870" s="152" t="s">
        <v>16165</v>
      </c>
      <c r="C4870" s="153" t="s">
        <v>16629</v>
      </c>
      <c r="D4870" s="158">
        <v>10</v>
      </c>
      <c r="E4870" s="155">
        <f>+D4870*100</f>
        <v>1000</v>
      </c>
    </row>
    <row r="4871" ht="16.5" spans="1:5">
      <c r="A4871" s="151">
        <v>4870</v>
      </c>
      <c r="B4871" s="152" t="s">
        <v>16169</v>
      </c>
      <c r="C4871" s="162" t="s">
        <v>16633</v>
      </c>
      <c r="D4871" s="171">
        <f>G4871/100</f>
        <v>0</v>
      </c>
      <c r="E4871" s="171">
        <f>G4871</f>
        <v>0</v>
      </c>
    </row>
    <row r="4872" ht="16.5" spans="1:5">
      <c r="A4872" s="151">
        <v>4871</v>
      </c>
      <c r="B4872" s="152" t="s">
        <v>16174</v>
      </c>
      <c r="C4872" s="153" t="s">
        <v>16629</v>
      </c>
      <c r="D4872" s="154">
        <v>10</v>
      </c>
      <c r="E4872" s="155">
        <f>+D4872*100</f>
        <v>1000</v>
      </c>
    </row>
    <row r="4873" ht="16.5" spans="1:5">
      <c r="A4873" s="151">
        <v>4872</v>
      </c>
      <c r="B4873" s="152" t="s">
        <v>16177</v>
      </c>
      <c r="C4873" s="166" t="s">
        <v>16632</v>
      </c>
      <c r="D4873" s="166">
        <f>IFERROR(__xludf.DUMMYFUNCTION("""COMPUTED_VALUE"""),10000)</f>
        <v>10000</v>
      </c>
      <c r="E4873" s="168">
        <f>IFERROR(__xludf.DUMMYFUNCTION("""COMPUTED_VALUE"""),1500000)</f>
        <v>1500000</v>
      </c>
    </row>
    <row r="4874" ht="16.5" spans="1:5">
      <c r="A4874" s="151">
        <v>4873</v>
      </c>
      <c r="B4874" s="152" t="s">
        <v>16178</v>
      </c>
      <c r="C4874" s="156" t="s">
        <v>16629</v>
      </c>
      <c r="D4874" s="159">
        <v>10</v>
      </c>
      <c r="E4874" s="155">
        <f>+D4874*100</f>
        <v>1000</v>
      </c>
    </row>
    <row r="4875" ht="16.5" spans="1:5">
      <c r="A4875" s="151">
        <v>4874</v>
      </c>
      <c r="B4875" s="152" t="s">
        <v>16181</v>
      </c>
      <c r="C4875" s="166" t="s">
        <v>16632</v>
      </c>
      <c r="D4875" s="151">
        <f>IFERROR(__xludf.DUMMYFUNCTION("""COMPUTED_VALUE"""),15000)</f>
        <v>15000</v>
      </c>
      <c r="E4875" s="167">
        <f>IFERROR(__xludf.DUMMYFUNCTION("""COMPUTED_VALUE"""),1500000)</f>
        <v>1500000</v>
      </c>
    </row>
    <row r="4876" ht="16.5" spans="1:5">
      <c r="A4876" s="151">
        <v>4875</v>
      </c>
      <c r="B4876" s="152" t="s">
        <v>16182</v>
      </c>
      <c r="C4876" s="162" t="s">
        <v>16631</v>
      </c>
      <c r="D4876" s="163">
        <v>1000</v>
      </c>
      <c r="E4876" s="163">
        <f>D4876*100</f>
        <v>100000</v>
      </c>
    </row>
    <row r="4877" ht="16.5" spans="1:5">
      <c r="A4877" s="151">
        <v>4876</v>
      </c>
      <c r="B4877" s="152" t="s">
        <v>16187</v>
      </c>
      <c r="C4877" s="160" t="s">
        <v>16630</v>
      </c>
      <c r="D4877" s="175">
        <v>10</v>
      </c>
      <c r="E4877" s="161">
        <f>SUM(D4877*100)</f>
        <v>1000</v>
      </c>
    </row>
    <row r="4878" ht="16.5" spans="1:5">
      <c r="A4878" s="151">
        <v>4877</v>
      </c>
      <c r="B4878" s="152" t="s">
        <v>16190</v>
      </c>
      <c r="C4878" s="153" t="s">
        <v>16629</v>
      </c>
      <c r="D4878" s="158">
        <v>10</v>
      </c>
      <c r="E4878" s="155">
        <f>+D4878*100</f>
        <v>1000</v>
      </c>
    </row>
    <row r="4879" ht="16.5" spans="1:5">
      <c r="A4879" s="151">
        <v>4878</v>
      </c>
      <c r="B4879" s="152" t="s">
        <v>16194</v>
      </c>
      <c r="C4879" s="162" t="s">
        <v>16633</v>
      </c>
      <c r="D4879" s="171">
        <f>G4879/100</f>
        <v>0</v>
      </c>
      <c r="E4879" s="171">
        <f>G4879</f>
        <v>0</v>
      </c>
    </row>
    <row r="4880" ht="16.5" spans="1:5">
      <c r="A4880" s="151">
        <v>4879</v>
      </c>
      <c r="B4880" s="152" t="s">
        <v>16199</v>
      </c>
      <c r="C4880" s="160" t="s">
        <v>16630</v>
      </c>
      <c r="D4880" s="160">
        <v>100</v>
      </c>
      <c r="E4880" s="161">
        <f>SUM(D4880*100)</f>
        <v>10000</v>
      </c>
    </row>
    <row r="4881" ht="16.5" spans="1:5">
      <c r="A4881" s="151">
        <v>4880</v>
      </c>
      <c r="B4881" s="152" t="s">
        <v>16202</v>
      </c>
      <c r="C4881" s="160" t="s">
        <v>16630</v>
      </c>
      <c r="D4881" s="41">
        <v>100</v>
      </c>
      <c r="E4881" s="161">
        <f>SUM(D4881*100)</f>
        <v>10000</v>
      </c>
    </row>
    <row r="4882" ht="16.5" spans="1:5">
      <c r="A4882" s="151">
        <v>4881</v>
      </c>
      <c r="B4882" s="152" t="s">
        <v>16205</v>
      </c>
      <c r="C4882" s="160" t="s">
        <v>16630</v>
      </c>
      <c r="D4882" s="160">
        <v>10</v>
      </c>
      <c r="E4882" s="161">
        <f>SUM(D4882*100)</f>
        <v>1000</v>
      </c>
    </row>
    <row r="4883" ht="16.5" spans="1:5">
      <c r="A4883" s="151">
        <v>4882</v>
      </c>
      <c r="B4883" s="152" t="s">
        <v>16208</v>
      </c>
      <c r="C4883" s="162" t="s">
        <v>16631</v>
      </c>
      <c r="D4883" s="163">
        <v>1000</v>
      </c>
      <c r="E4883" s="163">
        <f>D4883*100</f>
        <v>100000</v>
      </c>
    </row>
    <row r="4884" ht="16.5" spans="1:5">
      <c r="A4884" s="151">
        <v>4883</v>
      </c>
      <c r="B4884" s="152" t="s">
        <v>16211</v>
      </c>
      <c r="C4884" s="160" t="s">
        <v>16630</v>
      </c>
      <c r="D4884" s="160">
        <v>100</v>
      </c>
      <c r="E4884" s="161">
        <f>SUM(D4884*100)</f>
        <v>10000</v>
      </c>
    </row>
    <row r="4885" ht="16.5" spans="1:5">
      <c r="A4885" s="151">
        <v>4884</v>
      </c>
      <c r="B4885" s="152" t="s">
        <v>16215</v>
      </c>
      <c r="C4885" s="160" t="s">
        <v>16630</v>
      </c>
      <c r="D4885" s="160">
        <v>300</v>
      </c>
      <c r="E4885" s="161">
        <f>SUM(D4885*100)</f>
        <v>30000</v>
      </c>
    </row>
    <row r="4886" ht="16.5" spans="1:5">
      <c r="A4886" s="151">
        <v>4885</v>
      </c>
      <c r="B4886" s="152" t="s">
        <v>16218</v>
      </c>
      <c r="C4886" s="160" t="s">
        <v>16630</v>
      </c>
      <c r="D4886" s="160">
        <v>400</v>
      </c>
      <c r="E4886" s="161">
        <f>SUM(D4886*100)</f>
        <v>40000</v>
      </c>
    </row>
    <row r="4887" ht="16.5" spans="1:5">
      <c r="A4887" s="151">
        <v>4886</v>
      </c>
      <c r="B4887" s="152" t="s">
        <v>16222</v>
      </c>
      <c r="C4887" s="162" t="s">
        <v>16633</v>
      </c>
      <c r="D4887" s="171">
        <f>G4887/100</f>
        <v>0</v>
      </c>
      <c r="E4887" s="171">
        <f>G4887</f>
        <v>0</v>
      </c>
    </row>
    <row r="4888" ht="16.5" spans="1:5">
      <c r="A4888" s="151">
        <v>4887</v>
      </c>
      <c r="B4888" s="152" t="s">
        <v>16227</v>
      </c>
      <c r="C4888" s="153" t="s">
        <v>16629</v>
      </c>
      <c r="D4888" s="154">
        <v>10</v>
      </c>
      <c r="E4888" s="155">
        <f>+D4888*100</f>
        <v>1000</v>
      </c>
    </row>
    <row r="4889" ht="16.5" spans="1:5">
      <c r="A4889" s="151">
        <v>4888</v>
      </c>
      <c r="B4889" s="152" t="s">
        <v>16230</v>
      </c>
      <c r="C4889" s="160" t="s">
        <v>16630</v>
      </c>
      <c r="D4889" s="160">
        <v>100</v>
      </c>
      <c r="E4889" s="161">
        <f>SUM(D4889*100)</f>
        <v>10000</v>
      </c>
    </row>
    <row r="4890" ht="16.5" spans="1:5">
      <c r="A4890" s="151">
        <v>4889</v>
      </c>
      <c r="B4890" s="152" t="s">
        <v>16233</v>
      </c>
      <c r="C4890" s="153" t="s">
        <v>16629</v>
      </c>
      <c r="D4890" s="158">
        <v>10</v>
      </c>
      <c r="E4890" s="155">
        <f>+D4890*100</f>
        <v>1000</v>
      </c>
    </row>
    <row r="4891" ht="16.5" spans="1:5">
      <c r="A4891" s="151">
        <v>4890</v>
      </c>
      <c r="B4891" s="152" t="s">
        <v>16237</v>
      </c>
      <c r="C4891" s="153" t="s">
        <v>16629</v>
      </c>
      <c r="D4891" s="158">
        <v>10</v>
      </c>
      <c r="E4891" s="155">
        <f>+D4891*100</f>
        <v>1000</v>
      </c>
    </row>
    <row r="4892" ht="16.5" spans="1:5">
      <c r="A4892" s="151">
        <v>4891</v>
      </c>
      <c r="B4892" s="152" t="s">
        <v>16241</v>
      </c>
      <c r="C4892" s="153" t="s">
        <v>16629</v>
      </c>
      <c r="D4892" s="154">
        <v>10</v>
      </c>
      <c r="E4892" s="155">
        <f>+D4892*100</f>
        <v>1000</v>
      </c>
    </row>
    <row r="4893" ht="16.5" spans="1:5">
      <c r="A4893" s="151">
        <v>4892</v>
      </c>
      <c r="B4893" s="152" t="s">
        <v>16244</v>
      </c>
      <c r="C4893" s="156" t="s">
        <v>16629</v>
      </c>
      <c r="D4893" s="157">
        <v>10</v>
      </c>
      <c r="E4893" s="155">
        <f>+D4893*100</f>
        <v>1000</v>
      </c>
    </row>
    <row r="4894" ht="16.5" spans="1:5">
      <c r="A4894" s="151">
        <v>4893</v>
      </c>
      <c r="B4894" s="152" t="s">
        <v>16248</v>
      </c>
      <c r="C4894" s="162" t="s">
        <v>16631</v>
      </c>
      <c r="D4894" s="163">
        <v>1000</v>
      </c>
      <c r="E4894" s="163">
        <f>D4894*100</f>
        <v>100000</v>
      </c>
    </row>
    <row r="4895" ht="16.5" spans="1:5">
      <c r="A4895" s="151">
        <v>4894</v>
      </c>
      <c r="B4895" s="152" t="s">
        <v>16253</v>
      </c>
      <c r="C4895" s="160" t="s">
        <v>16630</v>
      </c>
      <c r="D4895" s="160">
        <v>530</v>
      </c>
      <c r="E4895" s="161">
        <f>SUM(D4895*100)</f>
        <v>53000</v>
      </c>
    </row>
    <row r="4896" ht="16.5" spans="1:5">
      <c r="A4896" s="151">
        <v>4895</v>
      </c>
      <c r="B4896" s="152" t="s">
        <v>16257</v>
      </c>
      <c r="C4896" s="162" t="s">
        <v>16631</v>
      </c>
      <c r="D4896" s="163">
        <v>1000</v>
      </c>
      <c r="E4896" s="163">
        <f>D4896*100</f>
        <v>100000</v>
      </c>
    </row>
    <row r="4897" ht="16.5" spans="1:5">
      <c r="A4897" s="151">
        <v>4896</v>
      </c>
      <c r="B4897" s="152" t="s">
        <v>16257</v>
      </c>
      <c r="C4897" s="162" t="s">
        <v>16633</v>
      </c>
      <c r="D4897" s="171">
        <f>G4897/100</f>
        <v>0</v>
      </c>
      <c r="E4897" s="171">
        <f>G4897</f>
        <v>0</v>
      </c>
    </row>
    <row r="4898" ht="16.5" spans="1:5">
      <c r="A4898" s="151">
        <v>4897</v>
      </c>
      <c r="B4898" s="152" t="s">
        <v>16262</v>
      </c>
      <c r="C4898" s="160" t="s">
        <v>16630</v>
      </c>
      <c r="D4898" s="160">
        <v>4000</v>
      </c>
      <c r="E4898" s="161">
        <f>SUM(D4898*100)</f>
        <v>400000</v>
      </c>
    </row>
    <row r="4899" ht="16.5" spans="1:5">
      <c r="A4899" s="151">
        <v>4898</v>
      </c>
      <c r="B4899" s="152" t="s">
        <v>16265</v>
      </c>
      <c r="C4899" s="160" t="s">
        <v>16630</v>
      </c>
      <c r="D4899" s="172">
        <v>200</v>
      </c>
      <c r="E4899" s="161">
        <f>+D4899*100</f>
        <v>20000</v>
      </c>
    </row>
    <row r="4900" ht="16.5" spans="1:5">
      <c r="A4900" s="151">
        <v>4899</v>
      </c>
      <c r="B4900" s="152" t="s">
        <v>16268</v>
      </c>
      <c r="C4900" s="160" t="s">
        <v>16630</v>
      </c>
      <c r="D4900" s="160">
        <v>200</v>
      </c>
      <c r="E4900" s="161">
        <f>SUM(D4900*100)</f>
        <v>20000</v>
      </c>
    </row>
    <row r="4901" ht="16.5" spans="1:5">
      <c r="A4901" s="151">
        <v>4900</v>
      </c>
      <c r="B4901" s="152" t="s">
        <v>16272</v>
      </c>
      <c r="C4901" s="162" t="s">
        <v>16631</v>
      </c>
      <c r="D4901" s="163">
        <v>2000</v>
      </c>
      <c r="E4901" s="163">
        <f>D4901*100</f>
        <v>200000</v>
      </c>
    </row>
    <row r="4902" ht="16.5" spans="1:5">
      <c r="A4902" s="151">
        <v>4901</v>
      </c>
      <c r="B4902" s="152" t="s">
        <v>16276</v>
      </c>
      <c r="C4902" s="160" t="s">
        <v>16630</v>
      </c>
      <c r="D4902" s="160">
        <v>50</v>
      </c>
      <c r="E4902" s="161">
        <f>SUM(D4902*100)</f>
        <v>5000</v>
      </c>
    </row>
    <row r="4903" ht="16.5" spans="1:5">
      <c r="A4903" s="151">
        <v>4902</v>
      </c>
      <c r="B4903" s="152" t="s">
        <v>16281</v>
      </c>
      <c r="C4903" s="153" t="s">
        <v>16629</v>
      </c>
      <c r="D4903" s="154">
        <v>10</v>
      </c>
      <c r="E4903" s="155">
        <f>+D4903*100</f>
        <v>1000</v>
      </c>
    </row>
    <row r="4904" ht="16.5" spans="1:5">
      <c r="A4904" s="151">
        <v>4903</v>
      </c>
      <c r="B4904" s="152" t="s">
        <v>16285</v>
      </c>
      <c r="C4904" s="156" t="s">
        <v>16629</v>
      </c>
      <c r="D4904" s="159">
        <v>10</v>
      </c>
      <c r="E4904" s="155">
        <f>+D4904*100</f>
        <v>1000</v>
      </c>
    </row>
    <row r="4905" ht="16.5" spans="1:5">
      <c r="A4905" s="151">
        <v>4904</v>
      </c>
      <c r="B4905" s="152" t="s">
        <v>16288</v>
      </c>
      <c r="C4905" s="160" t="s">
        <v>16630</v>
      </c>
      <c r="D4905" s="160">
        <v>400</v>
      </c>
      <c r="E4905" s="161">
        <f>SUM(D4905*100)</f>
        <v>40000</v>
      </c>
    </row>
    <row r="4906" ht="16.5" spans="1:5">
      <c r="A4906" s="151">
        <v>4905</v>
      </c>
      <c r="B4906" s="152" t="s">
        <v>16291</v>
      </c>
      <c r="C4906" s="160" t="s">
        <v>16630</v>
      </c>
      <c r="D4906" s="172">
        <v>200</v>
      </c>
      <c r="E4906" s="161">
        <f>+D4906*100</f>
        <v>20000</v>
      </c>
    </row>
    <row r="4907" ht="16.5" spans="1:5">
      <c r="A4907" s="151">
        <v>4906</v>
      </c>
      <c r="B4907" s="152" t="s">
        <v>16294</v>
      </c>
      <c r="C4907" s="160" t="s">
        <v>16630</v>
      </c>
      <c r="D4907" s="41">
        <v>100</v>
      </c>
      <c r="E4907" s="161">
        <f>SUM(D4907*100)</f>
        <v>10000</v>
      </c>
    </row>
    <row r="4908" ht="16.5" spans="1:5">
      <c r="A4908" s="151">
        <v>4907</v>
      </c>
      <c r="B4908" s="152" t="s">
        <v>16297</v>
      </c>
      <c r="C4908" s="160" t="s">
        <v>16630</v>
      </c>
      <c r="D4908" s="160">
        <v>500</v>
      </c>
      <c r="E4908" s="161">
        <f>SUM(D4908*100)</f>
        <v>50000</v>
      </c>
    </row>
    <row r="4909" ht="16.5" spans="1:5">
      <c r="A4909" s="151">
        <v>4908</v>
      </c>
      <c r="B4909" s="152" t="s">
        <v>16301</v>
      </c>
      <c r="C4909" s="153" t="s">
        <v>16629</v>
      </c>
      <c r="D4909" s="154">
        <v>10</v>
      </c>
      <c r="E4909" s="155">
        <f>+D4909*100</f>
        <v>1000</v>
      </c>
    </row>
    <row r="4910" ht="16.5" spans="1:5">
      <c r="A4910" s="151">
        <v>4909</v>
      </c>
      <c r="B4910" s="152" t="s">
        <v>16305</v>
      </c>
      <c r="C4910" s="160" t="s">
        <v>16630</v>
      </c>
      <c r="D4910" s="160">
        <v>100</v>
      </c>
      <c r="E4910" s="161">
        <f>SUM(D4910*100)</f>
        <v>10000</v>
      </c>
    </row>
    <row r="4911" ht="16.5" spans="1:5">
      <c r="A4911" s="151">
        <v>4910</v>
      </c>
      <c r="B4911" s="152" t="s">
        <v>16308</v>
      </c>
      <c r="C4911" s="162" t="s">
        <v>16631</v>
      </c>
      <c r="D4911" s="163">
        <v>2000</v>
      </c>
      <c r="E4911" s="163">
        <f>D4911*100</f>
        <v>200000</v>
      </c>
    </row>
    <row r="4912" ht="16.5" spans="1:5">
      <c r="A4912" s="151">
        <v>4911</v>
      </c>
      <c r="B4912" s="152" t="s">
        <v>16313</v>
      </c>
      <c r="C4912" s="160" t="s">
        <v>16630</v>
      </c>
      <c r="D4912" s="160">
        <v>20</v>
      </c>
      <c r="E4912" s="161">
        <f>SUM(D4912*100)</f>
        <v>2000</v>
      </c>
    </row>
    <row r="4913" ht="16.5" spans="1:5">
      <c r="A4913" s="151">
        <v>4912</v>
      </c>
      <c r="B4913" s="152" t="s">
        <v>16317</v>
      </c>
      <c r="C4913" s="162" t="s">
        <v>16631</v>
      </c>
      <c r="D4913" s="163">
        <v>1000</v>
      </c>
      <c r="E4913" s="163">
        <f>D4913*100</f>
        <v>100000</v>
      </c>
    </row>
    <row r="4914" ht="16.5" spans="1:5">
      <c r="A4914" s="151">
        <v>4913</v>
      </c>
      <c r="B4914" s="152" t="s">
        <v>16321</v>
      </c>
      <c r="C4914" s="156" t="s">
        <v>16629</v>
      </c>
      <c r="D4914" s="157">
        <v>100</v>
      </c>
      <c r="E4914" s="155">
        <f>+D4914*100</f>
        <v>10000</v>
      </c>
    </row>
    <row r="4915" ht="16.5" spans="1:5">
      <c r="A4915" s="151">
        <v>4914</v>
      </c>
      <c r="B4915" s="152" t="s">
        <v>16325</v>
      </c>
      <c r="C4915" s="153" t="s">
        <v>16629</v>
      </c>
      <c r="D4915" s="158">
        <v>400</v>
      </c>
      <c r="E4915" s="155">
        <f>+D4915*100</f>
        <v>40000</v>
      </c>
    </row>
    <row r="4916" ht="16.5" spans="1:5">
      <c r="A4916" s="151">
        <v>4915</v>
      </c>
      <c r="B4916" s="152" t="s">
        <v>16329</v>
      </c>
      <c r="C4916" s="162" t="s">
        <v>16631</v>
      </c>
      <c r="D4916" s="163">
        <v>1000</v>
      </c>
      <c r="E4916" s="163">
        <f>D4916*100</f>
        <v>100000</v>
      </c>
    </row>
    <row r="4917" ht="16.5" spans="1:5">
      <c r="A4917" s="151">
        <v>4916</v>
      </c>
      <c r="B4917" s="152" t="s">
        <v>16333</v>
      </c>
      <c r="C4917" s="160" t="s">
        <v>16630</v>
      </c>
      <c r="D4917" s="160">
        <v>20</v>
      </c>
      <c r="E4917" s="161">
        <f>SUM(D4917*100)</f>
        <v>2000</v>
      </c>
    </row>
    <row r="4918" ht="16.5" spans="1:5">
      <c r="A4918" s="151">
        <v>4917</v>
      </c>
      <c r="B4918" s="152" t="s">
        <v>16337</v>
      </c>
      <c r="C4918" s="160" t="s">
        <v>16630</v>
      </c>
      <c r="D4918" s="160">
        <v>20</v>
      </c>
      <c r="E4918" s="161">
        <f>SUM(D4918*100)</f>
        <v>2000</v>
      </c>
    </row>
    <row r="4919" ht="16.5" spans="1:5">
      <c r="A4919" s="151">
        <v>4918</v>
      </c>
      <c r="B4919" s="152" t="s">
        <v>16341</v>
      </c>
      <c r="C4919" s="160" t="s">
        <v>16630</v>
      </c>
      <c r="D4919" s="160">
        <v>2000</v>
      </c>
      <c r="E4919" s="161">
        <f>SUM(D4919*100)</f>
        <v>200000</v>
      </c>
    </row>
    <row r="4920" ht="16.5" spans="1:5">
      <c r="A4920" s="151">
        <v>4919</v>
      </c>
      <c r="B4920" s="152" t="s">
        <v>16344</v>
      </c>
      <c r="C4920" s="162" t="s">
        <v>16631</v>
      </c>
      <c r="D4920" s="163">
        <v>1000</v>
      </c>
      <c r="E4920" s="163">
        <f>D4920*100</f>
        <v>100000</v>
      </c>
    </row>
    <row r="4921" ht="16.5" spans="1:5">
      <c r="A4921" s="151">
        <v>4920</v>
      </c>
      <c r="B4921" s="152" t="s">
        <v>16349</v>
      </c>
      <c r="C4921" s="160" t="s">
        <v>16630</v>
      </c>
      <c r="D4921" s="160">
        <v>1000</v>
      </c>
      <c r="E4921" s="161">
        <f>SUM(D4921*100)</f>
        <v>100000</v>
      </c>
    </row>
    <row r="4922" ht="16.5" spans="1:5">
      <c r="A4922" s="151">
        <v>4921</v>
      </c>
      <c r="B4922" s="152" t="s">
        <v>16352</v>
      </c>
      <c r="C4922" s="162" t="s">
        <v>16631</v>
      </c>
      <c r="D4922" s="163">
        <v>1000</v>
      </c>
      <c r="E4922" s="163">
        <f>D4922*100</f>
        <v>100000</v>
      </c>
    </row>
    <row r="4923" ht="16.5" spans="1:5">
      <c r="A4923" s="151">
        <v>4922</v>
      </c>
      <c r="B4923" s="152" t="s">
        <v>16356</v>
      </c>
      <c r="C4923" s="160" t="s">
        <v>16630</v>
      </c>
      <c r="D4923" s="41">
        <v>50</v>
      </c>
      <c r="E4923" s="161">
        <f>SUM(D4923*100)</f>
        <v>5000</v>
      </c>
    </row>
    <row r="4924" ht="16.5" spans="1:5">
      <c r="A4924" s="151">
        <v>4923</v>
      </c>
      <c r="B4924" s="152" t="s">
        <v>16359</v>
      </c>
      <c r="C4924" s="160" t="s">
        <v>16630</v>
      </c>
      <c r="D4924" s="164">
        <v>10</v>
      </c>
      <c r="E4924" s="161">
        <f>SUM(D4924*100)</f>
        <v>1000</v>
      </c>
    </row>
    <row r="4925" ht="16.5" spans="1:5">
      <c r="A4925" s="151">
        <v>4924</v>
      </c>
      <c r="B4925" s="152" t="s">
        <v>16362</v>
      </c>
      <c r="C4925" s="160" t="s">
        <v>16630</v>
      </c>
      <c r="D4925" s="160">
        <v>60</v>
      </c>
      <c r="E4925" s="161">
        <f>SUM(D4925*100)</f>
        <v>6000</v>
      </c>
    </row>
    <row r="4926" ht="16.5" spans="1:5">
      <c r="A4926" s="151">
        <v>4925</v>
      </c>
      <c r="B4926" s="152" t="s">
        <v>16365</v>
      </c>
      <c r="C4926" s="160" t="s">
        <v>16630</v>
      </c>
      <c r="D4926" s="160">
        <v>20</v>
      </c>
      <c r="E4926" s="161">
        <f>SUM(D4926*100)</f>
        <v>2000</v>
      </c>
    </row>
    <row r="4927" ht="16.5" spans="1:5">
      <c r="A4927" s="151">
        <v>4926</v>
      </c>
      <c r="B4927" s="152" t="s">
        <v>16369</v>
      </c>
      <c r="C4927" s="153" t="s">
        <v>16629</v>
      </c>
      <c r="D4927" s="158">
        <v>50</v>
      </c>
      <c r="E4927" s="155">
        <f>+D4927*100</f>
        <v>5000</v>
      </c>
    </row>
    <row r="4928" ht="16.5" spans="1:5">
      <c r="A4928" s="151">
        <v>4927</v>
      </c>
      <c r="B4928" s="152" t="s">
        <v>16372</v>
      </c>
      <c r="C4928" s="162" t="s">
        <v>16631</v>
      </c>
      <c r="D4928" s="163">
        <v>1000</v>
      </c>
      <c r="E4928" s="163">
        <f>D4928*100</f>
        <v>100000</v>
      </c>
    </row>
    <row r="4929" ht="16.5" spans="1:5">
      <c r="A4929" s="151">
        <v>4928</v>
      </c>
      <c r="B4929" s="152" t="s">
        <v>16376</v>
      </c>
      <c r="C4929" s="160" t="s">
        <v>16630</v>
      </c>
      <c r="D4929" s="160">
        <v>100</v>
      </c>
      <c r="E4929" s="161">
        <f>SUM(D4929*100)</f>
        <v>10000</v>
      </c>
    </row>
    <row r="4930" ht="16.5" spans="1:5">
      <c r="A4930" s="151">
        <v>4929</v>
      </c>
      <c r="B4930" s="152" t="s">
        <v>16379</v>
      </c>
      <c r="C4930" s="166" t="s">
        <v>16632</v>
      </c>
      <c r="D4930" s="166">
        <f>IFERROR(__xludf.DUMMYFUNCTION("""COMPUTED_VALUE"""),10000)</f>
        <v>10000</v>
      </c>
      <c r="E4930" s="168">
        <f>IFERROR(__xludf.DUMMYFUNCTION("""COMPUTED_VALUE"""),1500000)</f>
        <v>1500000</v>
      </c>
    </row>
    <row r="4931" ht="16.5" spans="1:5">
      <c r="A4931" s="151">
        <v>4930</v>
      </c>
      <c r="B4931" s="152" t="s">
        <v>16380</v>
      </c>
      <c r="C4931" s="160" t="s">
        <v>16630</v>
      </c>
      <c r="D4931" s="172">
        <v>30</v>
      </c>
      <c r="E4931" s="161">
        <f>+D4931*100</f>
        <v>3000</v>
      </c>
    </row>
    <row r="4932" ht="16.5" spans="1:5">
      <c r="A4932" s="151">
        <v>4931</v>
      </c>
      <c r="B4932" s="152" t="s">
        <v>16383</v>
      </c>
      <c r="C4932" s="166" t="s">
        <v>16632</v>
      </c>
      <c r="D4932" s="166">
        <f>IFERROR(__xludf.DUMMYFUNCTION("""COMPUTED_VALUE"""),10000)</f>
        <v>10000</v>
      </c>
      <c r="E4932" s="168">
        <f>IFERROR(__xludf.DUMMYFUNCTION("""COMPUTED_VALUE"""),1500000)</f>
        <v>1500000</v>
      </c>
    </row>
    <row r="4933" ht="16.5" spans="1:5">
      <c r="A4933" s="151">
        <v>4932</v>
      </c>
      <c r="B4933" s="152" t="s">
        <v>16384</v>
      </c>
      <c r="C4933" s="160" t="s">
        <v>16630</v>
      </c>
      <c r="D4933" s="160">
        <v>50</v>
      </c>
      <c r="E4933" s="161">
        <f>SUM(D4933*100)</f>
        <v>5000</v>
      </c>
    </row>
    <row r="4934" ht="16.5" spans="1:5">
      <c r="A4934" s="151">
        <v>4933</v>
      </c>
      <c r="B4934" s="152" t="s">
        <v>16387</v>
      </c>
      <c r="C4934" s="160" t="s">
        <v>16630</v>
      </c>
      <c r="D4934" s="172">
        <v>200</v>
      </c>
      <c r="E4934" s="161">
        <f>SUM(D4934*100)</f>
        <v>20000</v>
      </c>
    </row>
    <row r="4935" ht="16.5" spans="1:5">
      <c r="A4935" s="151">
        <v>4934</v>
      </c>
      <c r="B4935" s="152" t="s">
        <v>16390</v>
      </c>
      <c r="C4935" s="160" t="s">
        <v>16630</v>
      </c>
      <c r="D4935" s="160">
        <v>80</v>
      </c>
      <c r="E4935" s="161">
        <f>SUM(D4935*100)</f>
        <v>8000</v>
      </c>
    </row>
    <row r="4936" ht="16.5" spans="1:5">
      <c r="A4936" s="151">
        <v>4935</v>
      </c>
      <c r="B4936" s="152" t="s">
        <v>16394</v>
      </c>
      <c r="C4936" s="160" t="s">
        <v>16630</v>
      </c>
      <c r="D4936" s="160">
        <v>10</v>
      </c>
      <c r="E4936" s="161">
        <f>SUM(D4936*100)</f>
        <v>1000</v>
      </c>
    </row>
    <row r="4937" ht="16.5" spans="1:5">
      <c r="A4937" s="151">
        <v>4936</v>
      </c>
      <c r="B4937" s="152" t="s">
        <v>16397</v>
      </c>
      <c r="C4937" s="166" t="s">
        <v>16632</v>
      </c>
      <c r="D4937" s="166">
        <f>IFERROR(__xludf.DUMMYFUNCTION("""COMPUTED_VALUE"""),10000)</f>
        <v>10000</v>
      </c>
      <c r="E4937" s="168">
        <f>IFERROR(__xludf.DUMMYFUNCTION("""COMPUTED_VALUE"""),1500000)</f>
        <v>1500000</v>
      </c>
    </row>
    <row r="4938" ht="16.5" spans="1:5">
      <c r="A4938" s="151">
        <v>4937</v>
      </c>
      <c r="B4938" s="152" t="s">
        <v>16398</v>
      </c>
      <c r="C4938" s="160" t="s">
        <v>16630</v>
      </c>
      <c r="D4938" s="160">
        <v>10</v>
      </c>
      <c r="E4938" s="161">
        <f>SUM(D4938*100)</f>
        <v>1000</v>
      </c>
    </row>
    <row r="4939" ht="16.5" spans="1:5">
      <c r="A4939" s="151">
        <v>4938</v>
      </c>
      <c r="B4939" s="152" t="s">
        <v>16401</v>
      </c>
      <c r="C4939" s="160" t="s">
        <v>16630</v>
      </c>
      <c r="D4939" s="160">
        <v>50</v>
      </c>
      <c r="E4939" s="161">
        <f>SUM(D4939*100)</f>
        <v>5000</v>
      </c>
    </row>
    <row r="4940" ht="16.5" spans="1:5">
      <c r="A4940" s="151">
        <v>4939</v>
      </c>
      <c r="B4940" s="152" t="s">
        <v>16405</v>
      </c>
      <c r="C4940" s="160" t="s">
        <v>16630</v>
      </c>
      <c r="D4940" s="160">
        <v>10600</v>
      </c>
      <c r="E4940" s="161">
        <f>SUM(D4940*10)</f>
        <v>106000</v>
      </c>
    </row>
    <row r="4941" ht="16.5" spans="1:5">
      <c r="A4941" s="151">
        <v>4940</v>
      </c>
      <c r="B4941" s="152" t="s">
        <v>16410</v>
      </c>
      <c r="C4941" s="160" t="s">
        <v>16630</v>
      </c>
      <c r="D4941" s="160">
        <v>100</v>
      </c>
      <c r="E4941" s="161">
        <f>SUM(D4941*100)</f>
        <v>10000</v>
      </c>
    </row>
    <row r="4942" ht="16.5" spans="1:5">
      <c r="A4942" s="151">
        <v>4941</v>
      </c>
      <c r="B4942" s="152" t="s">
        <v>16414</v>
      </c>
      <c r="C4942" s="160" t="s">
        <v>16630</v>
      </c>
      <c r="D4942" s="160">
        <v>200</v>
      </c>
      <c r="E4942" s="161">
        <f>SUM(D4942*100)</f>
        <v>20000</v>
      </c>
    </row>
    <row r="4943" ht="16.5" spans="1:5">
      <c r="A4943" s="151">
        <v>4942</v>
      </c>
      <c r="B4943" s="152" t="s">
        <v>16417</v>
      </c>
      <c r="C4943" s="160" t="s">
        <v>16630</v>
      </c>
      <c r="D4943" s="160">
        <v>100</v>
      </c>
      <c r="E4943" s="161">
        <f>SUM(D4943*100)</f>
        <v>10000</v>
      </c>
    </row>
    <row r="4944" ht="16.5" spans="1:5">
      <c r="A4944" s="151">
        <v>4943</v>
      </c>
      <c r="B4944" s="152" t="s">
        <v>16420</v>
      </c>
      <c r="C4944" s="162" t="s">
        <v>16631</v>
      </c>
      <c r="D4944" s="163">
        <v>2000</v>
      </c>
      <c r="E4944" s="163">
        <f>D4944*100</f>
        <v>200000</v>
      </c>
    </row>
    <row r="4945" ht="16.5" spans="1:5">
      <c r="A4945" s="151">
        <v>4944</v>
      </c>
      <c r="B4945" s="152" t="s">
        <v>16424</v>
      </c>
      <c r="C4945" s="166" t="s">
        <v>16632</v>
      </c>
      <c r="D4945" s="166">
        <f>IFERROR(__xludf.DUMMYFUNCTION("""COMPUTED_VALUE"""),10000)</f>
        <v>10000</v>
      </c>
      <c r="E4945" s="168">
        <f>IFERROR(__xludf.DUMMYFUNCTION("""COMPUTED_VALUE"""),1500000)</f>
        <v>1500000</v>
      </c>
    </row>
    <row r="4946" ht="16.5" spans="1:5">
      <c r="A4946" s="151">
        <v>4945</v>
      </c>
      <c r="B4946" s="152" t="s">
        <v>16425</v>
      </c>
      <c r="C4946" s="162" t="s">
        <v>16633</v>
      </c>
      <c r="D4946" s="171">
        <f>G4946/100</f>
        <v>0</v>
      </c>
      <c r="E4946" s="171">
        <f>G4946</f>
        <v>0</v>
      </c>
    </row>
    <row r="4947" ht="16.5" spans="1:5">
      <c r="A4947" s="151">
        <v>4946</v>
      </c>
      <c r="B4947" s="152" t="s">
        <v>16429</v>
      </c>
      <c r="C4947" s="153" t="s">
        <v>16629</v>
      </c>
      <c r="D4947" s="154">
        <v>10</v>
      </c>
      <c r="E4947" s="155">
        <f>+D4947*100</f>
        <v>1000</v>
      </c>
    </row>
    <row r="4948" ht="16.5" spans="1:5">
      <c r="A4948" s="151">
        <v>4947</v>
      </c>
      <c r="B4948" s="152" t="s">
        <v>16433</v>
      </c>
      <c r="C4948" s="156" t="s">
        <v>16629</v>
      </c>
      <c r="D4948" s="159">
        <v>10</v>
      </c>
      <c r="E4948" s="155">
        <f>+D4948*100</f>
        <v>1000</v>
      </c>
    </row>
    <row r="4949" ht="16.5" spans="1:5">
      <c r="A4949" s="151">
        <v>4948</v>
      </c>
      <c r="B4949" s="152" t="s">
        <v>16437</v>
      </c>
      <c r="C4949" s="166" t="s">
        <v>16632</v>
      </c>
      <c r="D4949" s="166">
        <f>IFERROR(__xludf.DUMMYFUNCTION("""COMPUTED_VALUE"""),10000)</f>
        <v>10000</v>
      </c>
      <c r="E4949" s="168">
        <f>IFERROR(__xludf.DUMMYFUNCTION("""COMPUTED_VALUE"""),1500000)</f>
        <v>1500000</v>
      </c>
    </row>
    <row r="4950" ht="16.5" spans="1:5">
      <c r="A4950" s="151">
        <v>4949</v>
      </c>
      <c r="B4950" s="152" t="s">
        <v>16438</v>
      </c>
      <c r="C4950" s="166" t="s">
        <v>16632</v>
      </c>
      <c r="D4950" s="166">
        <f>IFERROR(__xludf.DUMMYFUNCTION("""COMPUTED_VALUE"""),15000)</f>
        <v>15000</v>
      </c>
      <c r="E4950" s="168">
        <f>IFERROR(__xludf.DUMMYFUNCTION("""COMPUTED_VALUE"""),1500000)</f>
        <v>1500000</v>
      </c>
    </row>
    <row r="4951" ht="16.5" spans="1:5">
      <c r="A4951" s="151">
        <v>4950</v>
      </c>
      <c r="B4951" s="152" t="s">
        <v>16439</v>
      </c>
      <c r="C4951" s="160" t="s">
        <v>16630</v>
      </c>
      <c r="D4951" s="160">
        <v>100</v>
      </c>
      <c r="E4951" s="161">
        <f>SUM(D4951*100)</f>
        <v>10000</v>
      </c>
    </row>
    <row r="4952" ht="16.5" spans="1:5">
      <c r="A4952" s="151">
        <v>4951</v>
      </c>
      <c r="B4952" s="152" t="s">
        <v>16443</v>
      </c>
      <c r="C4952" s="160" t="s">
        <v>16630</v>
      </c>
      <c r="D4952" s="160">
        <v>40</v>
      </c>
      <c r="E4952" s="161">
        <f>SUM(D4952*100)</f>
        <v>4000</v>
      </c>
    </row>
    <row r="4953" ht="16.5" spans="1:5">
      <c r="A4953" s="151">
        <v>4952</v>
      </c>
      <c r="B4953" s="152" t="s">
        <v>16446</v>
      </c>
      <c r="C4953" s="162" t="s">
        <v>16633</v>
      </c>
      <c r="D4953" s="171">
        <f>G4953/100</f>
        <v>0</v>
      </c>
      <c r="E4953" s="171">
        <f>G4953</f>
        <v>0</v>
      </c>
    </row>
    <row r="4954" ht="16.5" spans="1:5">
      <c r="A4954" s="151">
        <v>4953</v>
      </c>
      <c r="B4954" s="152" t="s">
        <v>16450</v>
      </c>
      <c r="C4954" s="160" t="s">
        <v>16630</v>
      </c>
      <c r="D4954" s="160">
        <v>25</v>
      </c>
      <c r="E4954" s="161">
        <f>SUM(D4954*100)</f>
        <v>2500</v>
      </c>
    </row>
    <row r="4955" ht="16.5" spans="1:5">
      <c r="A4955" s="151">
        <v>4954</v>
      </c>
      <c r="B4955" s="152" t="s">
        <v>16454</v>
      </c>
      <c r="C4955" s="156" t="s">
        <v>16629</v>
      </c>
      <c r="D4955" s="154">
        <v>10</v>
      </c>
      <c r="E4955" s="155">
        <f>+D4955*100</f>
        <v>1000</v>
      </c>
    </row>
    <row r="4956" ht="16.5" spans="1:5">
      <c r="A4956" s="151">
        <v>4955</v>
      </c>
      <c r="B4956" s="152" t="s">
        <v>16458</v>
      </c>
      <c r="C4956" s="162" t="s">
        <v>16631</v>
      </c>
      <c r="D4956" s="163">
        <v>1000</v>
      </c>
      <c r="E4956" s="163">
        <f>D4956*100</f>
        <v>100000</v>
      </c>
    </row>
    <row r="4957" ht="16.5" spans="1:5">
      <c r="A4957" s="151">
        <v>4956</v>
      </c>
      <c r="B4957" s="152" t="s">
        <v>16462</v>
      </c>
      <c r="C4957" s="153" t="s">
        <v>16629</v>
      </c>
      <c r="D4957" s="158">
        <v>10</v>
      </c>
      <c r="E4957" s="155">
        <f>+D4957*100</f>
        <v>1000</v>
      </c>
    </row>
    <row r="4958" ht="16.5" spans="1:5">
      <c r="A4958" s="151">
        <v>4957</v>
      </c>
      <c r="B4958" s="152" t="s">
        <v>16465</v>
      </c>
      <c r="C4958" s="160" t="s">
        <v>16630</v>
      </c>
      <c r="D4958" s="160">
        <v>500</v>
      </c>
      <c r="E4958" s="161">
        <f>SUM(D4958*100)</f>
        <v>50000</v>
      </c>
    </row>
    <row r="4959" ht="16.5" spans="1:5">
      <c r="A4959" s="151">
        <v>4958</v>
      </c>
      <c r="B4959" s="152" t="s">
        <v>16469</v>
      </c>
      <c r="C4959" s="156" t="s">
        <v>16629</v>
      </c>
      <c r="D4959" s="157">
        <v>10</v>
      </c>
      <c r="E4959" s="155">
        <f>+D4959*100</f>
        <v>1000</v>
      </c>
    </row>
    <row r="4960" ht="16.5" spans="1:5">
      <c r="A4960" s="151">
        <v>4959</v>
      </c>
      <c r="B4960" s="152" t="s">
        <v>16472</v>
      </c>
      <c r="C4960" s="153" t="s">
        <v>16629</v>
      </c>
      <c r="D4960" s="154">
        <v>10</v>
      </c>
      <c r="E4960" s="155">
        <f>+D4960*100</f>
        <v>1000</v>
      </c>
    </row>
    <row r="4961" ht="16.5" spans="1:5">
      <c r="A4961" s="151">
        <v>4960</v>
      </c>
      <c r="B4961" s="152" t="s">
        <v>16475</v>
      </c>
      <c r="C4961" s="153" t="s">
        <v>16629</v>
      </c>
      <c r="D4961" s="158">
        <v>10</v>
      </c>
      <c r="E4961" s="155">
        <f>+D4961*100</f>
        <v>1000</v>
      </c>
    </row>
    <row r="4962" ht="16.5" spans="1:5">
      <c r="A4962" s="151">
        <v>4961</v>
      </c>
      <c r="B4962" s="152" t="s">
        <v>16478</v>
      </c>
      <c r="C4962" s="153" t="s">
        <v>16629</v>
      </c>
      <c r="D4962" s="158">
        <v>10</v>
      </c>
      <c r="E4962" s="155">
        <f>+D4962*100</f>
        <v>1000</v>
      </c>
    </row>
    <row r="4963" ht="16.5" spans="1:5">
      <c r="A4963" s="151">
        <v>4962</v>
      </c>
      <c r="B4963" s="152" t="s">
        <v>16481</v>
      </c>
      <c r="C4963" s="162" t="s">
        <v>16633</v>
      </c>
      <c r="D4963" s="171">
        <f>G4963/100</f>
        <v>0</v>
      </c>
      <c r="E4963" s="171">
        <f>G4963</f>
        <v>0</v>
      </c>
    </row>
    <row r="4964" ht="16.5" spans="1:5">
      <c r="A4964" s="151">
        <v>4963</v>
      </c>
      <c r="B4964" s="152" t="s">
        <v>16484</v>
      </c>
      <c r="C4964" s="153" t="s">
        <v>16629</v>
      </c>
      <c r="D4964" s="154">
        <v>10</v>
      </c>
      <c r="E4964" s="155">
        <f>+D4964*100</f>
        <v>1000</v>
      </c>
    </row>
    <row r="4965" ht="16.5" spans="1:5">
      <c r="A4965" s="151">
        <v>4964</v>
      </c>
      <c r="B4965" s="152" t="s">
        <v>16487</v>
      </c>
      <c r="C4965" s="162" t="s">
        <v>16633</v>
      </c>
      <c r="D4965" s="171">
        <f>G4965/100</f>
        <v>0</v>
      </c>
      <c r="E4965" s="171">
        <f>G4965</f>
        <v>0</v>
      </c>
    </row>
    <row r="4966" ht="16.5" spans="1:5">
      <c r="A4966" s="151">
        <v>4965</v>
      </c>
      <c r="B4966" s="152" t="s">
        <v>16491</v>
      </c>
      <c r="C4966" s="166" t="s">
        <v>16632</v>
      </c>
      <c r="D4966" s="166">
        <f>IFERROR(__xludf.DUMMYFUNCTION("""COMPUTED_VALUE"""),15000)</f>
        <v>15000</v>
      </c>
      <c r="E4966" s="168">
        <f>IFERROR(__xludf.DUMMYFUNCTION("""COMPUTED_VALUE"""),1500000)</f>
        <v>1500000</v>
      </c>
    </row>
    <row r="4967" ht="16.5" spans="1:5">
      <c r="A4967" s="151">
        <v>4966</v>
      </c>
      <c r="B4967" s="152" t="s">
        <v>16491</v>
      </c>
      <c r="C4967" s="166" t="s">
        <v>16632</v>
      </c>
      <c r="D4967" s="166">
        <f>IFERROR(__xludf.DUMMYFUNCTION("""COMPUTED_VALUE"""),15000)</f>
        <v>15000</v>
      </c>
      <c r="E4967" s="168">
        <f>IFERROR(__xludf.DUMMYFUNCTION("""COMPUTED_VALUE"""),1500000)</f>
        <v>1500000</v>
      </c>
    </row>
    <row r="4968" ht="16.5" spans="1:5">
      <c r="A4968" s="151">
        <v>4967</v>
      </c>
      <c r="B4968" s="152" t="s">
        <v>16492</v>
      </c>
      <c r="C4968" s="160" t="s">
        <v>16630</v>
      </c>
      <c r="D4968" s="160">
        <v>10</v>
      </c>
      <c r="E4968" s="161">
        <f>SUM(D4968*100)</f>
        <v>1000</v>
      </c>
    </row>
    <row r="4969" ht="16.5" spans="1:5">
      <c r="A4969" s="151">
        <v>4968</v>
      </c>
      <c r="B4969" s="152" t="s">
        <v>16496</v>
      </c>
      <c r="C4969" s="160" t="s">
        <v>16630</v>
      </c>
      <c r="D4969" s="160">
        <v>10</v>
      </c>
      <c r="E4969" s="161">
        <f>SUM(D4969*100)</f>
        <v>1000</v>
      </c>
    </row>
    <row r="4970" ht="16.5" spans="1:5">
      <c r="A4970" s="151">
        <v>4969</v>
      </c>
      <c r="B4970" s="152" t="s">
        <v>16499</v>
      </c>
      <c r="C4970" s="162" t="s">
        <v>16631</v>
      </c>
      <c r="D4970" s="163">
        <v>1000</v>
      </c>
      <c r="E4970" s="163">
        <f>D4970*100</f>
        <v>100000</v>
      </c>
    </row>
    <row r="4971" ht="16.5" spans="1:5">
      <c r="A4971" s="151">
        <v>4970</v>
      </c>
      <c r="B4971" s="152" t="s">
        <v>16503</v>
      </c>
      <c r="C4971" s="160" t="s">
        <v>16630</v>
      </c>
      <c r="D4971" s="160">
        <v>400</v>
      </c>
      <c r="E4971" s="161">
        <f>SUM(D4971*100)</f>
        <v>40000</v>
      </c>
    </row>
    <row r="4972" ht="16.5" spans="1:5">
      <c r="A4972" s="151">
        <v>4971</v>
      </c>
      <c r="B4972" s="152" t="s">
        <v>16506</v>
      </c>
      <c r="C4972" s="160" t="s">
        <v>16630</v>
      </c>
      <c r="D4972" s="164">
        <v>1000</v>
      </c>
      <c r="E4972" s="161">
        <f>SUM(D4972*100)</f>
        <v>100000</v>
      </c>
    </row>
    <row r="4973" ht="16.5" spans="1:5">
      <c r="A4973" s="151">
        <v>4972</v>
      </c>
      <c r="B4973" s="152" t="s">
        <v>16509</v>
      </c>
      <c r="C4973" s="166" t="s">
        <v>16632</v>
      </c>
      <c r="D4973" s="36">
        <v>35000</v>
      </c>
      <c r="E4973" s="45">
        <v>3500000</v>
      </c>
    </row>
    <row r="4974" ht="16.5" spans="1:5">
      <c r="A4974" s="151">
        <v>4973</v>
      </c>
      <c r="B4974" s="152" t="s">
        <v>16513</v>
      </c>
      <c r="C4974" s="162" t="s">
        <v>16631</v>
      </c>
      <c r="D4974" s="163">
        <v>1000</v>
      </c>
      <c r="E4974" s="163">
        <f>D4974*100</f>
        <v>100000</v>
      </c>
    </row>
    <row r="4975" ht="16.5" spans="1:5">
      <c r="A4975" s="151">
        <v>4974</v>
      </c>
      <c r="B4975" s="152" t="s">
        <v>16518</v>
      </c>
      <c r="C4975" s="160" t="s">
        <v>16630</v>
      </c>
      <c r="D4975" s="160">
        <v>10</v>
      </c>
      <c r="E4975" s="161">
        <f>SUM(D4975*100)</f>
        <v>1000</v>
      </c>
    </row>
    <row r="4976" ht="16.5" spans="1:5">
      <c r="A4976" s="151">
        <v>4975</v>
      </c>
      <c r="B4976" s="152" t="s">
        <v>16522</v>
      </c>
      <c r="C4976" s="162" t="s">
        <v>16631</v>
      </c>
      <c r="D4976" s="163">
        <v>1000</v>
      </c>
      <c r="E4976" s="163">
        <f>D4976*100</f>
        <v>100000</v>
      </c>
    </row>
    <row r="4977" ht="16.5" spans="1:5">
      <c r="A4977" s="151">
        <v>4976</v>
      </c>
      <c r="B4977" s="152" t="s">
        <v>16526</v>
      </c>
      <c r="C4977" s="162" t="s">
        <v>16631</v>
      </c>
      <c r="D4977" s="163">
        <v>3000</v>
      </c>
      <c r="E4977" s="163">
        <f>D4977*100</f>
        <v>300000</v>
      </c>
    </row>
    <row r="4978" ht="16.5" spans="1:5">
      <c r="A4978" s="151">
        <v>4977</v>
      </c>
      <c r="B4978" s="152" t="s">
        <v>16531</v>
      </c>
      <c r="C4978" s="160" t="s">
        <v>16630</v>
      </c>
      <c r="D4978" s="160">
        <v>170</v>
      </c>
      <c r="E4978" s="161">
        <f>SUM(D4978*100)</f>
        <v>17000</v>
      </c>
    </row>
    <row r="4979" ht="16.5" spans="1:5">
      <c r="A4979" s="151">
        <v>4978</v>
      </c>
      <c r="B4979" s="152" t="s">
        <v>16534</v>
      </c>
      <c r="C4979" s="166" t="s">
        <v>16632</v>
      </c>
      <c r="D4979" s="166">
        <f>IFERROR(__xludf.DUMMYFUNCTION("""COMPUTED_VALUE"""),10000)</f>
        <v>10000</v>
      </c>
      <c r="E4979" s="168">
        <f>IFERROR(__xludf.DUMMYFUNCTION("""COMPUTED_VALUE"""),1500000)</f>
        <v>1500000</v>
      </c>
    </row>
    <row r="4980" ht="16.5" spans="1:5">
      <c r="A4980" s="151">
        <v>4979</v>
      </c>
      <c r="B4980" s="152" t="s">
        <v>16535</v>
      </c>
      <c r="C4980" s="160" t="s">
        <v>16630</v>
      </c>
      <c r="D4980" s="160">
        <v>10</v>
      </c>
      <c r="E4980" s="161">
        <f>SUM(D4980*100)</f>
        <v>1000</v>
      </c>
    </row>
    <row r="4981" ht="16.5" spans="1:5">
      <c r="A4981" s="151">
        <v>4980</v>
      </c>
      <c r="B4981" s="152" t="s">
        <v>16539</v>
      </c>
      <c r="C4981" s="160" t="s">
        <v>16630</v>
      </c>
      <c r="D4981" s="160">
        <v>100</v>
      </c>
      <c r="E4981" s="161">
        <f>SUM(D4981*100)</f>
        <v>10000</v>
      </c>
    </row>
    <row r="4982" ht="16.5" spans="1:5">
      <c r="A4982" s="151">
        <v>4981</v>
      </c>
      <c r="B4982" s="152" t="s">
        <v>16543</v>
      </c>
      <c r="C4982" s="160" t="s">
        <v>16630</v>
      </c>
      <c r="D4982" s="160">
        <v>50</v>
      </c>
      <c r="E4982" s="161">
        <f>SUM(D4982*100)</f>
        <v>5000</v>
      </c>
    </row>
    <row r="4983" ht="16.5" spans="1:5">
      <c r="A4983" s="151">
        <v>4982</v>
      </c>
      <c r="B4983" s="152" t="s">
        <v>16546</v>
      </c>
      <c r="C4983" s="153" t="s">
        <v>16629</v>
      </c>
      <c r="D4983" s="154">
        <v>10</v>
      </c>
      <c r="E4983" s="155">
        <f>+D4983*100</f>
        <v>1000</v>
      </c>
    </row>
    <row r="4984" ht="16.5" spans="1:5">
      <c r="A4984" s="151">
        <v>4983</v>
      </c>
      <c r="B4984" s="152" t="s">
        <v>16549</v>
      </c>
      <c r="C4984" s="160" t="s">
        <v>16630</v>
      </c>
      <c r="D4984" s="160">
        <v>100</v>
      </c>
      <c r="E4984" s="161">
        <f>SUM(D4984*100)</f>
        <v>10000</v>
      </c>
    </row>
    <row r="4985" ht="16.5" spans="1:5">
      <c r="A4985" s="151">
        <v>4984</v>
      </c>
      <c r="B4985" s="152" t="s">
        <v>16552</v>
      </c>
      <c r="C4985" s="156" t="s">
        <v>16629</v>
      </c>
      <c r="D4985" s="157">
        <v>10</v>
      </c>
      <c r="E4985" s="155">
        <f t="shared" ref="E4985:E5004" si="174">+D4985*100</f>
        <v>1000</v>
      </c>
    </row>
    <row r="4986" ht="16.5" spans="1:5">
      <c r="A4986" s="151">
        <v>4985</v>
      </c>
      <c r="B4986" s="152" t="s">
        <v>16555</v>
      </c>
      <c r="C4986" s="156" t="s">
        <v>16629</v>
      </c>
      <c r="D4986" s="159">
        <v>10</v>
      </c>
      <c r="E4986" s="155">
        <f t="shared" si="174"/>
        <v>1000</v>
      </c>
    </row>
    <row r="4987" ht="16.5" spans="1:5">
      <c r="A4987" s="151">
        <v>4986</v>
      </c>
      <c r="B4987" s="152" t="s">
        <v>16558</v>
      </c>
      <c r="C4987" s="156" t="s">
        <v>16629</v>
      </c>
      <c r="D4987" s="159">
        <v>10</v>
      </c>
      <c r="E4987" s="155">
        <f t="shared" si="174"/>
        <v>1000</v>
      </c>
    </row>
    <row r="4988" ht="16.5" spans="1:5">
      <c r="A4988" s="151">
        <v>4987</v>
      </c>
      <c r="B4988" s="152" t="s">
        <v>16561</v>
      </c>
      <c r="C4988" s="156" t="s">
        <v>16629</v>
      </c>
      <c r="D4988" s="154">
        <v>10</v>
      </c>
      <c r="E4988" s="155">
        <f t="shared" si="174"/>
        <v>1000</v>
      </c>
    </row>
    <row r="4989" ht="16.5" spans="1:5">
      <c r="A4989" s="151">
        <v>4988</v>
      </c>
      <c r="B4989" s="152" t="s">
        <v>16564</v>
      </c>
      <c r="C4989" s="153" t="s">
        <v>16629</v>
      </c>
      <c r="D4989" s="154">
        <v>10</v>
      </c>
      <c r="E4989" s="155">
        <f t="shared" si="174"/>
        <v>1000</v>
      </c>
    </row>
    <row r="4990" ht="16.5" spans="1:5">
      <c r="A4990" s="151">
        <v>4989</v>
      </c>
      <c r="B4990" s="152" t="s">
        <v>16568</v>
      </c>
      <c r="C4990" s="153" t="s">
        <v>16629</v>
      </c>
      <c r="D4990" s="154">
        <v>10</v>
      </c>
      <c r="E4990" s="155">
        <f t="shared" si="174"/>
        <v>1000</v>
      </c>
    </row>
    <row r="4991" ht="16.5" spans="1:5">
      <c r="A4991" s="151">
        <v>4990</v>
      </c>
      <c r="B4991" s="152" t="s">
        <v>16571</v>
      </c>
      <c r="C4991" s="153" t="s">
        <v>16629</v>
      </c>
      <c r="D4991" s="154">
        <v>10</v>
      </c>
      <c r="E4991" s="155">
        <f t="shared" si="174"/>
        <v>1000</v>
      </c>
    </row>
    <row r="4992" ht="16.5" spans="1:5">
      <c r="A4992" s="151">
        <v>4991</v>
      </c>
      <c r="B4992" s="152" t="s">
        <v>16574</v>
      </c>
      <c r="C4992" s="156" t="s">
        <v>16629</v>
      </c>
      <c r="D4992" s="154">
        <v>10</v>
      </c>
      <c r="E4992" s="155">
        <f t="shared" si="174"/>
        <v>1000</v>
      </c>
    </row>
    <row r="4993" ht="16.5" spans="1:5">
      <c r="A4993" s="151">
        <v>4992</v>
      </c>
      <c r="B4993" s="152" t="s">
        <v>16578</v>
      </c>
      <c r="C4993" s="153" t="s">
        <v>16629</v>
      </c>
      <c r="D4993" s="158">
        <v>10</v>
      </c>
      <c r="E4993" s="155">
        <f t="shared" si="174"/>
        <v>1000</v>
      </c>
    </row>
    <row r="4994" ht="16.5" spans="1:5">
      <c r="A4994" s="151">
        <v>4993</v>
      </c>
      <c r="B4994" s="152" t="s">
        <v>16580</v>
      </c>
      <c r="C4994" s="153" t="s">
        <v>16629</v>
      </c>
      <c r="D4994" s="158">
        <v>10</v>
      </c>
      <c r="E4994" s="155">
        <f t="shared" si="174"/>
        <v>1000</v>
      </c>
    </row>
    <row r="4995" ht="16.5" spans="1:5">
      <c r="A4995" s="151">
        <v>4994</v>
      </c>
      <c r="B4995" s="152" t="s">
        <v>16583</v>
      </c>
      <c r="C4995" s="156" t="s">
        <v>16629</v>
      </c>
      <c r="D4995" s="159">
        <v>10</v>
      </c>
      <c r="E4995" s="155">
        <f t="shared" si="174"/>
        <v>1000</v>
      </c>
    </row>
    <row r="4996" ht="16.5" spans="1:5">
      <c r="A4996" s="151">
        <v>4995</v>
      </c>
      <c r="B4996" s="152" t="s">
        <v>16586</v>
      </c>
      <c r="C4996" s="153" t="s">
        <v>16629</v>
      </c>
      <c r="D4996" s="154">
        <v>10</v>
      </c>
      <c r="E4996" s="155">
        <f t="shared" si="174"/>
        <v>1000</v>
      </c>
    </row>
    <row r="4997" ht="16.5" spans="1:5">
      <c r="A4997" s="151">
        <v>4996</v>
      </c>
      <c r="B4997" s="152" t="s">
        <v>16590</v>
      </c>
      <c r="C4997" s="153" t="s">
        <v>16629</v>
      </c>
      <c r="D4997" s="154">
        <v>10</v>
      </c>
      <c r="E4997" s="155">
        <f t="shared" si="174"/>
        <v>1000</v>
      </c>
    </row>
    <row r="4998" ht="16.5" spans="1:5">
      <c r="A4998" s="151">
        <v>4997</v>
      </c>
      <c r="B4998" s="152" t="s">
        <v>16593</v>
      </c>
      <c r="C4998" s="156" t="s">
        <v>16629</v>
      </c>
      <c r="D4998" s="157">
        <v>10</v>
      </c>
      <c r="E4998" s="155">
        <f t="shared" si="174"/>
        <v>1000</v>
      </c>
    </row>
    <row r="4999" ht="16.5" spans="1:5">
      <c r="A4999" s="151">
        <v>4998</v>
      </c>
      <c r="B4999" s="152" t="s">
        <v>16596</v>
      </c>
      <c r="C4999" s="153" t="s">
        <v>16629</v>
      </c>
      <c r="D4999" s="154">
        <v>10</v>
      </c>
      <c r="E4999" s="155">
        <f t="shared" si="174"/>
        <v>1000</v>
      </c>
    </row>
    <row r="5000" ht="16.5" spans="1:5">
      <c r="A5000" s="151">
        <v>4999</v>
      </c>
      <c r="B5000" s="152" t="s">
        <v>16600</v>
      </c>
      <c r="C5000" s="153" t="s">
        <v>16629</v>
      </c>
      <c r="D5000" s="154">
        <v>10</v>
      </c>
      <c r="E5000" s="155">
        <f t="shared" si="174"/>
        <v>1000</v>
      </c>
    </row>
    <row r="5001" ht="16.5" spans="1:5">
      <c r="A5001" s="151">
        <v>5000</v>
      </c>
      <c r="B5001" s="152" t="s">
        <v>16604</v>
      </c>
      <c r="C5001" s="153" t="s">
        <v>16629</v>
      </c>
      <c r="D5001" s="154">
        <v>10</v>
      </c>
      <c r="E5001" s="155">
        <f t="shared" si="174"/>
        <v>1000</v>
      </c>
    </row>
    <row r="5002" ht="16.5" spans="1:5">
      <c r="A5002" s="151">
        <v>5001</v>
      </c>
      <c r="B5002" s="152" t="s">
        <v>16607</v>
      </c>
      <c r="C5002" s="153" t="s">
        <v>16629</v>
      </c>
      <c r="D5002" s="154">
        <v>10</v>
      </c>
      <c r="E5002" s="155">
        <f t="shared" si="174"/>
        <v>1000</v>
      </c>
    </row>
    <row r="5003" ht="16.5" spans="1:5">
      <c r="A5003" s="151">
        <v>5002</v>
      </c>
      <c r="B5003" s="152" t="s">
        <v>16610</v>
      </c>
      <c r="C5003" s="156" t="s">
        <v>16629</v>
      </c>
      <c r="D5003" s="159">
        <v>10</v>
      </c>
      <c r="E5003" s="155">
        <f t="shared" si="174"/>
        <v>1000</v>
      </c>
    </row>
    <row r="5004" ht="16.5" spans="1:5">
      <c r="A5004" s="151">
        <v>5003</v>
      </c>
      <c r="B5004" s="152" t="s">
        <v>16613</v>
      </c>
      <c r="C5004" s="153" t="s">
        <v>16629</v>
      </c>
      <c r="D5004" s="154">
        <v>10</v>
      </c>
      <c r="E5004" s="155">
        <f t="shared" si="174"/>
        <v>1000</v>
      </c>
    </row>
    <row r="5005" ht="16.5" spans="1:5">
      <c r="A5005" s="151">
        <v>5004</v>
      </c>
      <c r="B5005" s="152" t="s">
        <v>16616</v>
      </c>
      <c r="C5005" s="162" t="s">
        <v>16631</v>
      </c>
      <c r="D5005" s="163">
        <v>1000</v>
      </c>
      <c r="E5005" s="163">
        <f>D5005*100</f>
        <v>100000</v>
      </c>
    </row>
    <row r="5006" ht="16.5" spans="1:5">
      <c r="A5006" s="151">
        <v>5005</v>
      </c>
      <c r="B5006" s="152" t="s">
        <v>16620</v>
      </c>
      <c r="C5006" s="166" t="s">
        <v>16632</v>
      </c>
      <c r="D5006" s="181">
        <v>15000</v>
      </c>
      <c r="E5006" s="45">
        <v>3500000</v>
      </c>
    </row>
    <row r="5007" ht="16.5" spans="1:5">
      <c r="A5007" s="151">
        <v>5006</v>
      </c>
      <c r="B5007" s="152" t="s">
        <v>16620</v>
      </c>
      <c r="C5007" s="166" t="s">
        <v>16632</v>
      </c>
      <c r="D5007" s="181">
        <v>35000</v>
      </c>
      <c r="E5007" s="45">
        <v>3500000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97"/>
  <sheetViews>
    <sheetView workbookViewId="0">
      <selection activeCell="I16" sqref="I16"/>
    </sheetView>
  </sheetViews>
  <sheetFormatPr defaultColWidth="9" defaultRowHeight="15.75" outlineLevelCol="5"/>
  <cols>
    <col min="1" max="1" width="11.9047619047619" customWidth="1"/>
    <col min="2" max="2" width="11.2666666666667" customWidth="1"/>
    <col min="3" max="3" width="14.7238095238095" customWidth="1"/>
    <col min="5" max="5" width="11.9047619047619" customWidth="1"/>
    <col min="6" max="6" width="17.1809523809524" style="57" customWidth="1"/>
  </cols>
  <sheetData>
    <row r="1" ht="15" spans="1:6">
      <c r="A1" t="s">
        <v>16635</v>
      </c>
      <c r="B1" s="58" t="s">
        <v>16636</v>
      </c>
      <c r="C1" t="s">
        <v>16637</v>
      </c>
      <c r="D1" t="s">
        <v>16638</v>
      </c>
      <c r="E1" t="s">
        <v>16639</v>
      </c>
      <c r="F1" s="59" t="s">
        <v>16640</v>
      </c>
    </row>
    <row r="2" spans="1:6">
      <c r="A2">
        <v>1</v>
      </c>
      <c r="B2" t="s">
        <v>6</v>
      </c>
      <c r="C2">
        <v>250</v>
      </c>
      <c r="D2">
        <v>750</v>
      </c>
      <c r="E2">
        <v>50</v>
      </c>
      <c r="F2" s="60">
        <v>44986</v>
      </c>
    </row>
    <row r="3" spans="1:6">
      <c r="A3">
        <v>2</v>
      </c>
      <c r="B3" t="s">
        <v>10</v>
      </c>
      <c r="C3">
        <v>250</v>
      </c>
      <c r="D3">
        <v>750</v>
      </c>
      <c r="E3">
        <v>50</v>
      </c>
      <c r="F3" s="61">
        <v>45015</v>
      </c>
    </row>
    <row r="4" spans="1:6">
      <c r="A4">
        <v>3</v>
      </c>
      <c r="B4" t="s">
        <v>14</v>
      </c>
      <c r="C4">
        <v>250</v>
      </c>
      <c r="D4">
        <v>750</v>
      </c>
      <c r="E4">
        <v>50</v>
      </c>
      <c r="F4" s="60">
        <v>45015</v>
      </c>
    </row>
    <row r="5" spans="1:6">
      <c r="A5">
        <v>4</v>
      </c>
      <c r="B5" t="s">
        <v>18</v>
      </c>
      <c r="C5">
        <v>250</v>
      </c>
      <c r="D5">
        <v>750</v>
      </c>
      <c r="E5">
        <v>50</v>
      </c>
      <c r="F5" s="61">
        <v>44961</v>
      </c>
    </row>
    <row r="6" spans="1:6">
      <c r="A6">
        <v>5</v>
      </c>
      <c r="B6" t="s">
        <v>21</v>
      </c>
      <c r="C6">
        <v>250</v>
      </c>
      <c r="D6">
        <v>750</v>
      </c>
      <c r="E6">
        <v>50</v>
      </c>
      <c r="F6" s="60">
        <v>44938</v>
      </c>
    </row>
    <row r="7" spans="1:6">
      <c r="A7">
        <v>6</v>
      </c>
      <c r="B7" t="s">
        <v>24</v>
      </c>
      <c r="C7">
        <v>250</v>
      </c>
      <c r="D7">
        <v>750</v>
      </c>
      <c r="E7">
        <v>50</v>
      </c>
      <c r="F7" s="61">
        <v>45015</v>
      </c>
    </row>
    <row r="8" spans="1:6">
      <c r="A8">
        <v>7</v>
      </c>
      <c r="B8" t="s">
        <v>28</v>
      </c>
      <c r="C8">
        <v>250</v>
      </c>
      <c r="D8">
        <v>750</v>
      </c>
      <c r="E8">
        <v>50</v>
      </c>
      <c r="F8" s="61">
        <v>45092</v>
      </c>
    </row>
    <row r="9" spans="1:6">
      <c r="A9">
        <v>8</v>
      </c>
      <c r="B9" t="s">
        <v>33</v>
      </c>
      <c r="C9">
        <v>250</v>
      </c>
      <c r="D9">
        <v>750</v>
      </c>
      <c r="E9">
        <v>50</v>
      </c>
      <c r="F9" s="60">
        <v>44919</v>
      </c>
    </row>
    <row r="10" spans="1:6">
      <c r="A10">
        <v>9</v>
      </c>
      <c r="B10" t="s">
        <v>37</v>
      </c>
      <c r="C10">
        <v>250</v>
      </c>
      <c r="D10">
        <v>750</v>
      </c>
      <c r="E10">
        <v>50</v>
      </c>
      <c r="F10" s="61">
        <v>45057</v>
      </c>
    </row>
    <row r="11" spans="1:6">
      <c r="A11">
        <v>10</v>
      </c>
      <c r="B11" t="s">
        <v>41</v>
      </c>
      <c r="C11">
        <v>250</v>
      </c>
      <c r="D11">
        <v>750</v>
      </c>
      <c r="E11">
        <v>50</v>
      </c>
      <c r="F11" s="62">
        <v>44961</v>
      </c>
    </row>
    <row r="12" spans="1:6">
      <c r="A12">
        <v>11</v>
      </c>
      <c r="B12" s="63">
        <v>5007</v>
      </c>
      <c r="C12">
        <v>250</v>
      </c>
      <c r="D12">
        <v>750</v>
      </c>
      <c r="E12">
        <v>50</v>
      </c>
      <c r="F12" s="62">
        <v>45092</v>
      </c>
    </row>
    <row r="13" spans="1:6">
      <c r="A13">
        <v>12</v>
      </c>
      <c r="B13" t="s">
        <v>48</v>
      </c>
      <c r="C13">
        <v>250</v>
      </c>
      <c r="D13">
        <v>750</v>
      </c>
      <c r="E13">
        <v>50</v>
      </c>
      <c r="F13" s="60">
        <v>45015</v>
      </c>
    </row>
    <row r="14" spans="1:6">
      <c r="A14">
        <v>13</v>
      </c>
      <c r="B14" t="s">
        <v>50</v>
      </c>
      <c r="C14">
        <v>250</v>
      </c>
      <c r="D14">
        <v>750</v>
      </c>
      <c r="E14">
        <v>50</v>
      </c>
      <c r="F14" s="60">
        <v>44957</v>
      </c>
    </row>
    <row r="15" spans="1:6">
      <c r="A15">
        <v>14</v>
      </c>
      <c r="B15" t="s">
        <v>54</v>
      </c>
      <c r="C15">
        <v>250</v>
      </c>
      <c r="D15">
        <v>750</v>
      </c>
      <c r="E15">
        <v>50</v>
      </c>
      <c r="F15" s="60">
        <v>44935</v>
      </c>
    </row>
    <row r="16" spans="1:6">
      <c r="A16">
        <v>15</v>
      </c>
      <c r="B16" t="s">
        <v>59</v>
      </c>
      <c r="C16">
        <v>250</v>
      </c>
      <c r="D16">
        <v>750</v>
      </c>
      <c r="E16">
        <v>50</v>
      </c>
      <c r="F16" s="61">
        <v>44961</v>
      </c>
    </row>
    <row r="17" spans="1:6">
      <c r="A17">
        <v>16</v>
      </c>
      <c r="B17" t="s">
        <v>63</v>
      </c>
      <c r="C17">
        <v>250</v>
      </c>
      <c r="D17">
        <v>750</v>
      </c>
      <c r="E17">
        <v>50</v>
      </c>
      <c r="F17" s="61">
        <v>44938</v>
      </c>
    </row>
    <row r="18" spans="1:6">
      <c r="A18">
        <v>17</v>
      </c>
      <c r="B18" t="s">
        <v>67</v>
      </c>
      <c r="C18">
        <v>250</v>
      </c>
      <c r="D18">
        <v>750</v>
      </c>
      <c r="E18">
        <v>50</v>
      </c>
      <c r="F18" s="60">
        <v>45092</v>
      </c>
    </row>
    <row r="19" spans="1:6">
      <c r="A19">
        <v>18</v>
      </c>
      <c r="B19" t="s">
        <v>70</v>
      </c>
      <c r="C19">
        <v>250</v>
      </c>
      <c r="D19">
        <v>750</v>
      </c>
      <c r="E19">
        <v>50</v>
      </c>
      <c r="F19" s="60">
        <v>45015</v>
      </c>
    </row>
    <row r="20" spans="1:6">
      <c r="A20">
        <v>19</v>
      </c>
      <c r="B20" t="s">
        <v>73</v>
      </c>
      <c r="C20">
        <v>250</v>
      </c>
      <c r="D20">
        <v>750</v>
      </c>
      <c r="E20">
        <v>50</v>
      </c>
      <c r="F20" s="60">
        <v>44914</v>
      </c>
    </row>
    <row r="21" spans="1:6">
      <c r="A21">
        <v>20</v>
      </c>
      <c r="B21" t="s">
        <v>77</v>
      </c>
      <c r="C21">
        <v>250</v>
      </c>
      <c r="D21">
        <v>750</v>
      </c>
      <c r="E21">
        <v>50</v>
      </c>
      <c r="F21" s="61">
        <v>45015</v>
      </c>
    </row>
    <row r="22" spans="1:6">
      <c r="A22">
        <v>21</v>
      </c>
      <c r="B22" t="s">
        <v>81</v>
      </c>
      <c r="C22">
        <v>250</v>
      </c>
      <c r="D22">
        <v>750</v>
      </c>
      <c r="E22">
        <v>50</v>
      </c>
      <c r="F22" s="60">
        <v>44935</v>
      </c>
    </row>
    <row r="23" spans="1:6">
      <c r="A23">
        <v>22</v>
      </c>
      <c r="B23" t="s">
        <v>85</v>
      </c>
      <c r="C23">
        <v>250</v>
      </c>
      <c r="D23">
        <v>750</v>
      </c>
      <c r="E23">
        <v>50</v>
      </c>
      <c r="F23" s="60">
        <v>45057</v>
      </c>
    </row>
    <row r="24" spans="1:6">
      <c r="A24">
        <v>23</v>
      </c>
      <c r="B24" t="s">
        <v>88</v>
      </c>
      <c r="C24">
        <v>5000</v>
      </c>
      <c r="D24">
        <v>5000</v>
      </c>
      <c r="E24">
        <v>500</v>
      </c>
      <c r="F24" s="64" t="s">
        <v>16641</v>
      </c>
    </row>
    <row r="25" spans="1:6">
      <c r="A25">
        <v>24</v>
      </c>
      <c r="B25" t="s">
        <v>93</v>
      </c>
      <c r="C25">
        <v>10000</v>
      </c>
      <c r="D25">
        <v>30000</v>
      </c>
      <c r="E25">
        <v>2000</v>
      </c>
      <c r="F25" s="65">
        <v>44615</v>
      </c>
    </row>
    <row r="26" spans="1:6">
      <c r="A26">
        <v>25</v>
      </c>
      <c r="B26" t="s">
        <v>97</v>
      </c>
      <c r="C26">
        <v>250</v>
      </c>
      <c r="D26">
        <v>750</v>
      </c>
      <c r="E26">
        <v>50</v>
      </c>
      <c r="F26" s="60">
        <v>44873</v>
      </c>
    </row>
    <row r="27" spans="1:6">
      <c r="A27">
        <v>26</v>
      </c>
      <c r="B27" t="s">
        <v>101</v>
      </c>
      <c r="C27">
        <v>250</v>
      </c>
      <c r="D27">
        <v>750</v>
      </c>
      <c r="E27">
        <v>50</v>
      </c>
      <c r="F27" s="60">
        <v>44925</v>
      </c>
    </row>
    <row r="28" spans="1:6">
      <c r="A28">
        <v>27</v>
      </c>
      <c r="B28" t="s">
        <v>105</v>
      </c>
      <c r="C28">
        <v>250</v>
      </c>
      <c r="D28">
        <v>750</v>
      </c>
      <c r="E28">
        <v>50</v>
      </c>
      <c r="F28" s="60">
        <v>44881</v>
      </c>
    </row>
    <row r="29" spans="1:6">
      <c r="A29">
        <v>28</v>
      </c>
      <c r="B29" t="s">
        <v>108</v>
      </c>
      <c r="C29">
        <v>250</v>
      </c>
      <c r="D29">
        <v>750</v>
      </c>
      <c r="E29">
        <v>50</v>
      </c>
      <c r="F29" s="61">
        <v>44961</v>
      </c>
    </row>
    <row r="30" spans="1:6">
      <c r="A30">
        <v>29</v>
      </c>
      <c r="B30" t="s">
        <v>112</v>
      </c>
      <c r="C30">
        <v>250</v>
      </c>
      <c r="D30">
        <v>750</v>
      </c>
      <c r="E30">
        <v>50</v>
      </c>
      <c r="F30" s="61">
        <v>44903</v>
      </c>
    </row>
    <row r="31" spans="1:6">
      <c r="A31">
        <v>30</v>
      </c>
      <c r="B31" t="s">
        <v>116</v>
      </c>
      <c r="C31">
        <v>200000</v>
      </c>
      <c r="D31">
        <v>0</v>
      </c>
      <c r="E31" t="s">
        <v>16642</v>
      </c>
      <c r="F31" s="66"/>
    </row>
    <row r="32" spans="1:6">
      <c r="A32">
        <v>31</v>
      </c>
      <c r="B32" t="s">
        <v>122</v>
      </c>
      <c r="C32">
        <v>250</v>
      </c>
      <c r="D32">
        <v>750</v>
      </c>
      <c r="E32">
        <v>50</v>
      </c>
      <c r="F32" s="61">
        <v>45072</v>
      </c>
    </row>
    <row r="33" spans="1:6">
      <c r="A33">
        <v>32</v>
      </c>
      <c r="B33" t="s">
        <v>126</v>
      </c>
      <c r="C33">
        <v>250</v>
      </c>
      <c r="D33">
        <v>750</v>
      </c>
      <c r="E33">
        <v>50</v>
      </c>
      <c r="F33" s="61">
        <v>44879</v>
      </c>
    </row>
    <row r="34" spans="1:6">
      <c r="A34">
        <v>33</v>
      </c>
      <c r="B34" t="s">
        <v>129</v>
      </c>
      <c r="C34">
        <v>250</v>
      </c>
      <c r="D34">
        <v>750</v>
      </c>
      <c r="E34">
        <v>50</v>
      </c>
      <c r="F34" s="60">
        <v>44925</v>
      </c>
    </row>
    <row r="35" spans="1:6">
      <c r="A35">
        <v>34</v>
      </c>
      <c r="B35" t="s">
        <v>132</v>
      </c>
      <c r="C35">
        <v>7500</v>
      </c>
      <c r="D35">
        <v>22500</v>
      </c>
      <c r="E35">
        <v>1500</v>
      </c>
      <c r="F35" s="67">
        <v>44949</v>
      </c>
    </row>
    <row r="36" spans="1:6">
      <c r="A36">
        <v>35</v>
      </c>
      <c r="B36" t="s">
        <v>135</v>
      </c>
      <c r="C36">
        <v>1000</v>
      </c>
      <c r="D36">
        <v>0</v>
      </c>
      <c r="E36">
        <v>50</v>
      </c>
      <c r="F36" s="61">
        <v>44940</v>
      </c>
    </row>
    <row r="37" spans="1:6">
      <c r="A37">
        <v>36</v>
      </c>
      <c r="B37" t="s">
        <v>139</v>
      </c>
      <c r="C37">
        <v>500</v>
      </c>
      <c r="D37">
        <v>500</v>
      </c>
      <c r="E37">
        <v>50</v>
      </c>
      <c r="F37" s="61">
        <v>44925</v>
      </c>
    </row>
    <row r="38" spans="1:6">
      <c r="A38">
        <v>37</v>
      </c>
      <c r="B38" t="s">
        <v>143</v>
      </c>
      <c r="C38">
        <v>250</v>
      </c>
      <c r="D38">
        <v>750</v>
      </c>
      <c r="E38">
        <v>50</v>
      </c>
      <c r="F38" s="60">
        <v>44939</v>
      </c>
    </row>
    <row r="39" spans="1:6">
      <c r="A39">
        <v>38</v>
      </c>
      <c r="B39" t="s">
        <v>147</v>
      </c>
      <c r="C39">
        <v>1000</v>
      </c>
      <c r="D39">
        <v>0</v>
      </c>
      <c r="E39">
        <v>50</v>
      </c>
      <c r="F39" s="60">
        <v>44917</v>
      </c>
    </row>
    <row r="40" spans="1:6">
      <c r="A40">
        <v>39</v>
      </c>
      <c r="B40" t="s">
        <v>151</v>
      </c>
      <c r="C40">
        <v>1000</v>
      </c>
      <c r="D40">
        <v>0</v>
      </c>
      <c r="E40">
        <v>50</v>
      </c>
      <c r="F40" s="61">
        <v>44960</v>
      </c>
    </row>
    <row r="41" spans="1:6">
      <c r="A41">
        <v>40</v>
      </c>
      <c r="B41" t="s">
        <v>155</v>
      </c>
      <c r="C41">
        <v>500</v>
      </c>
      <c r="D41">
        <v>500</v>
      </c>
      <c r="E41">
        <v>50</v>
      </c>
      <c r="F41" s="61">
        <v>44909</v>
      </c>
    </row>
    <row r="42" spans="1:6">
      <c r="A42">
        <v>41</v>
      </c>
      <c r="B42" t="s">
        <v>158</v>
      </c>
      <c r="C42">
        <v>250</v>
      </c>
      <c r="D42">
        <v>750</v>
      </c>
      <c r="E42">
        <v>50</v>
      </c>
      <c r="F42" s="68" t="s">
        <v>16643</v>
      </c>
    </row>
    <row r="43" spans="1:6">
      <c r="A43">
        <v>42</v>
      </c>
      <c r="B43" t="s">
        <v>162</v>
      </c>
      <c r="C43">
        <v>500</v>
      </c>
      <c r="D43">
        <v>500</v>
      </c>
      <c r="E43">
        <v>50</v>
      </c>
      <c r="F43" s="61">
        <v>44868</v>
      </c>
    </row>
    <row r="44" spans="1:6">
      <c r="A44">
        <v>43</v>
      </c>
      <c r="B44" t="s">
        <v>165</v>
      </c>
      <c r="C44">
        <v>500</v>
      </c>
      <c r="D44">
        <v>500</v>
      </c>
      <c r="E44">
        <v>50</v>
      </c>
      <c r="F44" s="69">
        <v>45073</v>
      </c>
    </row>
    <row r="45" spans="1:6">
      <c r="A45">
        <v>44</v>
      </c>
      <c r="B45" t="s">
        <v>170</v>
      </c>
      <c r="C45">
        <v>500</v>
      </c>
      <c r="D45">
        <v>500</v>
      </c>
      <c r="E45">
        <v>50</v>
      </c>
      <c r="F45" s="61">
        <v>44940</v>
      </c>
    </row>
    <row r="46" spans="1:6">
      <c r="A46">
        <v>45</v>
      </c>
      <c r="B46" t="s">
        <v>174</v>
      </c>
      <c r="C46">
        <v>1000</v>
      </c>
      <c r="D46">
        <v>3000</v>
      </c>
      <c r="E46">
        <v>200</v>
      </c>
      <c r="F46" s="60">
        <v>44886</v>
      </c>
    </row>
    <row r="47" spans="1:6">
      <c r="A47">
        <v>46</v>
      </c>
      <c r="B47" t="s">
        <v>177</v>
      </c>
      <c r="C47">
        <v>250</v>
      </c>
      <c r="D47">
        <v>750</v>
      </c>
      <c r="E47">
        <v>50</v>
      </c>
      <c r="F47" s="61">
        <v>44849</v>
      </c>
    </row>
    <row r="48" spans="1:6">
      <c r="A48">
        <v>47</v>
      </c>
      <c r="B48" t="s">
        <v>182</v>
      </c>
      <c r="C48">
        <v>500</v>
      </c>
      <c r="D48">
        <v>500</v>
      </c>
      <c r="E48">
        <v>50</v>
      </c>
      <c r="F48" s="61">
        <v>44849</v>
      </c>
    </row>
    <row r="49" spans="1:6">
      <c r="A49">
        <v>48</v>
      </c>
      <c r="B49" t="s">
        <v>187</v>
      </c>
      <c r="C49">
        <v>1000</v>
      </c>
      <c r="D49">
        <v>0</v>
      </c>
      <c r="E49">
        <v>50</v>
      </c>
      <c r="F49" s="60">
        <v>44929</v>
      </c>
    </row>
    <row r="50" spans="1:6">
      <c r="A50">
        <v>49</v>
      </c>
      <c r="B50" t="s">
        <v>191</v>
      </c>
      <c r="C50">
        <v>1000</v>
      </c>
      <c r="D50">
        <v>0</v>
      </c>
      <c r="E50">
        <v>50</v>
      </c>
      <c r="F50" s="61">
        <v>44940</v>
      </c>
    </row>
    <row r="51" spans="1:6">
      <c r="A51">
        <v>50</v>
      </c>
      <c r="B51" t="s">
        <v>195</v>
      </c>
      <c r="C51">
        <v>250</v>
      </c>
      <c r="D51">
        <v>750</v>
      </c>
      <c r="E51">
        <v>50</v>
      </c>
      <c r="F51" s="60">
        <v>44910</v>
      </c>
    </row>
    <row r="52" spans="1:6">
      <c r="A52">
        <v>51</v>
      </c>
      <c r="B52" t="s">
        <v>198</v>
      </c>
      <c r="C52">
        <v>250</v>
      </c>
      <c r="D52">
        <v>750</v>
      </c>
      <c r="E52">
        <v>50</v>
      </c>
      <c r="F52" s="61">
        <v>44886</v>
      </c>
    </row>
    <row r="53" spans="1:6">
      <c r="A53">
        <v>52</v>
      </c>
      <c r="B53" t="s">
        <v>203</v>
      </c>
      <c r="C53">
        <v>250</v>
      </c>
      <c r="D53">
        <v>750</v>
      </c>
      <c r="E53">
        <v>50</v>
      </c>
      <c r="F53" s="61">
        <v>45055</v>
      </c>
    </row>
    <row r="54" spans="1:6">
      <c r="A54">
        <v>53</v>
      </c>
      <c r="B54" t="s">
        <v>207</v>
      </c>
      <c r="C54">
        <v>250</v>
      </c>
      <c r="D54">
        <v>750</v>
      </c>
      <c r="E54">
        <v>50</v>
      </c>
      <c r="F54" s="70">
        <v>44901</v>
      </c>
    </row>
    <row r="55" spans="1:6">
      <c r="A55">
        <v>54</v>
      </c>
      <c r="B55" t="s">
        <v>212</v>
      </c>
      <c r="C55">
        <v>1000</v>
      </c>
      <c r="D55">
        <v>0</v>
      </c>
      <c r="E55">
        <v>50</v>
      </c>
      <c r="F55" s="69">
        <v>44971</v>
      </c>
    </row>
    <row r="56" spans="1:6">
      <c r="A56">
        <v>55</v>
      </c>
      <c r="B56" t="s">
        <v>217</v>
      </c>
      <c r="C56">
        <v>250</v>
      </c>
      <c r="D56">
        <v>750</v>
      </c>
      <c r="E56">
        <v>50</v>
      </c>
      <c r="F56" s="61">
        <v>44849</v>
      </c>
    </row>
    <row r="57" spans="1:6">
      <c r="A57">
        <v>56</v>
      </c>
      <c r="B57" t="s">
        <v>220</v>
      </c>
      <c r="C57">
        <v>250</v>
      </c>
      <c r="D57">
        <v>750</v>
      </c>
      <c r="E57">
        <v>50</v>
      </c>
      <c r="F57" s="61">
        <v>44897</v>
      </c>
    </row>
    <row r="58" spans="1:6">
      <c r="A58">
        <v>57</v>
      </c>
      <c r="B58" t="s">
        <v>223</v>
      </c>
      <c r="C58">
        <v>250</v>
      </c>
      <c r="D58">
        <v>750</v>
      </c>
      <c r="E58">
        <v>50</v>
      </c>
      <c r="F58" s="60">
        <v>44807</v>
      </c>
    </row>
    <row r="59" spans="1:6">
      <c r="A59">
        <v>58</v>
      </c>
      <c r="B59" t="s">
        <v>226</v>
      </c>
      <c r="C59">
        <v>1000</v>
      </c>
      <c r="D59">
        <v>0</v>
      </c>
      <c r="E59">
        <v>50</v>
      </c>
      <c r="F59" s="70">
        <v>44887</v>
      </c>
    </row>
    <row r="60" spans="1:6">
      <c r="A60">
        <v>59</v>
      </c>
      <c r="B60" t="s">
        <v>229</v>
      </c>
      <c r="C60">
        <v>250</v>
      </c>
      <c r="D60">
        <v>750</v>
      </c>
      <c r="E60">
        <v>50</v>
      </c>
      <c r="F60" s="60">
        <v>44867</v>
      </c>
    </row>
    <row r="61" spans="1:6">
      <c r="A61">
        <v>60</v>
      </c>
      <c r="B61" t="s">
        <v>233</v>
      </c>
      <c r="C61">
        <v>250</v>
      </c>
      <c r="D61">
        <v>750</v>
      </c>
      <c r="E61">
        <v>50</v>
      </c>
      <c r="F61" s="71">
        <v>44925</v>
      </c>
    </row>
    <row r="62" spans="1:6">
      <c r="A62">
        <v>61</v>
      </c>
      <c r="B62" t="s">
        <v>236</v>
      </c>
      <c r="C62">
        <v>250</v>
      </c>
      <c r="D62">
        <v>750</v>
      </c>
      <c r="E62">
        <v>50</v>
      </c>
      <c r="F62" s="61">
        <v>44917</v>
      </c>
    </row>
    <row r="63" spans="1:6">
      <c r="A63">
        <v>62</v>
      </c>
      <c r="B63" t="s">
        <v>239</v>
      </c>
      <c r="C63">
        <v>250</v>
      </c>
      <c r="D63">
        <v>750</v>
      </c>
      <c r="E63">
        <v>50</v>
      </c>
      <c r="F63" s="72">
        <v>44849</v>
      </c>
    </row>
    <row r="64" spans="1:6">
      <c r="A64">
        <v>63</v>
      </c>
      <c r="B64" t="s">
        <v>244</v>
      </c>
      <c r="C64">
        <v>250</v>
      </c>
      <c r="D64">
        <v>750</v>
      </c>
      <c r="E64">
        <v>50</v>
      </c>
      <c r="F64" s="61">
        <v>44858</v>
      </c>
    </row>
    <row r="65" spans="1:6">
      <c r="A65">
        <v>64</v>
      </c>
      <c r="B65" t="s">
        <v>247</v>
      </c>
      <c r="C65">
        <v>2500</v>
      </c>
      <c r="D65">
        <v>7500</v>
      </c>
      <c r="E65">
        <v>500</v>
      </c>
      <c r="F65" s="61">
        <v>44853</v>
      </c>
    </row>
    <row r="66" spans="1:6">
      <c r="A66">
        <v>65</v>
      </c>
      <c r="B66" t="s">
        <v>250</v>
      </c>
      <c r="C66">
        <v>250</v>
      </c>
      <c r="D66">
        <v>750</v>
      </c>
      <c r="E66">
        <v>50</v>
      </c>
      <c r="F66" s="61">
        <v>44998</v>
      </c>
    </row>
    <row r="67" spans="1:6">
      <c r="A67">
        <v>66</v>
      </c>
      <c r="B67" t="s">
        <v>254</v>
      </c>
      <c r="C67">
        <v>250</v>
      </c>
      <c r="D67">
        <v>750</v>
      </c>
      <c r="E67">
        <v>50</v>
      </c>
      <c r="F67" s="60">
        <v>44872</v>
      </c>
    </row>
    <row r="68" spans="1:6">
      <c r="A68">
        <v>67</v>
      </c>
      <c r="B68" t="s">
        <v>257</v>
      </c>
      <c r="C68">
        <v>250</v>
      </c>
      <c r="D68">
        <v>750</v>
      </c>
      <c r="E68">
        <v>50</v>
      </c>
      <c r="F68" s="61">
        <v>44961</v>
      </c>
    </row>
    <row r="69" spans="1:6">
      <c r="A69">
        <v>68</v>
      </c>
      <c r="B69" t="s">
        <v>261</v>
      </c>
      <c r="C69">
        <v>250</v>
      </c>
      <c r="D69">
        <v>750</v>
      </c>
      <c r="E69">
        <v>50</v>
      </c>
      <c r="F69" s="73">
        <v>44932</v>
      </c>
    </row>
    <row r="70" spans="1:6">
      <c r="A70">
        <v>69</v>
      </c>
      <c r="B70" t="s">
        <v>264</v>
      </c>
      <c r="C70">
        <v>250</v>
      </c>
      <c r="D70">
        <v>750</v>
      </c>
      <c r="E70">
        <v>50</v>
      </c>
      <c r="F70" s="61">
        <v>44926</v>
      </c>
    </row>
    <row r="71" spans="1:6">
      <c r="A71">
        <v>70</v>
      </c>
      <c r="B71" t="s">
        <v>267</v>
      </c>
      <c r="C71">
        <v>750</v>
      </c>
      <c r="D71">
        <v>250</v>
      </c>
      <c r="E71">
        <v>50</v>
      </c>
      <c r="F71" s="69">
        <v>44846</v>
      </c>
    </row>
    <row r="72" spans="1:6">
      <c r="A72">
        <v>71</v>
      </c>
      <c r="B72" t="s">
        <v>270</v>
      </c>
      <c r="C72">
        <v>1000</v>
      </c>
      <c r="D72">
        <v>0</v>
      </c>
      <c r="E72">
        <v>50</v>
      </c>
      <c r="F72" s="73">
        <v>44925</v>
      </c>
    </row>
    <row r="73" spans="1:6">
      <c r="A73">
        <v>72</v>
      </c>
      <c r="B73" t="s">
        <v>274</v>
      </c>
      <c r="C73">
        <v>250</v>
      </c>
      <c r="D73">
        <v>750</v>
      </c>
      <c r="E73">
        <v>50</v>
      </c>
      <c r="F73" s="74">
        <v>45023</v>
      </c>
    </row>
    <row r="74" spans="1:6">
      <c r="A74">
        <v>73</v>
      </c>
      <c r="B74" t="s">
        <v>277</v>
      </c>
      <c r="C74">
        <v>250</v>
      </c>
      <c r="D74">
        <v>750</v>
      </c>
      <c r="E74">
        <v>50</v>
      </c>
      <c r="F74" s="60">
        <v>44909</v>
      </c>
    </row>
    <row r="75" spans="1:6">
      <c r="A75">
        <v>74</v>
      </c>
      <c r="B75" t="s">
        <v>280</v>
      </c>
      <c r="C75">
        <v>500</v>
      </c>
      <c r="D75">
        <v>500</v>
      </c>
      <c r="E75">
        <v>50</v>
      </c>
      <c r="F75" s="60">
        <v>44919</v>
      </c>
    </row>
    <row r="76" spans="1:6">
      <c r="A76">
        <v>75</v>
      </c>
      <c r="B76" t="s">
        <v>284</v>
      </c>
      <c r="C76">
        <v>250</v>
      </c>
      <c r="D76">
        <v>750</v>
      </c>
      <c r="E76">
        <v>50</v>
      </c>
      <c r="F76" s="60">
        <v>44897</v>
      </c>
    </row>
    <row r="77" spans="1:6">
      <c r="A77">
        <v>76</v>
      </c>
      <c r="B77" t="s">
        <v>287</v>
      </c>
      <c r="C77">
        <v>1000</v>
      </c>
      <c r="D77">
        <v>0</v>
      </c>
      <c r="E77">
        <v>50</v>
      </c>
      <c r="F77" s="71">
        <v>44926</v>
      </c>
    </row>
    <row r="78" spans="1:6">
      <c r="A78">
        <v>77</v>
      </c>
      <c r="B78" t="s">
        <v>290</v>
      </c>
      <c r="C78">
        <v>250</v>
      </c>
      <c r="D78">
        <v>750</v>
      </c>
      <c r="E78">
        <v>50</v>
      </c>
      <c r="F78" s="61">
        <v>44916</v>
      </c>
    </row>
    <row r="79" spans="1:6">
      <c r="A79">
        <v>78</v>
      </c>
      <c r="B79" t="s">
        <v>293</v>
      </c>
      <c r="C79">
        <v>250</v>
      </c>
      <c r="D79">
        <v>750</v>
      </c>
      <c r="E79">
        <v>50</v>
      </c>
      <c r="F79" s="75">
        <v>44910</v>
      </c>
    </row>
    <row r="80" spans="1:6">
      <c r="A80">
        <v>79</v>
      </c>
      <c r="B80" t="s">
        <v>296</v>
      </c>
      <c r="C80">
        <v>250</v>
      </c>
      <c r="D80">
        <v>750</v>
      </c>
      <c r="E80">
        <v>50</v>
      </c>
      <c r="F80" s="61">
        <v>44855</v>
      </c>
    </row>
    <row r="81" spans="1:6">
      <c r="A81">
        <v>80</v>
      </c>
      <c r="B81" t="s">
        <v>300</v>
      </c>
      <c r="C81">
        <v>250</v>
      </c>
      <c r="D81">
        <v>750</v>
      </c>
      <c r="E81">
        <v>50</v>
      </c>
      <c r="F81" s="73">
        <v>45131</v>
      </c>
    </row>
    <row r="82" spans="1:6">
      <c r="A82">
        <v>81</v>
      </c>
      <c r="B82" t="s">
        <v>303</v>
      </c>
      <c r="C82">
        <v>250</v>
      </c>
      <c r="D82">
        <v>750</v>
      </c>
      <c r="E82">
        <v>50</v>
      </c>
      <c r="F82" s="69">
        <v>44960</v>
      </c>
    </row>
    <row r="83" spans="1:6">
      <c r="A83">
        <v>82</v>
      </c>
      <c r="B83" t="s">
        <v>306</v>
      </c>
      <c r="C83">
        <v>750</v>
      </c>
      <c r="D83">
        <v>250</v>
      </c>
      <c r="E83">
        <v>50</v>
      </c>
      <c r="F83" s="73">
        <v>45038</v>
      </c>
    </row>
    <row r="84" spans="1:6">
      <c r="A84">
        <v>83</v>
      </c>
      <c r="B84" t="s">
        <v>311</v>
      </c>
      <c r="C84">
        <v>1000</v>
      </c>
      <c r="D84">
        <v>0</v>
      </c>
      <c r="E84">
        <v>50</v>
      </c>
      <c r="F84" s="61">
        <v>44868</v>
      </c>
    </row>
    <row r="85" spans="1:6">
      <c r="A85">
        <v>84</v>
      </c>
      <c r="B85" t="s">
        <v>314</v>
      </c>
      <c r="C85">
        <v>250</v>
      </c>
      <c r="D85">
        <v>750</v>
      </c>
      <c r="E85">
        <v>50</v>
      </c>
      <c r="F85" s="73">
        <v>44932</v>
      </c>
    </row>
    <row r="86" spans="1:6">
      <c r="A86">
        <v>85</v>
      </c>
      <c r="B86" t="s">
        <v>318</v>
      </c>
      <c r="C86">
        <v>250</v>
      </c>
      <c r="D86">
        <v>750</v>
      </c>
      <c r="E86">
        <v>50</v>
      </c>
      <c r="F86" s="61">
        <v>45006</v>
      </c>
    </row>
    <row r="87" spans="1:6">
      <c r="A87">
        <v>86</v>
      </c>
      <c r="B87" t="s">
        <v>321</v>
      </c>
      <c r="C87">
        <v>100000</v>
      </c>
      <c r="D87">
        <v>0</v>
      </c>
      <c r="E87" t="s">
        <v>16642</v>
      </c>
      <c r="F87" s="76">
        <v>44993</v>
      </c>
    </row>
    <row r="88" spans="1:6">
      <c r="A88">
        <v>87</v>
      </c>
      <c r="B88" t="s">
        <v>325</v>
      </c>
      <c r="C88">
        <v>250</v>
      </c>
      <c r="D88">
        <v>750</v>
      </c>
      <c r="E88">
        <v>50</v>
      </c>
      <c r="F88" s="61">
        <v>45045</v>
      </c>
    </row>
    <row r="89" spans="1:6">
      <c r="A89">
        <v>88</v>
      </c>
      <c r="B89" t="s">
        <v>328</v>
      </c>
      <c r="C89">
        <v>2500</v>
      </c>
      <c r="D89">
        <v>7500</v>
      </c>
      <c r="E89">
        <v>500</v>
      </c>
      <c r="F89" s="77">
        <v>44893</v>
      </c>
    </row>
    <row r="90" spans="1:6">
      <c r="A90">
        <v>89</v>
      </c>
      <c r="B90" t="s">
        <v>331</v>
      </c>
      <c r="C90">
        <v>250</v>
      </c>
      <c r="D90">
        <v>750</v>
      </c>
      <c r="E90">
        <v>50</v>
      </c>
      <c r="F90" s="61">
        <v>44872</v>
      </c>
    </row>
    <row r="91" spans="1:6">
      <c r="A91">
        <v>90</v>
      </c>
      <c r="B91" t="s">
        <v>334</v>
      </c>
      <c r="C91">
        <v>1000</v>
      </c>
      <c r="D91">
        <v>0</v>
      </c>
      <c r="E91">
        <v>50</v>
      </c>
      <c r="F91" s="60">
        <v>44901</v>
      </c>
    </row>
    <row r="92" spans="1:6">
      <c r="A92">
        <v>91</v>
      </c>
      <c r="B92" t="s">
        <v>338</v>
      </c>
      <c r="C92">
        <v>250</v>
      </c>
      <c r="D92">
        <v>750</v>
      </c>
      <c r="E92">
        <v>50</v>
      </c>
      <c r="F92" s="61">
        <v>44866</v>
      </c>
    </row>
    <row r="93" spans="1:6">
      <c r="A93">
        <v>92</v>
      </c>
      <c r="B93" t="s">
        <v>341</v>
      </c>
      <c r="C93">
        <v>250</v>
      </c>
      <c r="D93">
        <v>750</v>
      </c>
      <c r="E93">
        <v>50</v>
      </c>
      <c r="F93" s="60">
        <v>44884</v>
      </c>
    </row>
    <row r="94" spans="1:6">
      <c r="A94">
        <v>93</v>
      </c>
      <c r="B94" t="s">
        <v>344</v>
      </c>
      <c r="C94">
        <v>250</v>
      </c>
      <c r="D94">
        <v>750</v>
      </c>
      <c r="E94">
        <v>50</v>
      </c>
      <c r="F94" s="61" t="s">
        <v>16644</v>
      </c>
    </row>
    <row r="95" spans="1:6">
      <c r="A95">
        <v>94</v>
      </c>
      <c r="B95" t="s">
        <v>348</v>
      </c>
      <c r="C95">
        <v>0</v>
      </c>
      <c r="D95">
        <v>1000</v>
      </c>
      <c r="E95">
        <v>50</v>
      </c>
      <c r="F95" s="78">
        <v>45078</v>
      </c>
    </row>
    <row r="96" spans="1:6">
      <c r="A96">
        <v>95</v>
      </c>
      <c r="B96" t="s">
        <v>352</v>
      </c>
      <c r="C96">
        <v>250</v>
      </c>
      <c r="D96">
        <v>750</v>
      </c>
      <c r="E96">
        <v>50</v>
      </c>
      <c r="F96" s="75">
        <v>44848</v>
      </c>
    </row>
    <row r="97" spans="1:6">
      <c r="A97">
        <v>96</v>
      </c>
      <c r="B97" t="s">
        <v>356</v>
      </c>
      <c r="C97">
        <v>250</v>
      </c>
      <c r="D97">
        <v>750</v>
      </c>
      <c r="E97">
        <v>50</v>
      </c>
      <c r="F97" s="75">
        <v>44857</v>
      </c>
    </row>
    <row r="98" spans="1:6">
      <c r="A98">
        <v>97</v>
      </c>
      <c r="B98" t="s">
        <v>360</v>
      </c>
      <c r="C98">
        <v>250</v>
      </c>
      <c r="D98">
        <v>750</v>
      </c>
      <c r="E98">
        <v>50</v>
      </c>
      <c r="F98" s="60">
        <v>44896</v>
      </c>
    </row>
    <row r="99" spans="1:6">
      <c r="A99">
        <v>98</v>
      </c>
      <c r="B99" t="s">
        <v>363</v>
      </c>
      <c r="C99">
        <v>5000</v>
      </c>
      <c r="D99">
        <v>15000</v>
      </c>
      <c r="E99">
        <v>1000</v>
      </c>
      <c r="F99" s="67">
        <v>44939</v>
      </c>
    </row>
    <row r="100" spans="1:6">
      <c r="A100">
        <v>99</v>
      </c>
      <c r="B100" t="s">
        <v>366</v>
      </c>
      <c r="C100">
        <v>250</v>
      </c>
      <c r="D100">
        <v>750</v>
      </c>
      <c r="E100">
        <v>50</v>
      </c>
      <c r="F100" s="70">
        <v>44848</v>
      </c>
    </row>
    <row r="101" spans="1:6">
      <c r="A101">
        <v>100</v>
      </c>
      <c r="B101" t="s">
        <v>370</v>
      </c>
      <c r="C101">
        <v>250</v>
      </c>
      <c r="D101">
        <v>750</v>
      </c>
      <c r="E101">
        <v>50</v>
      </c>
      <c r="F101" s="60">
        <v>44897</v>
      </c>
    </row>
    <row r="102" spans="1:6">
      <c r="A102">
        <v>101</v>
      </c>
      <c r="B102" t="s">
        <v>373</v>
      </c>
      <c r="C102">
        <v>250</v>
      </c>
      <c r="D102">
        <v>750</v>
      </c>
      <c r="E102">
        <v>50</v>
      </c>
      <c r="F102" s="75">
        <v>44919</v>
      </c>
    </row>
    <row r="103" spans="1:6">
      <c r="A103">
        <v>102</v>
      </c>
      <c r="B103" t="s">
        <v>376</v>
      </c>
      <c r="C103">
        <v>250</v>
      </c>
      <c r="D103">
        <v>750</v>
      </c>
      <c r="E103">
        <v>50</v>
      </c>
      <c r="F103" s="60">
        <v>44821</v>
      </c>
    </row>
    <row r="104" spans="1:6">
      <c r="A104">
        <v>103</v>
      </c>
      <c r="B104" t="s">
        <v>380</v>
      </c>
      <c r="C104">
        <v>250</v>
      </c>
      <c r="D104">
        <v>750</v>
      </c>
      <c r="E104">
        <v>50</v>
      </c>
      <c r="F104" s="60">
        <v>44593</v>
      </c>
    </row>
    <row r="105" spans="1:6">
      <c r="A105">
        <v>104</v>
      </c>
      <c r="B105" t="s">
        <v>383</v>
      </c>
      <c r="C105">
        <v>250</v>
      </c>
      <c r="D105">
        <v>750</v>
      </c>
      <c r="E105">
        <v>50</v>
      </c>
      <c r="F105" s="73">
        <v>44820</v>
      </c>
    </row>
    <row r="106" spans="1:6">
      <c r="A106">
        <v>105</v>
      </c>
      <c r="B106" t="s">
        <v>387</v>
      </c>
      <c r="C106">
        <v>1000</v>
      </c>
      <c r="D106">
        <v>0</v>
      </c>
      <c r="E106">
        <v>50</v>
      </c>
      <c r="F106" s="75">
        <v>44880</v>
      </c>
    </row>
    <row r="107" spans="1:6">
      <c r="A107">
        <v>106</v>
      </c>
      <c r="B107" t="s">
        <v>391</v>
      </c>
      <c r="C107">
        <v>40000</v>
      </c>
      <c r="D107">
        <v>0</v>
      </c>
      <c r="E107">
        <v>2000</v>
      </c>
      <c r="F107" s="79">
        <v>44704</v>
      </c>
    </row>
    <row r="108" spans="1:6">
      <c r="A108">
        <v>107</v>
      </c>
      <c r="B108" t="s">
        <v>394</v>
      </c>
      <c r="C108">
        <v>250</v>
      </c>
      <c r="D108">
        <v>750</v>
      </c>
      <c r="E108">
        <v>50</v>
      </c>
      <c r="F108" s="73">
        <v>44918</v>
      </c>
    </row>
    <row r="109" spans="1:6">
      <c r="A109">
        <v>108</v>
      </c>
      <c r="B109" t="s">
        <v>397</v>
      </c>
      <c r="C109">
        <v>100000</v>
      </c>
      <c r="D109">
        <v>0</v>
      </c>
      <c r="E109" t="s">
        <v>16642</v>
      </c>
      <c r="F109" s="66"/>
    </row>
    <row r="110" spans="1:6">
      <c r="A110">
        <v>109</v>
      </c>
      <c r="B110" t="s">
        <v>402</v>
      </c>
      <c r="C110">
        <v>1000</v>
      </c>
      <c r="D110">
        <v>0</v>
      </c>
      <c r="E110">
        <v>50</v>
      </c>
      <c r="F110" s="73">
        <v>44988</v>
      </c>
    </row>
    <row r="111" spans="1:6">
      <c r="A111">
        <v>110</v>
      </c>
      <c r="B111" t="s">
        <v>406</v>
      </c>
      <c r="C111">
        <v>1000000</v>
      </c>
      <c r="D111">
        <v>500000</v>
      </c>
      <c r="E111" t="s">
        <v>16642</v>
      </c>
      <c r="F111" s="80">
        <f>IFERROR(__xludf.DUMMYFUNCTION("""COMPUTED_VALUE"""),45078)</f>
        <v>45078</v>
      </c>
    </row>
    <row r="112" spans="1:6">
      <c r="A112">
        <v>111</v>
      </c>
      <c r="B112" t="s">
        <v>411</v>
      </c>
      <c r="C112">
        <v>250</v>
      </c>
      <c r="D112">
        <v>750</v>
      </c>
      <c r="E112">
        <v>50</v>
      </c>
      <c r="F112" s="60">
        <v>44865</v>
      </c>
    </row>
    <row r="113" ht="15" spans="1:6">
      <c r="A113">
        <v>112</v>
      </c>
      <c r="B113" t="s">
        <v>415</v>
      </c>
      <c r="C113">
        <v>1000000</v>
      </c>
      <c r="D113">
        <v>500000</v>
      </c>
      <c r="E113" t="s">
        <v>16642</v>
      </c>
      <c r="F113" s="81">
        <f>IFERROR(__xludf.DUMMYFUNCTION("""COMPUTED_VALUE"""),45083)</f>
        <v>45083</v>
      </c>
    </row>
    <row r="114" spans="1:6">
      <c r="A114">
        <v>113</v>
      </c>
      <c r="B114" t="s">
        <v>416</v>
      </c>
      <c r="C114">
        <v>50000</v>
      </c>
      <c r="D114">
        <v>0</v>
      </c>
      <c r="E114">
        <v>2500</v>
      </c>
      <c r="F114" s="64" t="s">
        <v>16645</v>
      </c>
    </row>
    <row r="115" spans="1:6">
      <c r="A115">
        <v>114</v>
      </c>
      <c r="B115" t="s">
        <v>420</v>
      </c>
      <c r="C115">
        <v>250</v>
      </c>
      <c r="D115">
        <v>750</v>
      </c>
      <c r="E115">
        <v>50</v>
      </c>
      <c r="F115" s="61">
        <v>44923</v>
      </c>
    </row>
    <row r="116" spans="1:6">
      <c r="A116">
        <v>115</v>
      </c>
      <c r="B116" t="s">
        <v>423</v>
      </c>
      <c r="C116">
        <v>250</v>
      </c>
      <c r="D116">
        <v>750</v>
      </c>
      <c r="E116">
        <v>50</v>
      </c>
      <c r="F116" s="60">
        <v>44886</v>
      </c>
    </row>
    <row r="117" spans="1:6">
      <c r="A117">
        <v>116</v>
      </c>
      <c r="B117" t="s">
        <v>427</v>
      </c>
      <c r="C117">
        <v>250</v>
      </c>
      <c r="D117">
        <v>750</v>
      </c>
      <c r="E117">
        <v>50</v>
      </c>
      <c r="F117" s="60">
        <v>44900</v>
      </c>
    </row>
    <row r="118" spans="1:6">
      <c r="A118">
        <v>117</v>
      </c>
      <c r="B118" t="s">
        <v>430</v>
      </c>
      <c r="C118">
        <v>2500</v>
      </c>
      <c r="D118">
        <v>7500</v>
      </c>
      <c r="E118">
        <v>500</v>
      </c>
      <c r="F118" s="77">
        <v>44764</v>
      </c>
    </row>
    <row r="119" spans="1:6">
      <c r="A119">
        <v>118</v>
      </c>
      <c r="B119" t="s">
        <v>433</v>
      </c>
      <c r="C119">
        <v>250</v>
      </c>
      <c r="D119">
        <v>750</v>
      </c>
      <c r="E119">
        <v>50</v>
      </c>
      <c r="F119" s="69">
        <v>44977</v>
      </c>
    </row>
    <row r="120" spans="1:6">
      <c r="A120">
        <v>119</v>
      </c>
      <c r="B120" t="s">
        <v>437</v>
      </c>
      <c r="C120">
        <v>100000</v>
      </c>
      <c r="D120">
        <v>0</v>
      </c>
      <c r="E120" t="s">
        <v>16642</v>
      </c>
      <c r="F120" s="82">
        <v>44785</v>
      </c>
    </row>
    <row r="121" spans="1:6">
      <c r="A121">
        <v>120</v>
      </c>
      <c r="B121" t="s">
        <v>442</v>
      </c>
      <c r="C121">
        <v>10000</v>
      </c>
      <c r="D121">
        <v>0</v>
      </c>
      <c r="E121">
        <v>500</v>
      </c>
      <c r="F121" s="83">
        <v>44516</v>
      </c>
    </row>
    <row r="122" spans="1:6">
      <c r="A122">
        <v>121</v>
      </c>
      <c r="B122" t="s">
        <v>442</v>
      </c>
      <c r="C122">
        <v>100000</v>
      </c>
      <c r="D122">
        <v>0</v>
      </c>
      <c r="E122" t="s">
        <v>16642</v>
      </c>
      <c r="F122" s="84"/>
    </row>
    <row r="123" spans="1:6">
      <c r="A123">
        <v>122</v>
      </c>
      <c r="B123" t="s">
        <v>442</v>
      </c>
      <c r="C123">
        <v>200000</v>
      </c>
      <c r="D123">
        <v>0</v>
      </c>
      <c r="E123" t="s">
        <v>16642</v>
      </c>
      <c r="F123" s="85"/>
    </row>
    <row r="124" spans="1:6">
      <c r="A124">
        <v>123</v>
      </c>
      <c r="B124" t="s">
        <v>447</v>
      </c>
      <c r="C124">
        <v>100000</v>
      </c>
      <c r="D124">
        <v>0</v>
      </c>
      <c r="E124" t="s">
        <v>16642</v>
      </c>
      <c r="F124" s="86">
        <v>44762</v>
      </c>
    </row>
    <row r="125" spans="1:6">
      <c r="A125">
        <v>124</v>
      </c>
      <c r="B125" t="s">
        <v>452</v>
      </c>
      <c r="C125">
        <v>250</v>
      </c>
      <c r="D125">
        <v>750</v>
      </c>
      <c r="E125">
        <v>50</v>
      </c>
      <c r="F125" s="61">
        <v>44946</v>
      </c>
    </row>
    <row r="126" spans="1:6">
      <c r="A126">
        <v>125</v>
      </c>
      <c r="B126" t="s">
        <v>455</v>
      </c>
      <c r="C126">
        <v>50000</v>
      </c>
      <c r="D126">
        <v>0</v>
      </c>
      <c r="E126">
        <v>2500</v>
      </c>
      <c r="F126" s="77">
        <v>44788</v>
      </c>
    </row>
    <row r="127" spans="1:6">
      <c r="A127">
        <v>126</v>
      </c>
      <c r="B127" t="s">
        <v>458</v>
      </c>
      <c r="C127">
        <v>100000</v>
      </c>
      <c r="D127">
        <v>0</v>
      </c>
      <c r="E127" t="s">
        <v>16642</v>
      </c>
      <c r="F127" s="76">
        <v>44939</v>
      </c>
    </row>
    <row r="128" spans="1:6">
      <c r="A128">
        <v>127</v>
      </c>
      <c r="B128" t="s">
        <v>462</v>
      </c>
      <c r="C128">
        <v>250</v>
      </c>
      <c r="D128">
        <v>750</v>
      </c>
      <c r="E128">
        <v>50</v>
      </c>
      <c r="F128" s="60">
        <v>45262</v>
      </c>
    </row>
    <row r="129" spans="1:6">
      <c r="A129">
        <v>128</v>
      </c>
      <c r="B129" t="s">
        <v>465</v>
      </c>
      <c r="C129">
        <v>250</v>
      </c>
      <c r="D129">
        <v>750</v>
      </c>
      <c r="E129">
        <v>50</v>
      </c>
      <c r="F129" s="60">
        <v>45015</v>
      </c>
    </row>
    <row r="130" spans="1:6">
      <c r="A130">
        <v>129</v>
      </c>
      <c r="B130" t="s">
        <v>469</v>
      </c>
      <c r="C130">
        <v>250</v>
      </c>
      <c r="D130">
        <v>750</v>
      </c>
      <c r="E130">
        <v>50</v>
      </c>
      <c r="F130" s="61">
        <v>45015</v>
      </c>
    </row>
    <row r="131" spans="1:6">
      <c r="A131">
        <v>130</v>
      </c>
      <c r="B131" t="s">
        <v>472</v>
      </c>
      <c r="C131">
        <v>250</v>
      </c>
      <c r="D131">
        <v>750</v>
      </c>
      <c r="E131">
        <v>50</v>
      </c>
      <c r="F131" s="60">
        <v>44959</v>
      </c>
    </row>
    <row r="132" spans="1:6">
      <c r="A132">
        <v>131</v>
      </c>
      <c r="B132" t="s">
        <v>476</v>
      </c>
      <c r="C132">
        <v>250</v>
      </c>
      <c r="D132">
        <v>750</v>
      </c>
      <c r="E132">
        <v>50</v>
      </c>
      <c r="F132" s="70">
        <v>44869</v>
      </c>
    </row>
    <row r="133" spans="1:6">
      <c r="A133">
        <v>132</v>
      </c>
      <c r="B133" t="s">
        <v>480</v>
      </c>
      <c r="C133">
        <v>500</v>
      </c>
      <c r="D133">
        <v>1500</v>
      </c>
      <c r="E133">
        <v>100</v>
      </c>
      <c r="F133" s="61">
        <v>44961</v>
      </c>
    </row>
    <row r="134" spans="1:6">
      <c r="A134">
        <v>133</v>
      </c>
      <c r="B134" t="s">
        <v>484</v>
      </c>
      <c r="C134">
        <v>250</v>
      </c>
      <c r="D134">
        <v>750</v>
      </c>
      <c r="E134">
        <v>50</v>
      </c>
      <c r="F134" s="61">
        <v>45002</v>
      </c>
    </row>
    <row r="135" spans="1:6">
      <c r="A135">
        <v>134</v>
      </c>
      <c r="B135" t="s">
        <v>487</v>
      </c>
      <c r="C135">
        <v>10000</v>
      </c>
      <c r="D135">
        <v>0</v>
      </c>
      <c r="E135">
        <v>500</v>
      </c>
      <c r="F135" s="65">
        <v>44550</v>
      </c>
    </row>
    <row r="136" spans="1:6">
      <c r="A136">
        <v>135</v>
      </c>
      <c r="B136" t="s">
        <v>491</v>
      </c>
      <c r="C136">
        <v>25000</v>
      </c>
      <c r="D136">
        <v>75000</v>
      </c>
      <c r="E136">
        <v>5000</v>
      </c>
      <c r="F136" s="74">
        <v>44936</v>
      </c>
    </row>
    <row r="137" spans="1:6">
      <c r="A137">
        <v>136</v>
      </c>
      <c r="B137" t="s">
        <v>494</v>
      </c>
      <c r="C137">
        <v>250</v>
      </c>
      <c r="D137">
        <v>750</v>
      </c>
      <c r="E137">
        <v>50</v>
      </c>
      <c r="F137" s="87" t="s">
        <v>16646</v>
      </c>
    </row>
    <row r="138" spans="1:6">
      <c r="A138">
        <v>137</v>
      </c>
      <c r="B138" t="s">
        <v>498</v>
      </c>
      <c r="C138">
        <v>1250</v>
      </c>
      <c r="D138">
        <v>3750</v>
      </c>
      <c r="E138">
        <v>250</v>
      </c>
      <c r="F138" s="64" t="s">
        <v>16647</v>
      </c>
    </row>
    <row r="139" spans="1:6">
      <c r="A139">
        <v>138</v>
      </c>
      <c r="B139" t="s">
        <v>504</v>
      </c>
      <c r="C139">
        <v>750</v>
      </c>
      <c r="D139">
        <v>2250</v>
      </c>
      <c r="E139">
        <v>150</v>
      </c>
      <c r="F139" s="65">
        <v>44684</v>
      </c>
    </row>
    <row r="140" spans="1:6">
      <c r="A140">
        <v>139</v>
      </c>
      <c r="B140" t="s">
        <v>508</v>
      </c>
      <c r="C140">
        <v>2000</v>
      </c>
      <c r="D140">
        <v>0</v>
      </c>
      <c r="E140">
        <v>100</v>
      </c>
      <c r="F140" s="64" t="s">
        <v>16648</v>
      </c>
    </row>
    <row r="141" spans="1:6">
      <c r="A141">
        <v>140</v>
      </c>
      <c r="B141" t="s">
        <v>512</v>
      </c>
      <c r="C141">
        <v>1000</v>
      </c>
      <c r="D141">
        <v>0</v>
      </c>
      <c r="E141">
        <v>50</v>
      </c>
      <c r="F141" s="73">
        <v>45093</v>
      </c>
    </row>
    <row r="142" spans="1:6">
      <c r="A142">
        <v>141</v>
      </c>
      <c r="B142" t="s">
        <v>515</v>
      </c>
      <c r="C142">
        <v>2000</v>
      </c>
      <c r="D142">
        <v>0</v>
      </c>
      <c r="E142">
        <v>100</v>
      </c>
      <c r="F142" s="69">
        <v>44941</v>
      </c>
    </row>
    <row r="143" spans="1:6">
      <c r="A143">
        <v>142</v>
      </c>
      <c r="B143" t="s">
        <v>518</v>
      </c>
      <c r="C143">
        <v>250</v>
      </c>
      <c r="D143">
        <v>750</v>
      </c>
      <c r="E143">
        <v>50</v>
      </c>
      <c r="F143" s="60">
        <v>44961</v>
      </c>
    </row>
    <row r="144" spans="1:6">
      <c r="A144">
        <v>143</v>
      </c>
      <c r="B144" t="s">
        <v>522</v>
      </c>
      <c r="C144">
        <v>4000</v>
      </c>
      <c r="D144">
        <v>0</v>
      </c>
      <c r="E144">
        <v>200</v>
      </c>
      <c r="F144" s="64" t="s">
        <v>16649</v>
      </c>
    </row>
    <row r="145" spans="1:6">
      <c r="A145">
        <v>144</v>
      </c>
      <c r="B145" t="s">
        <v>526</v>
      </c>
      <c r="C145">
        <v>4000</v>
      </c>
      <c r="D145">
        <v>0</v>
      </c>
      <c r="E145">
        <v>200</v>
      </c>
      <c r="F145" s="64" t="s">
        <v>16649</v>
      </c>
    </row>
    <row r="146" spans="1:6">
      <c r="A146">
        <v>145</v>
      </c>
      <c r="B146" t="s">
        <v>530</v>
      </c>
      <c r="C146">
        <v>250</v>
      </c>
      <c r="D146">
        <v>750</v>
      </c>
      <c r="E146">
        <v>50</v>
      </c>
      <c r="F146" s="60">
        <v>44918</v>
      </c>
    </row>
    <row r="147" ht="15" spans="1:6">
      <c r="A147">
        <v>146</v>
      </c>
      <c r="B147" t="s">
        <v>533</v>
      </c>
      <c r="C147">
        <v>1000000</v>
      </c>
      <c r="D147">
        <v>500000</v>
      </c>
      <c r="E147" t="s">
        <v>16642</v>
      </c>
      <c r="F147" s="81">
        <f>IFERROR(__xludf.DUMMYFUNCTION("""COMPUTED_VALUE"""),45078)</f>
        <v>45078</v>
      </c>
    </row>
    <row r="148" spans="1:6">
      <c r="A148">
        <v>147</v>
      </c>
      <c r="B148" t="s">
        <v>534</v>
      </c>
      <c r="C148">
        <v>250</v>
      </c>
      <c r="D148">
        <v>750</v>
      </c>
      <c r="E148">
        <v>50</v>
      </c>
      <c r="F148" s="60">
        <v>44859</v>
      </c>
    </row>
    <row r="149" spans="1:6">
      <c r="A149">
        <v>148</v>
      </c>
      <c r="B149" t="s">
        <v>538</v>
      </c>
      <c r="C149">
        <v>3000</v>
      </c>
      <c r="D149">
        <v>0</v>
      </c>
      <c r="E149">
        <v>150</v>
      </c>
      <c r="F149" s="74">
        <v>44972</v>
      </c>
    </row>
    <row r="150" ht="15" spans="1:6">
      <c r="A150">
        <v>149</v>
      </c>
      <c r="B150" t="s">
        <v>541</v>
      </c>
      <c r="C150">
        <v>1000000</v>
      </c>
      <c r="D150">
        <v>500000</v>
      </c>
      <c r="E150" t="s">
        <v>16642</v>
      </c>
      <c r="F150" s="88">
        <f>IFERROR(__xludf.DUMMYFUNCTION("""COMPUTED_VALUE"""),45079)</f>
        <v>45079</v>
      </c>
    </row>
    <row r="151" spans="1:6">
      <c r="A151">
        <v>150</v>
      </c>
      <c r="B151" t="s">
        <v>542</v>
      </c>
      <c r="C151">
        <v>100000</v>
      </c>
      <c r="D151">
        <v>0</v>
      </c>
      <c r="E151" t="s">
        <v>16642</v>
      </c>
      <c r="F151" s="76">
        <v>44919</v>
      </c>
    </row>
    <row r="152" spans="1:6">
      <c r="A152">
        <v>151</v>
      </c>
      <c r="B152" t="s">
        <v>546</v>
      </c>
      <c r="C152">
        <v>250</v>
      </c>
      <c r="D152">
        <v>750</v>
      </c>
      <c r="E152">
        <v>50</v>
      </c>
      <c r="F152" s="61">
        <v>45055</v>
      </c>
    </row>
    <row r="153" spans="1:6">
      <c r="A153">
        <v>152</v>
      </c>
      <c r="B153" t="s">
        <v>549</v>
      </c>
      <c r="C153">
        <v>500</v>
      </c>
      <c r="D153">
        <v>1500</v>
      </c>
      <c r="E153">
        <v>100</v>
      </c>
      <c r="F153" s="61">
        <v>44935</v>
      </c>
    </row>
    <row r="154" spans="1:6">
      <c r="A154">
        <v>153</v>
      </c>
      <c r="B154" t="s">
        <v>553</v>
      </c>
      <c r="C154">
        <v>250</v>
      </c>
      <c r="D154">
        <v>750</v>
      </c>
      <c r="E154">
        <v>50</v>
      </c>
      <c r="F154" s="60">
        <v>45057</v>
      </c>
    </row>
    <row r="155" spans="1:6">
      <c r="A155">
        <v>154</v>
      </c>
      <c r="B155" t="s">
        <v>557</v>
      </c>
      <c r="C155">
        <v>1000</v>
      </c>
      <c r="D155">
        <v>0</v>
      </c>
      <c r="E155">
        <v>50</v>
      </c>
      <c r="F155" s="73">
        <v>44970</v>
      </c>
    </row>
    <row r="156" spans="1:6">
      <c r="A156">
        <v>155</v>
      </c>
      <c r="B156" t="s">
        <v>562</v>
      </c>
      <c r="C156">
        <v>250</v>
      </c>
      <c r="D156">
        <v>750</v>
      </c>
      <c r="E156">
        <v>50</v>
      </c>
      <c r="F156" s="60">
        <v>44938</v>
      </c>
    </row>
    <row r="157" spans="1:6">
      <c r="A157">
        <v>156</v>
      </c>
      <c r="B157" t="s">
        <v>566</v>
      </c>
      <c r="C157">
        <v>250</v>
      </c>
      <c r="D157">
        <v>750</v>
      </c>
      <c r="E157">
        <v>50</v>
      </c>
      <c r="F157" s="72">
        <v>44918</v>
      </c>
    </row>
    <row r="158" spans="1:6">
      <c r="A158">
        <v>157</v>
      </c>
      <c r="B158" t="s">
        <v>569</v>
      </c>
      <c r="C158">
        <v>250</v>
      </c>
      <c r="D158">
        <v>750</v>
      </c>
      <c r="E158">
        <v>50</v>
      </c>
      <c r="F158" s="61">
        <v>44938</v>
      </c>
    </row>
    <row r="159" ht="15" spans="1:6">
      <c r="A159">
        <v>158</v>
      </c>
      <c r="B159" t="s">
        <v>573</v>
      </c>
      <c r="C159">
        <v>1000000</v>
      </c>
      <c r="D159">
        <v>500000</v>
      </c>
      <c r="E159" t="s">
        <v>16642</v>
      </c>
      <c r="F159" s="88">
        <f>IFERROR(__xludf.DUMMYFUNCTION("""COMPUTED_VALUE"""),45084)</f>
        <v>45084</v>
      </c>
    </row>
    <row r="160" spans="1:6">
      <c r="A160">
        <v>159</v>
      </c>
      <c r="B160" t="s">
        <v>574</v>
      </c>
      <c r="C160">
        <v>250</v>
      </c>
      <c r="D160">
        <v>750</v>
      </c>
      <c r="E160">
        <v>50</v>
      </c>
      <c r="F160" s="61">
        <v>45015</v>
      </c>
    </row>
    <row r="161" spans="1:6">
      <c r="A161">
        <v>160</v>
      </c>
      <c r="B161" t="s">
        <v>578</v>
      </c>
      <c r="C161">
        <v>100000</v>
      </c>
      <c r="D161">
        <v>0</v>
      </c>
      <c r="E161">
        <v>5000</v>
      </c>
      <c r="F161" s="77">
        <v>44653</v>
      </c>
    </row>
    <row r="162" spans="1:6">
      <c r="A162">
        <v>161</v>
      </c>
      <c r="B162" t="s">
        <v>581</v>
      </c>
      <c r="C162">
        <v>10000</v>
      </c>
      <c r="D162">
        <v>30000</v>
      </c>
      <c r="E162">
        <v>2000</v>
      </c>
      <c r="F162" s="77">
        <v>44890</v>
      </c>
    </row>
    <row r="163" spans="1:6">
      <c r="A163">
        <v>162</v>
      </c>
      <c r="B163" t="s">
        <v>584</v>
      </c>
      <c r="C163">
        <v>250</v>
      </c>
      <c r="D163">
        <v>750</v>
      </c>
      <c r="E163">
        <v>50</v>
      </c>
      <c r="F163" s="61">
        <v>44904</v>
      </c>
    </row>
    <row r="164" spans="1:6">
      <c r="A164">
        <v>163</v>
      </c>
      <c r="B164" t="s">
        <v>588</v>
      </c>
      <c r="C164">
        <v>100000</v>
      </c>
      <c r="D164">
        <v>0</v>
      </c>
      <c r="E164" t="s">
        <v>16642</v>
      </c>
      <c r="F164" s="89"/>
    </row>
    <row r="165" spans="1:6">
      <c r="A165">
        <v>164</v>
      </c>
      <c r="B165" t="s">
        <v>588</v>
      </c>
      <c r="C165">
        <v>100000</v>
      </c>
      <c r="D165">
        <v>0</v>
      </c>
      <c r="E165" t="s">
        <v>16642</v>
      </c>
      <c r="F165" s="85"/>
    </row>
    <row r="166" spans="1:6">
      <c r="A166">
        <v>165</v>
      </c>
      <c r="B166" t="s">
        <v>593</v>
      </c>
      <c r="C166">
        <v>1000000</v>
      </c>
      <c r="D166">
        <v>500000</v>
      </c>
      <c r="E166" t="s">
        <v>16642</v>
      </c>
      <c r="F166" s="90">
        <f>IFERROR(__xludf.DUMMYFUNCTION("""COMPUTED_VALUE"""),45080)</f>
        <v>45080</v>
      </c>
    </row>
    <row r="167" spans="1:6">
      <c r="A167">
        <v>166</v>
      </c>
      <c r="B167" t="s">
        <v>593</v>
      </c>
      <c r="C167">
        <v>25000</v>
      </c>
      <c r="D167">
        <v>75000</v>
      </c>
      <c r="E167">
        <v>5000</v>
      </c>
      <c r="F167" s="91" t="s">
        <v>16650</v>
      </c>
    </row>
    <row r="168" spans="1:6">
      <c r="A168">
        <v>167</v>
      </c>
      <c r="B168" t="s">
        <v>593</v>
      </c>
      <c r="C168">
        <v>100000</v>
      </c>
      <c r="D168">
        <v>0</v>
      </c>
      <c r="E168" t="s">
        <v>16642</v>
      </c>
      <c r="F168" s="89"/>
    </row>
    <row r="169" spans="1:6">
      <c r="A169">
        <v>168</v>
      </c>
      <c r="B169" t="s">
        <v>594</v>
      </c>
      <c r="C169">
        <v>2500</v>
      </c>
      <c r="D169">
        <v>7500</v>
      </c>
      <c r="E169">
        <v>500</v>
      </c>
      <c r="F169" s="61">
        <v>44868</v>
      </c>
    </row>
    <row r="170" spans="1:6">
      <c r="A170">
        <v>169</v>
      </c>
      <c r="B170" t="s">
        <v>598</v>
      </c>
      <c r="C170">
        <v>12500</v>
      </c>
      <c r="D170">
        <v>37500</v>
      </c>
      <c r="E170">
        <v>2500</v>
      </c>
      <c r="F170" s="60">
        <v>44868</v>
      </c>
    </row>
    <row r="171" spans="1:6">
      <c r="A171">
        <v>170</v>
      </c>
      <c r="B171" t="s">
        <v>601</v>
      </c>
      <c r="C171">
        <v>50000</v>
      </c>
      <c r="D171">
        <v>150000</v>
      </c>
      <c r="E171">
        <v>10000</v>
      </c>
      <c r="F171" s="64" t="s">
        <v>16651</v>
      </c>
    </row>
    <row r="172" spans="1:6">
      <c r="A172">
        <v>171</v>
      </c>
      <c r="B172" t="s">
        <v>607</v>
      </c>
      <c r="C172">
        <v>75000</v>
      </c>
      <c r="D172">
        <v>0</v>
      </c>
      <c r="E172">
        <v>3750</v>
      </c>
      <c r="F172" s="77">
        <v>44891</v>
      </c>
    </row>
    <row r="173" spans="1:6">
      <c r="A173">
        <v>172</v>
      </c>
      <c r="B173" t="s">
        <v>610</v>
      </c>
      <c r="C173">
        <v>250</v>
      </c>
      <c r="D173">
        <v>750</v>
      </c>
      <c r="E173">
        <v>50</v>
      </c>
      <c r="F173" s="60">
        <v>44925</v>
      </c>
    </row>
    <row r="174" spans="1:6">
      <c r="A174">
        <v>173</v>
      </c>
      <c r="B174" t="s">
        <v>614</v>
      </c>
      <c r="C174">
        <v>250</v>
      </c>
      <c r="D174">
        <v>750</v>
      </c>
      <c r="E174">
        <v>50</v>
      </c>
      <c r="F174" s="61">
        <v>44905</v>
      </c>
    </row>
    <row r="175" spans="1:6">
      <c r="A175">
        <v>174</v>
      </c>
      <c r="B175" t="s">
        <v>618</v>
      </c>
      <c r="C175">
        <v>250</v>
      </c>
      <c r="D175">
        <v>750</v>
      </c>
      <c r="E175">
        <v>50</v>
      </c>
      <c r="F175" s="70">
        <v>44876</v>
      </c>
    </row>
    <row r="176" spans="1:6">
      <c r="A176">
        <v>175</v>
      </c>
      <c r="B176" t="s">
        <v>621</v>
      </c>
      <c r="C176">
        <v>250</v>
      </c>
      <c r="D176">
        <v>750</v>
      </c>
      <c r="E176">
        <v>50</v>
      </c>
      <c r="F176" s="60">
        <v>44905</v>
      </c>
    </row>
    <row r="177" spans="1:6">
      <c r="A177">
        <v>176</v>
      </c>
      <c r="B177" t="s">
        <v>625</v>
      </c>
      <c r="C177">
        <v>10000</v>
      </c>
      <c r="D177">
        <v>0</v>
      </c>
      <c r="E177">
        <v>500</v>
      </c>
      <c r="F177" s="77">
        <v>44869</v>
      </c>
    </row>
    <row r="178" spans="1:6">
      <c r="A178">
        <v>177</v>
      </c>
      <c r="B178" t="s">
        <v>628</v>
      </c>
      <c r="C178">
        <v>10000</v>
      </c>
      <c r="D178">
        <v>0</v>
      </c>
      <c r="E178">
        <v>500</v>
      </c>
      <c r="F178" s="64" t="s">
        <v>16652</v>
      </c>
    </row>
    <row r="179" spans="1:6">
      <c r="A179">
        <v>178</v>
      </c>
      <c r="B179" t="s">
        <v>634</v>
      </c>
      <c r="C179">
        <v>0</v>
      </c>
      <c r="D179">
        <v>4000</v>
      </c>
      <c r="E179">
        <v>200</v>
      </c>
      <c r="F179" s="69">
        <v>45089</v>
      </c>
    </row>
    <row r="180" spans="1:6">
      <c r="A180">
        <v>179</v>
      </c>
      <c r="B180" t="s">
        <v>637</v>
      </c>
      <c r="C180">
        <v>250</v>
      </c>
      <c r="D180">
        <v>750</v>
      </c>
      <c r="E180">
        <v>50</v>
      </c>
      <c r="F180" s="70">
        <v>44900</v>
      </c>
    </row>
    <row r="181" spans="1:6">
      <c r="A181">
        <v>180</v>
      </c>
      <c r="B181" t="s">
        <v>640</v>
      </c>
      <c r="C181">
        <v>20000</v>
      </c>
      <c r="D181">
        <v>0</v>
      </c>
      <c r="E181">
        <v>1000</v>
      </c>
      <c r="F181" s="67">
        <v>44723</v>
      </c>
    </row>
    <row r="182" spans="1:6">
      <c r="A182">
        <v>181</v>
      </c>
      <c r="B182" t="s">
        <v>643</v>
      </c>
      <c r="C182">
        <v>1000</v>
      </c>
      <c r="D182">
        <v>0</v>
      </c>
      <c r="E182">
        <v>50</v>
      </c>
      <c r="F182" s="74">
        <v>45068</v>
      </c>
    </row>
    <row r="183" spans="1:6">
      <c r="A183">
        <v>182</v>
      </c>
      <c r="B183" t="s">
        <v>646</v>
      </c>
      <c r="C183">
        <v>250</v>
      </c>
      <c r="D183">
        <v>750</v>
      </c>
      <c r="E183">
        <v>50</v>
      </c>
      <c r="F183" s="70">
        <v>44883</v>
      </c>
    </row>
    <row r="184" spans="1:6">
      <c r="A184">
        <v>183</v>
      </c>
      <c r="B184" t="s">
        <v>649</v>
      </c>
      <c r="C184">
        <v>5000</v>
      </c>
      <c r="D184">
        <v>0</v>
      </c>
      <c r="E184">
        <v>250</v>
      </c>
      <c r="F184" s="77">
        <v>44910</v>
      </c>
    </row>
    <row r="185" spans="1:6">
      <c r="A185">
        <v>184</v>
      </c>
      <c r="B185" t="s">
        <v>652</v>
      </c>
      <c r="C185">
        <v>250</v>
      </c>
      <c r="D185">
        <v>750</v>
      </c>
      <c r="E185">
        <v>50</v>
      </c>
      <c r="F185" s="70">
        <v>44919</v>
      </c>
    </row>
    <row r="186" spans="1:6">
      <c r="A186">
        <v>185</v>
      </c>
      <c r="B186" t="s">
        <v>655</v>
      </c>
      <c r="C186">
        <v>10000</v>
      </c>
      <c r="D186">
        <v>0</v>
      </c>
      <c r="E186">
        <v>500</v>
      </c>
      <c r="F186" s="64" t="s">
        <v>16653</v>
      </c>
    </row>
    <row r="187" spans="1:6">
      <c r="A187">
        <v>186</v>
      </c>
      <c r="B187" t="s">
        <v>659</v>
      </c>
      <c r="C187">
        <v>1500</v>
      </c>
      <c r="D187">
        <v>3500</v>
      </c>
      <c r="E187">
        <v>250</v>
      </c>
      <c r="F187" s="77">
        <v>44826</v>
      </c>
    </row>
    <row r="188" spans="1:6">
      <c r="A188">
        <v>187</v>
      </c>
      <c r="B188" t="s">
        <v>662</v>
      </c>
      <c r="C188">
        <v>250</v>
      </c>
      <c r="D188">
        <v>750</v>
      </c>
      <c r="E188">
        <v>50</v>
      </c>
      <c r="F188" s="60">
        <v>44904</v>
      </c>
    </row>
    <row r="189" spans="1:6">
      <c r="A189">
        <v>188</v>
      </c>
      <c r="B189" t="s">
        <v>665</v>
      </c>
      <c r="C189">
        <v>100000</v>
      </c>
      <c r="D189">
        <v>0</v>
      </c>
      <c r="E189" t="s">
        <v>16642</v>
      </c>
      <c r="F189" s="89"/>
    </row>
    <row r="190" spans="1:6">
      <c r="A190">
        <v>189</v>
      </c>
      <c r="B190" t="s">
        <v>665</v>
      </c>
      <c r="C190">
        <v>2000</v>
      </c>
      <c r="D190">
        <v>0</v>
      </c>
      <c r="E190">
        <v>100</v>
      </c>
      <c r="F190" s="91" t="s">
        <v>16654</v>
      </c>
    </row>
    <row r="191" spans="1:6">
      <c r="A191">
        <v>190</v>
      </c>
      <c r="B191" t="s">
        <v>669</v>
      </c>
      <c r="C191">
        <v>20000</v>
      </c>
      <c r="D191">
        <v>0</v>
      </c>
      <c r="E191">
        <v>1000</v>
      </c>
      <c r="F191" s="65">
        <v>44684</v>
      </c>
    </row>
    <row r="192" ht="15" spans="1:6">
      <c r="A192">
        <v>191</v>
      </c>
      <c r="B192" t="s">
        <v>673</v>
      </c>
      <c r="C192">
        <v>1500000</v>
      </c>
      <c r="D192">
        <v>0</v>
      </c>
      <c r="E192" t="s">
        <v>16642</v>
      </c>
      <c r="F192" s="81">
        <f>IFERROR(__xludf.DUMMYFUNCTION("""COMPUTED_VALUE"""),45082)</f>
        <v>45082</v>
      </c>
    </row>
    <row r="193" spans="1:6">
      <c r="A193">
        <v>192</v>
      </c>
      <c r="B193" t="s">
        <v>674</v>
      </c>
      <c r="C193">
        <v>750</v>
      </c>
      <c r="D193">
        <v>2250</v>
      </c>
      <c r="E193">
        <v>150</v>
      </c>
      <c r="F193" s="75">
        <v>44890</v>
      </c>
    </row>
    <row r="194" spans="1:6">
      <c r="A194">
        <v>193</v>
      </c>
      <c r="B194" t="s">
        <v>679</v>
      </c>
      <c r="C194">
        <v>100000</v>
      </c>
      <c r="D194">
        <v>0</v>
      </c>
      <c r="E194" t="s">
        <v>16642</v>
      </c>
      <c r="F194" s="89"/>
    </row>
    <row r="195" spans="1:6">
      <c r="A195">
        <v>194</v>
      </c>
      <c r="B195" t="s">
        <v>679</v>
      </c>
      <c r="C195">
        <v>20000</v>
      </c>
      <c r="D195">
        <v>0</v>
      </c>
      <c r="E195">
        <v>1000</v>
      </c>
      <c r="F195" s="91" t="s">
        <v>16655</v>
      </c>
    </row>
    <row r="196" spans="1:6">
      <c r="A196">
        <v>195</v>
      </c>
      <c r="B196" t="s">
        <v>684</v>
      </c>
      <c r="C196">
        <v>10000</v>
      </c>
      <c r="D196">
        <v>0</v>
      </c>
      <c r="E196">
        <v>500</v>
      </c>
      <c r="F196" s="77">
        <v>44894</v>
      </c>
    </row>
    <row r="197" ht="15" spans="1:6">
      <c r="A197">
        <v>196</v>
      </c>
      <c r="B197" t="s">
        <v>687</v>
      </c>
      <c r="C197">
        <v>3000000</v>
      </c>
      <c r="D197">
        <v>500000</v>
      </c>
      <c r="E197" t="s">
        <v>16642</v>
      </c>
      <c r="F197" s="92">
        <v>45143</v>
      </c>
    </row>
    <row r="198" ht="15" spans="1:6">
      <c r="A198">
        <v>197</v>
      </c>
      <c r="B198" t="s">
        <v>692</v>
      </c>
      <c r="C198">
        <v>1500000</v>
      </c>
      <c r="D198">
        <v>0</v>
      </c>
      <c r="E198" t="s">
        <v>16642</v>
      </c>
      <c r="F198" s="81">
        <f>IFERROR(__xludf.DUMMYFUNCTION("""COMPUTED_VALUE"""),45082)</f>
        <v>45082</v>
      </c>
    </row>
    <row r="199" spans="1:6">
      <c r="A199">
        <v>198</v>
      </c>
      <c r="B199" t="s">
        <v>693</v>
      </c>
      <c r="C199">
        <v>1000</v>
      </c>
      <c r="D199">
        <v>0</v>
      </c>
      <c r="E199">
        <v>50</v>
      </c>
      <c r="F199" s="73">
        <v>44943</v>
      </c>
    </row>
    <row r="200" ht="15" spans="1:6">
      <c r="A200">
        <v>199</v>
      </c>
      <c r="B200" t="s">
        <v>697</v>
      </c>
      <c r="C200">
        <v>5000</v>
      </c>
      <c r="D200">
        <v>0</v>
      </c>
      <c r="E200" t="s">
        <v>16642</v>
      </c>
      <c r="F200" s="93">
        <v>44961</v>
      </c>
    </row>
    <row r="201" spans="1:6">
      <c r="A201">
        <v>200</v>
      </c>
      <c r="B201" t="s">
        <v>702</v>
      </c>
      <c r="C201">
        <v>250</v>
      </c>
      <c r="D201">
        <v>750</v>
      </c>
      <c r="E201">
        <v>50</v>
      </c>
      <c r="F201" s="75">
        <v>44875</v>
      </c>
    </row>
    <row r="202" spans="1:6">
      <c r="A202">
        <v>201</v>
      </c>
      <c r="B202" t="s">
        <v>707</v>
      </c>
      <c r="C202">
        <v>100000</v>
      </c>
      <c r="D202">
        <v>0</v>
      </c>
      <c r="E202" t="s">
        <v>16642</v>
      </c>
      <c r="F202" s="66"/>
    </row>
    <row r="203" spans="1:6">
      <c r="A203">
        <v>202</v>
      </c>
      <c r="B203" t="s">
        <v>712</v>
      </c>
      <c r="C203">
        <v>250</v>
      </c>
      <c r="D203">
        <v>750</v>
      </c>
      <c r="E203">
        <v>50</v>
      </c>
      <c r="F203" s="60">
        <v>45055</v>
      </c>
    </row>
    <row r="204" spans="1:6">
      <c r="A204">
        <v>203</v>
      </c>
      <c r="B204" t="s">
        <v>716</v>
      </c>
      <c r="C204">
        <v>10000</v>
      </c>
      <c r="D204">
        <v>0</v>
      </c>
      <c r="E204">
        <v>500</v>
      </c>
      <c r="F204" s="64" t="s">
        <v>16656</v>
      </c>
    </row>
    <row r="205" spans="1:6">
      <c r="A205">
        <v>204</v>
      </c>
      <c r="B205" t="s">
        <v>720</v>
      </c>
      <c r="C205">
        <v>100000</v>
      </c>
      <c r="D205">
        <v>0</v>
      </c>
      <c r="E205" t="s">
        <v>16642</v>
      </c>
      <c r="F205" s="76">
        <v>44845</v>
      </c>
    </row>
    <row r="206" spans="1:6">
      <c r="A206">
        <v>205</v>
      </c>
      <c r="B206" t="s">
        <v>724</v>
      </c>
      <c r="C206">
        <v>1000</v>
      </c>
      <c r="D206">
        <v>0</v>
      </c>
      <c r="E206">
        <v>50</v>
      </c>
      <c r="F206" s="73">
        <v>44943</v>
      </c>
    </row>
    <row r="207" spans="1:6">
      <c r="A207">
        <v>206</v>
      </c>
      <c r="B207" t="s">
        <v>728</v>
      </c>
      <c r="C207">
        <v>25000</v>
      </c>
      <c r="D207">
        <v>0</v>
      </c>
      <c r="E207">
        <v>500</v>
      </c>
      <c r="F207" s="65">
        <v>44550</v>
      </c>
    </row>
    <row r="208" spans="1:6">
      <c r="A208">
        <v>207</v>
      </c>
      <c r="B208" t="s">
        <v>732</v>
      </c>
      <c r="C208">
        <v>25000</v>
      </c>
      <c r="D208">
        <v>0</v>
      </c>
      <c r="E208">
        <v>500</v>
      </c>
      <c r="F208" s="65">
        <v>44550</v>
      </c>
    </row>
    <row r="209" spans="1:6">
      <c r="A209">
        <v>208</v>
      </c>
      <c r="B209" t="s">
        <v>736</v>
      </c>
      <c r="C209">
        <v>250</v>
      </c>
      <c r="D209">
        <v>750</v>
      </c>
      <c r="E209">
        <v>50</v>
      </c>
      <c r="F209" s="72">
        <v>44894</v>
      </c>
    </row>
    <row r="210" spans="1:6">
      <c r="A210">
        <v>209</v>
      </c>
      <c r="B210" t="s">
        <v>739</v>
      </c>
      <c r="C210">
        <v>3000</v>
      </c>
      <c r="D210">
        <v>0</v>
      </c>
      <c r="E210">
        <v>150</v>
      </c>
      <c r="F210" s="64" t="s">
        <v>16657</v>
      </c>
    </row>
    <row r="211" spans="1:6">
      <c r="A211">
        <v>210</v>
      </c>
      <c r="B211" t="s">
        <v>743</v>
      </c>
      <c r="C211">
        <v>12500</v>
      </c>
      <c r="D211">
        <v>37500</v>
      </c>
      <c r="E211">
        <v>2500</v>
      </c>
      <c r="F211" s="60">
        <v>44868</v>
      </c>
    </row>
    <row r="212" spans="1:6">
      <c r="A212">
        <v>211</v>
      </c>
      <c r="B212" t="s">
        <v>747</v>
      </c>
      <c r="C212">
        <v>500</v>
      </c>
      <c r="D212">
        <v>500</v>
      </c>
      <c r="E212">
        <v>50</v>
      </c>
      <c r="F212" s="61">
        <v>44925</v>
      </c>
    </row>
    <row r="213" spans="1:6">
      <c r="A213">
        <v>212</v>
      </c>
      <c r="B213" t="s">
        <v>751</v>
      </c>
      <c r="C213">
        <v>100000</v>
      </c>
      <c r="D213">
        <v>0</v>
      </c>
      <c r="E213" t="s">
        <v>16642</v>
      </c>
      <c r="F213" s="76">
        <v>44894</v>
      </c>
    </row>
    <row r="214" ht="47.25" spans="1:6">
      <c r="A214">
        <v>213</v>
      </c>
      <c r="B214" t="s">
        <v>756</v>
      </c>
      <c r="C214">
        <v>700000</v>
      </c>
      <c r="D214">
        <v>0</v>
      </c>
      <c r="E214" t="s">
        <v>16642</v>
      </c>
      <c r="F214" s="94" t="s">
        <v>16658</v>
      </c>
    </row>
    <row r="215" spans="1:6">
      <c r="A215">
        <v>214</v>
      </c>
      <c r="B215" t="s">
        <v>756</v>
      </c>
      <c r="C215">
        <v>300000</v>
      </c>
      <c r="D215">
        <v>0</v>
      </c>
      <c r="E215" t="s">
        <v>16642</v>
      </c>
      <c r="F215" s="85"/>
    </row>
    <row r="216" spans="1:6">
      <c r="A216">
        <v>215</v>
      </c>
      <c r="B216" t="s">
        <v>761</v>
      </c>
      <c r="C216">
        <v>1000000</v>
      </c>
      <c r="D216">
        <v>0</v>
      </c>
      <c r="E216" t="s">
        <v>16642</v>
      </c>
      <c r="F216" s="66"/>
    </row>
    <row r="217" spans="1:6">
      <c r="A217">
        <v>216</v>
      </c>
      <c r="B217" t="s">
        <v>766</v>
      </c>
      <c r="C217">
        <v>250</v>
      </c>
      <c r="D217">
        <v>750</v>
      </c>
      <c r="E217">
        <v>50</v>
      </c>
      <c r="F217" s="60">
        <v>44938</v>
      </c>
    </row>
    <row r="218" spans="1:6">
      <c r="A218">
        <v>217</v>
      </c>
      <c r="B218" t="s">
        <v>770</v>
      </c>
      <c r="C218">
        <v>2500</v>
      </c>
      <c r="D218">
        <v>500</v>
      </c>
      <c r="E218">
        <v>150</v>
      </c>
      <c r="F218" s="65">
        <v>44636</v>
      </c>
    </row>
    <row r="219" spans="1:6">
      <c r="A219">
        <v>218</v>
      </c>
      <c r="B219" t="s">
        <v>774</v>
      </c>
      <c r="C219">
        <v>250</v>
      </c>
      <c r="D219">
        <v>750</v>
      </c>
      <c r="E219">
        <v>50</v>
      </c>
      <c r="F219" s="70">
        <v>44926</v>
      </c>
    </row>
    <row r="220" spans="1:6">
      <c r="A220">
        <v>219</v>
      </c>
      <c r="B220" t="s">
        <v>777</v>
      </c>
      <c r="C220">
        <v>250</v>
      </c>
      <c r="D220">
        <v>750</v>
      </c>
      <c r="E220">
        <v>50</v>
      </c>
      <c r="F220" s="60">
        <v>44918</v>
      </c>
    </row>
    <row r="221" spans="1:6">
      <c r="A221">
        <v>220</v>
      </c>
      <c r="B221" t="s">
        <v>780</v>
      </c>
      <c r="C221">
        <v>1000</v>
      </c>
      <c r="D221">
        <v>0</v>
      </c>
      <c r="E221">
        <v>50</v>
      </c>
      <c r="F221" s="95">
        <v>44789</v>
      </c>
    </row>
    <row r="222" spans="1:6">
      <c r="A222">
        <v>221</v>
      </c>
      <c r="B222" t="s">
        <v>783</v>
      </c>
      <c r="C222">
        <v>1000</v>
      </c>
      <c r="D222">
        <v>0</v>
      </c>
      <c r="E222">
        <v>50</v>
      </c>
      <c r="F222" s="77">
        <v>44789</v>
      </c>
    </row>
    <row r="223" ht="31.5" spans="1:6">
      <c r="A223">
        <v>222</v>
      </c>
      <c r="B223" t="s">
        <v>786</v>
      </c>
      <c r="C223">
        <v>1000</v>
      </c>
      <c r="D223">
        <v>0</v>
      </c>
      <c r="E223">
        <v>50</v>
      </c>
      <c r="F223" s="77" t="s">
        <v>16659</v>
      </c>
    </row>
    <row r="224" spans="1:6">
      <c r="A224">
        <v>223</v>
      </c>
      <c r="B224" t="s">
        <v>789</v>
      </c>
      <c r="C224">
        <v>250</v>
      </c>
      <c r="D224">
        <v>750</v>
      </c>
      <c r="E224">
        <v>50</v>
      </c>
      <c r="F224" s="60">
        <v>44896</v>
      </c>
    </row>
    <row r="225" spans="1:6">
      <c r="A225">
        <v>224</v>
      </c>
      <c r="B225" t="s">
        <v>793</v>
      </c>
      <c r="C225">
        <v>250</v>
      </c>
      <c r="D225">
        <v>750</v>
      </c>
      <c r="E225">
        <v>50</v>
      </c>
      <c r="F225" s="60">
        <v>44855</v>
      </c>
    </row>
    <row r="226" spans="1:6">
      <c r="A226">
        <v>225</v>
      </c>
      <c r="B226" t="s">
        <v>796</v>
      </c>
      <c r="C226">
        <v>10000</v>
      </c>
      <c r="D226">
        <v>0</v>
      </c>
      <c r="E226">
        <v>500</v>
      </c>
      <c r="F226" s="77">
        <v>44837</v>
      </c>
    </row>
    <row r="227" spans="1:6">
      <c r="A227">
        <v>226</v>
      </c>
      <c r="B227" t="s">
        <v>799</v>
      </c>
      <c r="C227">
        <v>250</v>
      </c>
      <c r="D227">
        <v>750</v>
      </c>
      <c r="E227">
        <v>50</v>
      </c>
      <c r="F227" s="70">
        <v>44870</v>
      </c>
    </row>
    <row r="228" spans="1:6">
      <c r="A228">
        <v>227</v>
      </c>
      <c r="B228" t="s">
        <v>802</v>
      </c>
      <c r="C228">
        <v>1000</v>
      </c>
      <c r="D228">
        <v>0</v>
      </c>
      <c r="E228">
        <v>50</v>
      </c>
      <c r="F228" s="95">
        <v>44914</v>
      </c>
    </row>
    <row r="229" spans="1:6">
      <c r="A229">
        <v>228</v>
      </c>
      <c r="B229" t="s">
        <v>805</v>
      </c>
      <c r="C229">
        <v>30000</v>
      </c>
      <c r="D229">
        <v>0</v>
      </c>
      <c r="E229">
        <v>1500</v>
      </c>
      <c r="F229" s="77">
        <v>44806</v>
      </c>
    </row>
    <row r="230" spans="1:6">
      <c r="A230">
        <v>229</v>
      </c>
      <c r="B230" t="s">
        <v>808</v>
      </c>
      <c r="C230">
        <v>100000</v>
      </c>
      <c r="D230">
        <v>0</v>
      </c>
      <c r="E230" t="s">
        <v>16642</v>
      </c>
      <c r="F230" s="76">
        <v>44936</v>
      </c>
    </row>
    <row r="231" spans="1:6">
      <c r="A231">
        <v>230</v>
      </c>
      <c r="B231" t="s">
        <v>812</v>
      </c>
      <c r="C231">
        <v>250</v>
      </c>
      <c r="D231">
        <v>750</v>
      </c>
      <c r="E231">
        <v>50</v>
      </c>
      <c r="F231" s="72">
        <v>44883</v>
      </c>
    </row>
    <row r="232" spans="1:6">
      <c r="A232">
        <v>231</v>
      </c>
      <c r="B232" t="s">
        <v>815</v>
      </c>
      <c r="C232">
        <v>250</v>
      </c>
      <c r="D232">
        <v>750</v>
      </c>
      <c r="E232">
        <v>50</v>
      </c>
      <c r="F232" s="72">
        <v>44872</v>
      </c>
    </row>
    <row r="233" spans="1:6">
      <c r="A233">
        <v>232</v>
      </c>
      <c r="B233" t="s">
        <v>818</v>
      </c>
      <c r="C233">
        <v>10000</v>
      </c>
      <c r="D233">
        <v>0</v>
      </c>
      <c r="E233">
        <v>500</v>
      </c>
      <c r="F233" s="77">
        <v>44828</v>
      </c>
    </row>
    <row r="234" spans="1:6">
      <c r="A234">
        <v>233</v>
      </c>
      <c r="B234" t="s">
        <v>821</v>
      </c>
      <c r="C234">
        <v>10000</v>
      </c>
      <c r="D234">
        <v>0</v>
      </c>
      <c r="E234">
        <v>500</v>
      </c>
      <c r="F234" s="77">
        <v>44921</v>
      </c>
    </row>
    <row r="235" spans="1:6">
      <c r="A235">
        <v>234</v>
      </c>
      <c r="B235" t="s">
        <v>824</v>
      </c>
      <c r="C235">
        <v>2500</v>
      </c>
      <c r="D235">
        <v>7500</v>
      </c>
      <c r="E235">
        <v>500</v>
      </c>
      <c r="F235" s="64" t="s">
        <v>16660</v>
      </c>
    </row>
    <row r="236" spans="1:6">
      <c r="A236">
        <v>235</v>
      </c>
      <c r="B236" t="s">
        <v>828</v>
      </c>
      <c r="C236">
        <v>250</v>
      </c>
      <c r="D236">
        <v>750</v>
      </c>
      <c r="E236">
        <v>50</v>
      </c>
      <c r="F236" s="75" t="s">
        <v>16661</v>
      </c>
    </row>
    <row r="237" spans="1:6">
      <c r="A237">
        <v>236</v>
      </c>
      <c r="B237" t="s">
        <v>831</v>
      </c>
      <c r="C237">
        <v>18000</v>
      </c>
      <c r="D237">
        <v>0</v>
      </c>
      <c r="E237">
        <v>900</v>
      </c>
      <c r="F237" s="77">
        <v>44770</v>
      </c>
    </row>
    <row r="238" spans="1:6">
      <c r="A238">
        <v>237</v>
      </c>
      <c r="B238" t="s">
        <v>834</v>
      </c>
      <c r="C238">
        <v>25000</v>
      </c>
      <c r="D238">
        <v>75000</v>
      </c>
      <c r="E238">
        <v>5000</v>
      </c>
      <c r="F238" s="67">
        <v>44998</v>
      </c>
    </row>
    <row r="239" spans="1:6">
      <c r="A239">
        <v>238</v>
      </c>
      <c r="B239" t="s">
        <v>837</v>
      </c>
      <c r="C239">
        <v>2500</v>
      </c>
      <c r="D239">
        <v>7500</v>
      </c>
      <c r="E239">
        <v>500</v>
      </c>
      <c r="F239" s="65">
        <v>44505</v>
      </c>
    </row>
    <row r="240" spans="1:6">
      <c r="A240">
        <v>239</v>
      </c>
      <c r="B240" t="s">
        <v>841</v>
      </c>
      <c r="C240">
        <v>200000</v>
      </c>
      <c r="D240">
        <v>0</v>
      </c>
      <c r="E240" t="s">
        <v>16642</v>
      </c>
      <c r="F240" s="85"/>
    </row>
    <row r="241" spans="1:6">
      <c r="A241">
        <v>240</v>
      </c>
      <c r="B241" t="s">
        <v>841</v>
      </c>
      <c r="C241">
        <v>300000</v>
      </c>
      <c r="D241">
        <v>0</v>
      </c>
      <c r="E241" t="s">
        <v>16642</v>
      </c>
      <c r="F241" s="96">
        <v>44961</v>
      </c>
    </row>
    <row r="242" spans="1:6">
      <c r="A242">
        <v>241</v>
      </c>
      <c r="B242" t="s">
        <v>845</v>
      </c>
      <c r="C242">
        <v>200000</v>
      </c>
      <c r="D242">
        <v>0</v>
      </c>
      <c r="E242" t="s">
        <v>16642</v>
      </c>
      <c r="F242" s="66"/>
    </row>
    <row r="243" spans="1:6">
      <c r="A243">
        <v>242</v>
      </c>
      <c r="B243" t="s">
        <v>850</v>
      </c>
      <c r="C243">
        <v>1250</v>
      </c>
      <c r="D243">
        <v>3750</v>
      </c>
      <c r="E243">
        <v>250</v>
      </c>
      <c r="F243" s="74">
        <v>44971</v>
      </c>
    </row>
    <row r="244" spans="1:6">
      <c r="A244">
        <v>243</v>
      </c>
      <c r="B244" t="s">
        <v>853</v>
      </c>
      <c r="C244">
        <v>1250</v>
      </c>
      <c r="D244">
        <v>3750</v>
      </c>
      <c r="E244">
        <v>250</v>
      </c>
      <c r="F244" s="74">
        <v>44971</v>
      </c>
    </row>
    <row r="245" ht="15" spans="1:6">
      <c r="A245">
        <v>244</v>
      </c>
      <c r="B245" t="s">
        <v>856</v>
      </c>
      <c r="C245">
        <v>1500000</v>
      </c>
      <c r="E245" t="s">
        <v>16642</v>
      </c>
      <c r="F245" s="81">
        <f>IFERROR(__xludf.DUMMYFUNCTION("""COMPUTED_VALUE"""),45083)</f>
        <v>45083</v>
      </c>
    </row>
    <row r="246" spans="1:6">
      <c r="A246">
        <v>245</v>
      </c>
      <c r="B246" t="s">
        <v>857</v>
      </c>
      <c r="C246">
        <v>3500</v>
      </c>
      <c r="D246">
        <v>7500</v>
      </c>
      <c r="E246">
        <v>50</v>
      </c>
      <c r="F246" s="77">
        <v>44824</v>
      </c>
    </row>
    <row r="247" spans="1:6">
      <c r="A247">
        <v>246</v>
      </c>
      <c r="B247" t="s">
        <v>860</v>
      </c>
      <c r="C247">
        <v>2500</v>
      </c>
      <c r="D247">
        <v>7500</v>
      </c>
      <c r="E247">
        <v>500</v>
      </c>
      <c r="F247" s="79">
        <v>44939</v>
      </c>
    </row>
    <row r="248" spans="1:6">
      <c r="A248">
        <v>247</v>
      </c>
      <c r="B248" t="s">
        <v>863</v>
      </c>
      <c r="C248">
        <v>200000</v>
      </c>
      <c r="D248">
        <v>0</v>
      </c>
      <c r="E248" t="s">
        <v>16642</v>
      </c>
      <c r="F248" s="76">
        <v>44873</v>
      </c>
    </row>
    <row r="249" spans="1:6">
      <c r="A249">
        <v>248</v>
      </c>
      <c r="B249" t="s">
        <v>867</v>
      </c>
      <c r="C249">
        <v>5000</v>
      </c>
      <c r="D249">
        <v>0</v>
      </c>
      <c r="E249">
        <v>250</v>
      </c>
      <c r="F249" s="65">
        <v>44719</v>
      </c>
    </row>
    <row r="250" spans="1:6">
      <c r="A250">
        <v>249</v>
      </c>
      <c r="B250" t="s">
        <v>871</v>
      </c>
      <c r="C250">
        <v>25000</v>
      </c>
      <c r="D250">
        <v>75000</v>
      </c>
      <c r="E250">
        <v>5000</v>
      </c>
      <c r="F250" s="67">
        <v>44677</v>
      </c>
    </row>
    <row r="251" spans="1:6">
      <c r="A251">
        <v>250</v>
      </c>
      <c r="B251" t="s">
        <v>874</v>
      </c>
      <c r="C251">
        <v>10000</v>
      </c>
      <c r="D251">
        <v>0</v>
      </c>
      <c r="E251">
        <v>500</v>
      </c>
      <c r="F251" s="77">
        <v>44853</v>
      </c>
    </row>
    <row r="252" spans="1:6">
      <c r="A252">
        <v>251</v>
      </c>
      <c r="B252" t="s">
        <v>877</v>
      </c>
      <c r="C252">
        <v>10000</v>
      </c>
      <c r="D252">
        <v>0</v>
      </c>
      <c r="E252">
        <v>500</v>
      </c>
      <c r="F252" s="65">
        <v>44730</v>
      </c>
    </row>
    <row r="253" ht="15" spans="1:6">
      <c r="A253">
        <v>252</v>
      </c>
      <c r="B253" t="s">
        <v>881</v>
      </c>
      <c r="C253">
        <v>1000000</v>
      </c>
      <c r="D253">
        <v>500000</v>
      </c>
      <c r="E253" t="s">
        <v>16642</v>
      </c>
      <c r="F253" s="88">
        <f>IFERROR(__xludf.DUMMYFUNCTION("""COMPUTED_VALUE"""),45082)</f>
        <v>45082</v>
      </c>
    </row>
    <row r="254" spans="1:6">
      <c r="A254">
        <v>253</v>
      </c>
      <c r="B254" t="s">
        <v>882</v>
      </c>
      <c r="C254">
        <v>750</v>
      </c>
      <c r="D254">
        <v>250</v>
      </c>
      <c r="E254">
        <v>50</v>
      </c>
      <c r="F254" s="73">
        <v>44949</v>
      </c>
    </row>
    <row r="255" spans="1:6">
      <c r="A255">
        <v>254</v>
      </c>
      <c r="B255" t="s">
        <v>886</v>
      </c>
      <c r="C255">
        <v>500</v>
      </c>
      <c r="D255">
        <v>500</v>
      </c>
      <c r="E255">
        <v>50</v>
      </c>
      <c r="F255" s="60">
        <v>44923</v>
      </c>
    </row>
    <row r="256" spans="1:6">
      <c r="A256">
        <v>255</v>
      </c>
      <c r="B256" t="s">
        <v>889</v>
      </c>
      <c r="C256">
        <v>250</v>
      </c>
      <c r="D256">
        <v>750</v>
      </c>
      <c r="E256">
        <v>50</v>
      </c>
      <c r="F256" s="60">
        <v>44881</v>
      </c>
    </row>
    <row r="257" spans="1:6">
      <c r="A257">
        <v>256</v>
      </c>
      <c r="B257" t="s">
        <v>892</v>
      </c>
      <c r="C257">
        <v>250</v>
      </c>
      <c r="D257">
        <v>750</v>
      </c>
      <c r="E257">
        <v>50</v>
      </c>
      <c r="F257" s="69">
        <v>44985</v>
      </c>
    </row>
    <row r="258" spans="1:6">
      <c r="A258">
        <v>257</v>
      </c>
      <c r="B258" t="s">
        <v>896</v>
      </c>
      <c r="C258">
        <v>250</v>
      </c>
      <c r="D258">
        <v>750</v>
      </c>
      <c r="E258">
        <v>50</v>
      </c>
      <c r="F258" s="73">
        <v>45079</v>
      </c>
    </row>
    <row r="259" spans="1:6">
      <c r="A259">
        <v>258</v>
      </c>
      <c r="B259" t="s">
        <v>899</v>
      </c>
      <c r="C259">
        <v>250</v>
      </c>
      <c r="D259">
        <v>750</v>
      </c>
      <c r="E259">
        <v>50</v>
      </c>
      <c r="F259" s="70">
        <v>44866</v>
      </c>
    </row>
    <row r="260" spans="1:6">
      <c r="A260">
        <v>259</v>
      </c>
      <c r="B260" t="s">
        <v>903</v>
      </c>
      <c r="C260">
        <v>10000</v>
      </c>
      <c r="D260">
        <v>0</v>
      </c>
      <c r="E260">
        <v>500</v>
      </c>
      <c r="F260" s="77">
        <v>44806</v>
      </c>
    </row>
    <row r="261" spans="1:6">
      <c r="A261">
        <v>260</v>
      </c>
      <c r="B261" t="s">
        <v>906</v>
      </c>
      <c r="C261">
        <v>250</v>
      </c>
      <c r="D261">
        <v>750</v>
      </c>
      <c r="E261">
        <v>50</v>
      </c>
      <c r="F261" s="73">
        <v>44988</v>
      </c>
    </row>
    <row r="262" spans="1:6">
      <c r="A262">
        <v>261</v>
      </c>
      <c r="B262" t="s">
        <v>910</v>
      </c>
      <c r="C262">
        <v>3000</v>
      </c>
      <c r="D262">
        <v>0</v>
      </c>
      <c r="E262">
        <v>150</v>
      </c>
      <c r="F262" s="64" t="s">
        <v>16662</v>
      </c>
    </row>
    <row r="263" spans="1:6">
      <c r="A263">
        <v>262</v>
      </c>
      <c r="B263" t="s">
        <v>914</v>
      </c>
      <c r="C263">
        <v>250</v>
      </c>
      <c r="D263">
        <v>750</v>
      </c>
      <c r="E263">
        <v>50</v>
      </c>
      <c r="F263" s="75">
        <v>44923</v>
      </c>
    </row>
    <row r="264" spans="1:6">
      <c r="A264">
        <v>263</v>
      </c>
      <c r="B264" t="s">
        <v>917</v>
      </c>
      <c r="C264">
        <v>250</v>
      </c>
      <c r="D264">
        <v>750</v>
      </c>
      <c r="E264">
        <v>50</v>
      </c>
      <c r="F264" s="61">
        <v>44883</v>
      </c>
    </row>
    <row r="265" spans="1:6">
      <c r="A265">
        <v>264</v>
      </c>
      <c r="B265" t="s">
        <v>920</v>
      </c>
      <c r="C265">
        <v>250</v>
      </c>
      <c r="D265">
        <v>750</v>
      </c>
      <c r="E265">
        <v>50</v>
      </c>
      <c r="F265" s="61">
        <v>44882</v>
      </c>
    </row>
    <row r="266" spans="1:6">
      <c r="A266">
        <v>265</v>
      </c>
      <c r="B266" t="s">
        <v>924</v>
      </c>
      <c r="C266">
        <v>250</v>
      </c>
      <c r="D266">
        <v>750</v>
      </c>
      <c r="E266">
        <v>50</v>
      </c>
      <c r="F266" s="69">
        <v>44928</v>
      </c>
    </row>
    <row r="267" spans="1:6">
      <c r="A267">
        <v>266</v>
      </c>
      <c r="B267" t="s">
        <v>927</v>
      </c>
      <c r="C267">
        <v>250</v>
      </c>
      <c r="D267">
        <v>750</v>
      </c>
      <c r="E267">
        <v>50</v>
      </c>
      <c r="F267" s="61">
        <v>44858</v>
      </c>
    </row>
    <row r="268" spans="1:6">
      <c r="A268">
        <v>267</v>
      </c>
      <c r="B268" t="s">
        <v>930</v>
      </c>
      <c r="C268">
        <v>250</v>
      </c>
      <c r="D268">
        <v>750</v>
      </c>
      <c r="E268">
        <v>50</v>
      </c>
      <c r="F268" s="61">
        <v>44869</v>
      </c>
    </row>
    <row r="269" spans="1:6">
      <c r="A269">
        <v>268</v>
      </c>
      <c r="B269" t="s">
        <v>933</v>
      </c>
      <c r="C269">
        <v>250</v>
      </c>
      <c r="D269">
        <v>750</v>
      </c>
      <c r="E269">
        <v>50</v>
      </c>
      <c r="F269" s="61">
        <v>45043</v>
      </c>
    </row>
    <row r="270" spans="1:6">
      <c r="A270">
        <v>269</v>
      </c>
      <c r="B270" t="s">
        <v>937</v>
      </c>
      <c r="C270">
        <v>250</v>
      </c>
      <c r="D270">
        <v>750</v>
      </c>
      <c r="E270">
        <v>50</v>
      </c>
      <c r="F270" s="60" t="s">
        <v>16663</v>
      </c>
    </row>
    <row r="271" spans="1:6">
      <c r="A271">
        <v>270</v>
      </c>
      <c r="B271" t="s">
        <v>941</v>
      </c>
      <c r="C271">
        <v>250</v>
      </c>
      <c r="D271">
        <v>750</v>
      </c>
      <c r="E271">
        <v>50</v>
      </c>
      <c r="F271" s="60">
        <v>44896</v>
      </c>
    </row>
    <row r="272" spans="1:6">
      <c r="A272">
        <v>271</v>
      </c>
      <c r="B272" t="s">
        <v>944</v>
      </c>
      <c r="C272">
        <v>250</v>
      </c>
      <c r="D272">
        <v>750</v>
      </c>
      <c r="E272">
        <v>50</v>
      </c>
      <c r="F272" s="69">
        <v>45038</v>
      </c>
    </row>
    <row r="273" spans="1:6">
      <c r="A273">
        <v>272</v>
      </c>
      <c r="B273" t="s">
        <v>947</v>
      </c>
      <c r="C273">
        <v>1000</v>
      </c>
      <c r="D273">
        <v>0</v>
      </c>
      <c r="E273">
        <v>50</v>
      </c>
      <c r="F273" s="69">
        <v>44998</v>
      </c>
    </row>
    <row r="274" spans="1:6">
      <c r="A274">
        <v>273</v>
      </c>
      <c r="B274" t="s">
        <v>951</v>
      </c>
      <c r="C274">
        <v>250</v>
      </c>
      <c r="D274">
        <v>750</v>
      </c>
      <c r="E274">
        <v>50</v>
      </c>
      <c r="F274" s="69">
        <v>45043</v>
      </c>
    </row>
    <row r="275" spans="1:6">
      <c r="A275">
        <v>274</v>
      </c>
      <c r="B275" t="s">
        <v>954</v>
      </c>
      <c r="C275">
        <v>250</v>
      </c>
      <c r="D275">
        <v>750</v>
      </c>
      <c r="E275">
        <v>50</v>
      </c>
      <c r="F275" s="61">
        <v>44918</v>
      </c>
    </row>
    <row r="276" spans="1:6">
      <c r="A276">
        <v>275</v>
      </c>
      <c r="B276" t="s">
        <v>957</v>
      </c>
      <c r="C276">
        <v>250</v>
      </c>
      <c r="D276">
        <v>750</v>
      </c>
      <c r="E276">
        <v>50</v>
      </c>
      <c r="F276" s="72">
        <v>44965</v>
      </c>
    </row>
    <row r="277" ht="15" spans="1:6">
      <c r="A277">
        <v>276</v>
      </c>
      <c r="B277" t="s">
        <v>961</v>
      </c>
      <c r="C277">
        <v>500000</v>
      </c>
      <c r="D277">
        <v>3000000</v>
      </c>
      <c r="E277" t="s">
        <v>16642</v>
      </c>
      <c r="F277" s="97">
        <v>45148</v>
      </c>
    </row>
    <row r="278" ht="15" spans="1:6">
      <c r="A278">
        <v>277</v>
      </c>
      <c r="B278" t="s">
        <v>961</v>
      </c>
      <c r="C278">
        <v>1000000</v>
      </c>
      <c r="D278">
        <v>500000</v>
      </c>
      <c r="E278" t="s">
        <v>16642</v>
      </c>
      <c r="F278" s="98">
        <f>IFERROR(__xludf.DUMMYFUNCTION("""COMPUTED_VALUE"""),45079)</f>
        <v>45079</v>
      </c>
    </row>
    <row r="279" spans="1:6">
      <c r="A279">
        <v>278</v>
      </c>
      <c r="B279" t="s">
        <v>965</v>
      </c>
      <c r="C279">
        <v>250</v>
      </c>
      <c r="D279">
        <v>750</v>
      </c>
      <c r="E279">
        <v>50</v>
      </c>
      <c r="F279" s="61">
        <v>44909</v>
      </c>
    </row>
    <row r="280" spans="1:6">
      <c r="A280">
        <v>279</v>
      </c>
      <c r="B280" t="s">
        <v>969</v>
      </c>
      <c r="C280">
        <v>250</v>
      </c>
      <c r="D280">
        <v>750</v>
      </c>
      <c r="E280">
        <v>50</v>
      </c>
      <c r="F280" s="60">
        <v>44893</v>
      </c>
    </row>
    <row r="281" spans="1:6">
      <c r="A281">
        <v>280</v>
      </c>
      <c r="B281" t="s">
        <v>972</v>
      </c>
      <c r="C281">
        <v>250</v>
      </c>
      <c r="D281">
        <v>750</v>
      </c>
      <c r="E281">
        <v>50</v>
      </c>
      <c r="F281" s="60">
        <v>44867</v>
      </c>
    </row>
    <row r="282" spans="1:6">
      <c r="A282">
        <v>281</v>
      </c>
      <c r="B282" t="s">
        <v>975</v>
      </c>
      <c r="C282">
        <v>1000</v>
      </c>
      <c r="D282">
        <v>0</v>
      </c>
      <c r="E282">
        <v>50</v>
      </c>
      <c r="F282" s="73">
        <v>44973</v>
      </c>
    </row>
    <row r="283" spans="1:6">
      <c r="A283">
        <v>282</v>
      </c>
      <c r="B283" t="s">
        <v>979</v>
      </c>
      <c r="C283">
        <v>250</v>
      </c>
      <c r="D283">
        <v>750</v>
      </c>
      <c r="E283">
        <v>50</v>
      </c>
      <c r="F283" s="60">
        <v>44881</v>
      </c>
    </row>
    <row r="284" spans="1:6">
      <c r="A284">
        <v>283</v>
      </c>
      <c r="B284" t="s">
        <v>982</v>
      </c>
      <c r="C284">
        <v>250</v>
      </c>
      <c r="D284">
        <v>750</v>
      </c>
      <c r="E284">
        <v>50</v>
      </c>
      <c r="F284" s="99">
        <v>44909</v>
      </c>
    </row>
    <row r="285" spans="1:6">
      <c r="A285">
        <v>284</v>
      </c>
      <c r="B285" t="s">
        <v>985</v>
      </c>
      <c r="C285">
        <v>250</v>
      </c>
      <c r="D285">
        <v>750</v>
      </c>
      <c r="E285">
        <v>50</v>
      </c>
      <c r="F285" s="69">
        <v>44883</v>
      </c>
    </row>
    <row r="286" spans="1:6">
      <c r="A286">
        <v>285</v>
      </c>
      <c r="B286" t="s">
        <v>989</v>
      </c>
      <c r="C286">
        <v>100000</v>
      </c>
      <c r="D286">
        <v>0</v>
      </c>
      <c r="E286" t="s">
        <v>16642</v>
      </c>
      <c r="F286" s="76">
        <v>44880</v>
      </c>
    </row>
    <row r="287" spans="1:6">
      <c r="A287">
        <v>286</v>
      </c>
      <c r="B287" t="s">
        <v>993</v>
      </c>
      <c r="C287">
        <v>100000</v>
      </c>
      <c r="D287">
        <v>0</v>
      </c>
      <c r="E287" t="s">
        <v>16642</v>
      </c>
      <c r="F287" s="100"/>
    </row>
    <row r="288" spans="1:6">
      <c r="A288">
        <v>287</v>
      </c>
      <c r="B288" t="s">
        <v>996</v>
      </c>
      <c r="C288">
        <v>250</v>
      </c>
      <c r="D288">
        <v>750</v>
      </c>
      <c r="E288">
        <v>50</v>
      </c>
      <c r="F288" s="60">
        <v>44895</v>
      </c>
    </row>
    <row r="289" spans="1:6">
      <c r="A289">
        <v>288</v>
      </c>
      <c r="B289" t="s">
        <v>999</v>
      </c>
      <c r="C289">
        <v>500</v>
      </c>
      <c r="D289">
        <v>500</v>
      </c>
      <c r="E289">
        <v>50</v>
      </c>
      <c r="F289" s="69">
        <v>44901</v>
      </c>
    </row>
    <row r="290" spans="1:6">
      <c r="A290">
        <v>289</v>
      </c>
      <c r="B290" t="s">
        <v>1002</v>
      </c>
      <c r="C290">
        <v>10000</v>
      </c>
      <c r="D290">
        <v>0</v>
      </c>
      <c r="E290">
        <v>500</v>
      </c>
      <c r="F290" s="77">
        <v>44768</v>
      </c>
    </row>
    <row r="291" spans="1:6">
      <c r="A291">
        <v>290</v>
      </c>
      <c r="B291" t="s">
        <v>1006</v>
      </c>
      <c r="C291">
        <v>5000</v>
      </c>
      <c r="D291">
        <v>0</v>
      </c>
      <c r="E291">
        <v>250</v>
      </c>
      <c r="F291" s="65">
        <v>44520</v>
      </c>
    </row>
    <row r="292" spans="1:6">
      <c r="A292">
        <v>291</v>
      </c>
      <c r="B292" t="s">
        <v>1010</v>
      </c>
      <c r="C292">
        <v>250</v>
      </c>
      <c r="D292">
        <v>750</v>
      </c>
      <c r="E292">
        <v>50</v>
      </c>
      <c r="F292" s="61">
        <v>44877</v>
      </c>
    </row>
    <row r="293" spans="1:6">
      <c r="A293">
        <v>292</v>
      </c>
      <c r="B293" t="s">
        <v>1014</v>
      </c>
      <c r="C293">
        <v>250</v>
      </c>
      <c r="D293">
        <v>750</v>
      </c>
      <c r="E293">
        <v>50</v>
      </c>
      <c r="F293" s="61">
        <v>44901</v>
      </c>
    </row>
    <row r="294" spans="1:6">
      <c r="A294">
        <v>293</v>
      </c>
      <c r="B294" t="s">
        <v>1017</v>
      </c>
      <c r="C294">
        <v>250</v>
      </c>
      <c r="D294">
        <v>750</v>
      </c>
      <c r="E294">
        <v>50</v>
      </c>
      <c r="F294" s="60">
        <v>44905</v>
      </c>
    </row>
    <row r="295" spans="1:6">
      <c r="A295">
        <v>294</v>
      </c>
      <c r="B295" t="s">
        <v>1021</v>
      </c>
      <c r="C295">
        <v>1000</v>
      </c>
      <c r="D295">
        <v>0</v>
      </c>
      <c r="E295">
        <v>50</v>
      </c>
      <c r="F295" s="64" t="s">
        <v>16664</v>
      </c>
    </row>
    <row r="296" spans="1:6">
      <c r="A296">
        <v>295</v>
      </c>
      <c r="B296" t="s">
        <v>1025</v>
      </c>
      <c r="C296">
        <v>500</v>
      </c>
      <c r="D296">
        <v>1500</v>
      </c>
      <c r="E296">
        <v>100</v>
      </c>
      <c r="F296" s="74">
        <v>44804</v>
      </c>
    </row>
    <row r="297" spans="1:6">
      <c r="A297">
        <v>296</v>
      </c>
      <c r="B297" t="s">
        <v>1028</v>
      </c>
      <c r="C297">
        <v>250</v>
      </c>
      <c r="D297">
        <v>750</v>
      </c>
      <c r="E297">
        <v>50</v>
      </c>
      <c r="F297" s="72">
        <v>44989</v>
      </c>
    </row>
    <row r="298" spans="1:6">
      <c r="A298">
        <v>297</v>
      </c>
      <c r="B298" t="s">
        <v>1031</v>
      </c>
      <c r="C298">
        <v>250</v>
      </c>
      <c r="D298">
        <v>750</v>
      </c>
      <c r="E298">
        <v>50</v>
      </c>
      <c r="F298" s="65">
        <v>44659</v>
      </c>
    </row>
    <row r="299" spans="1:6">
      <c r="A299">
        <v>298</v>
      </c>
      <c r="B299" t="s">
        <v>1035</v>
      </c>
      <c r="C299">
        <v>25000</v>
      </c>
      <c r="D299">
        <v>75000</v>
      </c>
      <c r="E299">
        <v>5000</v>
      </c>
      <c r="F299" s="67">
        <v>45058</v>
      </c>
    </row>
    <row r="300" spans="1:6">
      <c r="A300">
        <v>299</v>
      </c>
      <c r="B300" t="s">
        <v>1038</v>
      </c>
      <c r="C300">
        <v>250</v>
      </c>
      <c r="D300">
        <v>750</v>
      </c>
      <c r="E300">
        <v>50</v>
      </c>
      <c r="F300" s="61">
        <v>44909</v>
      </c>
    </row>
    <row r="301" spans="1:6">
      <c r="A301">
        <v>300</v>
      </c>
      <c r="B301" t="s">
        <v>1041</v>
      </c>
      <c r="C301">
        <v>250</v>
      </c>
      <c r="D301">
        <v>750</v>
      </c>
      <c r="E301">
        <v>50</v>
      </c>
      <c r="F301" s="61">
        <v>44910</v>
      </c>
    </row>
    <row r="302" spans="1:6">
      <c r="A302">
        <v>301</v>
      </c>
      <c r="B302" t="s">
        <v>1044</v>
      </c>
      <c r="C302">
        <v>250</v>
      </c>
      <c r="D302">
        <v>750</v>
      </c>
      <c r="E302">
        <v>50</v>
      </c>
      <c r="F302" s="60">
        <v>44866</v>
      </c>
    </row>
    <row r="303" spans="1:6">
      <c r="A303">
        <v>302</v>
      </c>
      <c r="B303" t="s">
        <v>1048</v>
      </c>
      <c r="C303">
        <v>250</v>
      </c>
      <c r="D303">
        <v>750</v>
      </c>
      <c r="E303">
        <v>50</v>
      </c>
      <c r="F303" s="61">
        <v>44842</v>
      </c>
    </row>
    <row r="304" spans="1:6">
      <c r="A304">
        <v>303</v>
      </c>
      <c r="B304" t="s">
        <v>1052</v>
      </c>
      <c r="C304">
        <v>1000</v>
      </c>
      <c r="D304">
        <v>0</v>
      </c>
      <c r="E304">
        <v>50</v>
      </c>
      <c r="F304" s="69">
        <v>44961</v>
      </c>
    </row>
    <row r="305" spans="1:6">
      <c r="A305">
        <v>304</v>
      </c>
      <c r="B305" t="s">
        <v>1056</v>
      </c>
      <c r="C305">
        <v>250</v>
      </c>
      <c r="D305">
        <v>750</v>
      </c>
      <c r="E305">
        <v>50</v>
      </c>
      <c r="F305" s="60">
        <v>44879</v>
      </c>
    </row>
    <row r="306" spans="1:6">
      <c r="A306">
        <v>305</v>
      </c>
      <c r="B306" t="s">
        <v>1059</v>
      </c>
      <c r="C306">
        <v>250</v>
      </c>
      <c r="D306">
        <v>750</v>
      </c>
      <c r="E306">
        <v>50</v>
      </c>
      <c r="F306" s="69">
        <v>45035</v>
      </c>
    </row>
    <row r="307" spans="1:6">
      <c r="A307">
        <v>306</v>
      </c>
      <c r="B307" t="s">
        <v>1062</v>
      </c>
      <c r="C307">
        <v>250</v>
      </c>
      <c r="D307">
        <v>750</v>
      </c>
      <c r="E307">
        <v>50</v>
      </c>
      <c r="F307" s="60">
        <v>44898</v>
      </c>
    </row>
    <row r="308" spans="1:6">
      <c r="A308">
        <v>307</v>
      </c>
      <c r="B308" t="s">
        <v>1065</v>
      </c>
      <c r="C308">
        <v>250</v>
      </c>
      <c r="D308">
        <v>750</v>
      </c>
      <c r="E308">
        <v>50</v>
      </c>
      <c r="F308" s="61">
        <v>44916</v>
      </c>
    </row>
    <row r="309" spans="1:6">
      <c r="A309">
        <v>308</v>
      </c>
      <c r="B309" t="s">
        <v>1068</v>
      </c>
      <c r="C309">
        <v>250</v>
      </c>
      <c r="D309">
        <v>750</v>
      </c>
      <c r="E309">
        <v>50</v>
      </c>
      <c r="F309" s="61">
        <v>44821</v>
      </c>
    </row>
    <row r="310" spans="1:6">
      <c r="A310">
        <v>309</v>
      </c>
      <c r="B310" t="s">
        <v>1071</v>
      </c>
      <c r="C310">
        <v>500</v>
      </c>
      <c r="D310">
        <v>500</v>
      </c>
      <c r="E310">
        <v>50</v>
      </c>
      <c r="F310" s="69">
        <v>44958</v>
      </c>
    </row>
    <row r="311" spans="1:6">
      <c r="A311">
        <v>310</v>
      </c>
      <c r="B311" t="s">
        <v>1075</v>
      </c>
      <c r="C311">
        <v>250</v>
      </c>
      <c r="D311">
        <v>750</v>
      </c>
      <c r="E311">
        <v>50</v>
      </c>
      <c r="F311" s="75">
        <v>44950</v>
      </c>
    </row>
    <row r="312" spans="1:6">
      <c r="A312">
        <v>311</v>
      </c>
      <c r="B312" t="s">
        <v>1078</v>
      </c>
      <c r="C312">
        <v>250</v>
      </c>
      <c r="D312">
        <v>750</v>
      </c>
      <c r="E312">
        <v>50</v>
      </c>
      <c r="F312" s="78">
        <v>44870</v>
      </c>
    </row>
    <row r="313" spans="1:6">
      <c r="A313">
        <v>312</v>
      </c>
      <c r="B313" t="s">
        <v>1081</v>
      </c>
      <c r="C313">
        <v>1000</v>
      </c>
      <c r="D313">
        <v>0</v>
      </c>
      <c r="E313">
        <v>50</v>
      </c>
      <c r="F313" s="75">
        <v>44807</v>
      </c>
    </row>
    <row r="314" spans="1:6">
      <c r="A314">
        <v>313</v>
      </c>
      <c r="B314" t="s">
        <v>1084</v>
      </c>
      <c r="C314">
        <v>500</v>
      </c>
      <c r="D314">
        <v>500</v>
      </c>
      <c r="E314">
        <v>50</v>
      </c>
      <c r="F314" s="61">
        <v>44855</v>
      </c>
    </row>
    <row r="315" spans="1:6">
      <c r="A315">
        <v>314</v>
      </c>
      <c r="B315" t="s">
        <v>1088</v>
      </c>
      <c r="C315">
        <v>250</v>
      </c>
      <c r="D315">
        <v>750</v>
      </c>
      <c r="E315">
        <v>50</v>
      </c>
      <c r="F315" s="60">
        <v>44909</v>
      </c>
    </row>
    <row r="316" spans="1:6">
      <c r="A316">
        <v>315</v>
      </c>
      <c r="B316" t="s">
        <v>1091</v>
      </c>
      <c r="C316">
        <v>250</v>
      </c>
      <c r="D316">
        <v>750</v>
      </c>
      <c r="E316">
        <v>50</v>
      </c>
      <c r="F316" s="69">
        <v>44985</v>
      </c>
    </row>
    <row r="317" spans="1:6">
      <c r="A317">
        <v>316</v>
      </c>
      <c r="B317" t="s">
        <v>1095</v>
      </c>
      <c r="C317">
        <v>250</v>
      </c>
      <c r="D317">
        <v>750</v>
      </c>
      <c r="E317">
        <v>50</v>
      </c>
      <c r="F317" s="73">
        <v>44932</v>
      </c>
    </row>
    <row r="318" spans="1:6">
      <c r="A318">
        <v>317</v>
      </c>
      <c r="B318" t="s">
        <v>1099</v>
      </c>
      <c r="C318">
        <v>1000</v>
      </c>
      <c r="D318">
        <v>0</v>
      </c>
      <c r="E318">
        <v>50</v>
      </c>
      <c r="F318" s="73">
        <v>44954</v>
      </c>
    </row>
    <row r="319" spans="1:6">
      <c r="A319">
        <v>318</v>
      </c>
      <c r="B319" t="s">
        <v>1103</v>
      </c>
      <c r="C319">
        <v>5000</v>
      </c>
      <c r="D319">
        <v>0</v>
      </c>
      <c r="E319">
        <v>250</v>
      </c>
      <c r="F319" s="101">
        <v>44767</v>
      </c>
    </row>
    <row r="320" spans="1:6">
      <c r="A320">
        <v>319</v>
      </c>
      <c r="B320" t="s">
        <v>1107</v>
      </c>
      <c r="C320">
        <v>250</v>
      </c>
      <c r="D320">
        <v>750</v>
      </c>
      <c r="E320">
        <v>50</v>
      </c>
      <c r="F320" s="60">
        <v>44870</v>
      </c>
    </row>
    <row r="321" spans="1:6">
      <c r="A321">
        <v>320</v>
      </c>
      <c r="B321" t="s">
        <v>1110</v>
      </c>
      <c r="C321">
        <v>250</v>
      </c>
      <c r="D321">
        <v>750</v>
      </c>
      <c r="E321">
        <v>50</v>
      </c>
      <c r="F321" s="69">
        <v>45026</v>
      </c>
    </row>
    <row r="322" spans="1:6">
      <c r="A322">
        <v>321</v>
      </c>
      <c r="B322" t="s">
        <v>1114</v>
      </c>
      <c r="C322">
        <v>1000</v>
      </c>
      <c r="D322">
        <v>0</v>
      </c>
      <c r="E322">
        <v>50</v>
      </c>
      <c r="F322" s="60">
        <v>44925</v>
      </c>
    </row>
    <row r="323" spans="1:6">
      <c r="A323">
        <v>322</v>
      </c>
      <c r="B323" t="s">
        <v>1118</v>
      </c>
      <c r="C323">
        <v>250</v>
      </c>
      <c r="D323">
        <v>750</v>
      </c>
      <c r="E323">
        <v>50</v>
      </c>
      <c r="F323" s="61">
        <v>44845</v>
      </c>
    </row>
    <row r="324" spans="1:6">
      <c r="A324">
        <v>323</v>
      </c>
      <c r="B324" t="s">
        <v>1122</v>
      </c>
      <c r="C324">
        <v>250</v>
      </c>
      <c r="D324">
        <v>750</v>
      </c>
      <c r="E324">
        <v>50</v>
      </c>
      <c r="F324" s="61">
        <v>44868</v>
      </c>
    </row>
    <row r="325" spans="1:6">
      <c r="A325">
        <v>324</v>
      </c>
      <c r="B325" t="s">
        <v>1125</v>
      </c>
      <c r="C325">
        <v>250</v>
      </c>
      <c r="D325">
        <v>750</v>
      </c>
      <c r="E325">
        <v>50</v>
      </c>
      <c r="F325" s="65">
        <v>44508</v>
      </c>
    </row>
    <row r="326" spans="1:6">
      <c r="A326">
        <v>325</v>
      </c>
      <c r="B326" t="s">
        <v>1129</v>
      </c>
      <c r="C326">
        <v>250</v>
      </c>
      <c r="D326">
        <v>750</v>
      </c>
      <c r="E326">
        <v>50</v>
      </c>
      <c r="F326" s="61">
        <v>44904</v>
      </c>
    </row>
    <row r="327" spans="1:6">
      <c r="A327">
        <v>326</v>
      </c>
      <c r="B327" t="s">
        <v>1133</v>
      </c>
      <c r="C327">
        <v>250</v>
      </c>
      <c r="D327">
        <v>750</v>
      </c>
      <c r="E327">
        <v>50</v>
      </c>
      <c r="F327" s="61">
        <v>44991</v>
      </c>
    </row>
    <row r="328" spans="1:6">
      <c r="A328">
        <v>327</v>
      </c>
      <c r="B328" t="s">
        <v>1136</v>
      </c>
      <c r="C328">
        <v>250</v>
      </c>
      <c r="D328">
        <v>750</v>
      </c>
      <c r="E328">
        <v>50</v>
      </c>
      <c r="F328" s="69">
        <v>44932</v>
      </c>
    </row>
    <row r="329" spans="1:6">
      <c r="A329">
        <v>328</v>
      </c>
      <c r="B329" t="s">
        <v>1140</v>
      </c>
      <c r="C329">
        <v>250</v>
      </c>
      <c r="D329">
        <v>750</v>
      </c>
      <c r="E329">
        <v>50</v>
      </c>
      <c r="F329" s="61">
        <v>44908</v>
      </c>
    </row>
    <row r="330" spans="1:6">
      <c r="A330">
        <v>329</v>
      </c>
      <c r="B330" t="s">
        <v>1144</v>
      </c>
      <c r="C330">
        <v>250</v>
      </c>
      <c r="D330">
        <v>750</v>
      </c>
      <c r="E330">
        <v>50</v>
      </c>
      <c r="F330" s="61">
        <v>44914</v>
      </c>
    </row>
    <row r="331" spans="1:6">
      <c r="A331">
        <v>330</v>
      </c>
      <c r="B331" t="s">
        <v>1147</v>
      </c>
      <c r="C331">
        <v>250</v>
      </c>
      <c r="D331">
        <v>750</v>
      </c>
      <c r="E331">
        <v>50</v>
      </c>
      <c r="F331" s="73">
        <v>44943</v>
      </c>
    </row>
    <row r="332" spans="1:6">
      <c r="A332">
        <v>331</v>
      </c>
      <c r="B332" t="s">
        <v>1150</v>
      </c>
      <c r="C332">
        <v>250</v>
      </c>
      <c r="D332">
        <v>750</v>
      </c>
      <c r="E332">
        <v>50</v>
      </c>
      <c r="F332" s="61">
        <v>44847</v>
      </c>
    </row>
    <row r="333" spans="1:6">
      <c r="A333">
        <v>332</v>
      </c>
      <c r="B333" t="s">
        <v>1153</v>
      </c>
      <c r="C333">
        <v>250</v>
      </c>
      <c r="D333">
        <v>750</v>
      </c>
      <c r="E333">
        <v>50</v>
      </c>
      <c r="F333" s="61">
        <v>44903</v>
      </c>
    </row>
    <row r="334" spans="1:6">
      <c r="A334">
        <v>333</v>
      </c>
      <c r="B334" t="s">
        <v>1157</v>
      </c>
      <c r="C334">
        <v>5000</v>
      </c>
      <c r="D334">
        <v>15000</v>
      </c>
      <c r="E334">
        <v>1000</v>
      </c>
      <c r="F334" s="64" t="s">
        <v>16665</v>
      </c>
    </row>
    <row r="335" spans="1:6">
      <c r="A335">
        <v>334</v>
      </c>
      <c r="B335" t="s">
        <v>1161</v>
      </c>
      <c r="C335">
        <v>250</v>
      </c>
      <c r="D335">
        <v>750</v>
      </c>
      <c r="E335">
        <v>50</v>
      </c>
      <c r="F335" s="61">
        <v>44807</v>
      </c>
    </row>
    <row r="336" spans="1:6">
      <c r="A336">
        <v>335</v>
      </c>
      <c r="B336" t="s">
        <v>1164</v>
      </c>
      <c r="C336">
        <v>250</v>
      </c>
      <c r="D336">
        <v>750</v>
      </c>
      <c r="E336">
        <v>50</v>
      </c>
      <c r="F336" s="69">
        <v>44898</v>
      </c>
    </row>
    <row r="337" spans="1:6">
      <c r="A337">
        <v>336</v>
      </c>
      <c r="B337" t="s">
        <v>1168</v>
      </c>
      <c r="C337">
        <v>500</v>
      </c>
      <c r="D337">
        <v>500</v>
      </c>
      <c r="E337">
        <v>50</v>
      </c>
      <c r="F337" s="61">
        <v>44866</v>
      </c>
    </row>
    <row r="338" spans="1:6">
      <c r="A338">
        <v>337</v>
      </c>
      <c r="B338" t="s">
        <v>1172</v>
      </c>
      <c r="C338">
        <v>1000</v>
      </c>
      <c r="D338">
        <v>0</v>
      </c>
      <c r="E338">
        <v>50</v>
      </c>
      <c r="F338" s="65">
        <v>44859</v>
      </c>
    </row>
    <row r="339" spans="1:6">
      <c r="A339">
        <v>338</v>
      </c>
      <c r="B339" t="s">
        <v>1176</v>
      </c>
      <c r="C339">
        <v>250</v>
      </c>
      <c r="D339">
        <v>750</v>
      </c>
      <c r="E339">
        <v>50</v>
      </c>
      <c r="F339" s="72">
        <v>44865</v>
      </c>
    </row>
    <row r="340" spans="1:6">
      <c r="A340">
        <v>339</v>
      </c>
      <c r="B340" t="s">
        <v>1180</v>
      </c>
      <c r="C340">
        <v>100000</v>
      </c>
      <c r="D340">
        <v>0</v>
      </c>
      <c r="E340" t="s">
        <v>16642</v>
      </c>
      <c r="F340" s="96">
        <v>44851</v>
      </c>
    </row>
    <row r="341" spans="1:6">
      <c r="A341">
        <v>340</v>
      </c>
      <c r="B341" t="s">
        <v>1180</v>
      </c>
      <c r="C341">
        <v>100000</v>
      </c>
      <c r="D341">
        <v>0</v>
      </c>
      <c r="E341" t="s">
        <v>16642</v>
      </c>
      <c r="F341" s="85"/>
    </row>
    <row r="342" spans="1:6">
      <c r="A342">
        <v>341</v>
      </c>
      <c r="B342" t="s">
        <v>1185</v>
      </c>
      <c r="C342">
        <v>250</v>
      </c>
      <c r="D342">
        <v>750</v>
      </c>
      <c r="E342">
        <v>50</v>
      </c>
      <c r="F342" s="60">
        <v>44916</v>
      </c>
    </row>
    <row r="343" spans="1:6">
      <c r="A343">
        <v>342</v>
      </c>
      <c r="B343" t="s">
        <v>1188</v>
      </c>
      <c r="C343">
        <v>250</v>
      </c>
      <c r="D343">
        <v>750</v>
      </c>
      <c r="E343">
        <v>50</v>
      </c>
      <c r="F343" s="60">
        <v>44895</v>
      </c>
    </row>
    <row r="344" spans="1:6">
      <c r="A344">
        <v>343</v>
      </c>
      <c r="B344" t="s">
        <v>1192</v>
      </c>
      <c r="C344">
        <v>12500</v>
      </c>
      <c r="D344">
        <v>37500</v>
      </c>
      <c r="E344">
        <v>2500</v>
      </c>
      <c r="F344" s="102">
        <v>44951</v>
      </c>
    </row>
    <row r="345" spans="1:6">
      <c r="A345">
        <v>344</v>
      </c>
      <c r="B345" t="s">
        <v>1195</v>
      </c>
      <c r="C345">
        <v>1000</v>
      </c>
      <c r="D345">
        <v>0</v>
      </c>
      <c r="E345">
        <v>50</v>
      </c>
      <c r="F345" s="70">
        <v>44914</v>
      </c>
    </row>
    <row r="346" spans="1:6">
      <c r="A346">
        <v>345</v>
      </c>
      <c r="B346" t="s">
        <v>1199</v>
      </c>
      <c r="C346">
        <v>500</v>
      </c>
      <c r="D346">
        <v>500</v>
      </c>
      <c r="E346">
        <v>50</v>
      </c>
      <c r="F346" s="61">
        <v>44909</v>
      </c>
    </row>
    <row r="347" spans="1:6">
      <c r="A347">
        <v>346</v>
      </c>
      <c r="B347" t="s">
        <v>1203</v>
      </c>
      <c r="C347">
        <v>250</v>
      </c>
      <c r="D347">
        <v>750</v>
      </c>
      <c r="E347">
        <v>50</v>
      </c>
      <c r="F347" s="61">
        <v>44866</v>
      </c>
    </row>
    <row r="348" spans="1:6">
      <c r="A348">
        <v>347</v>
      </c>
      <c r="B348" t="s">
        <v>1206</v>
      </c>
      <c r="C348">
        <v>250</v>
      </c>
      <c r="D348">
        <v>750</v>
      </c>
      <c r="E348">
        <v>50</v>
      </c>
      <c r="F348" s="73">
        <v>44968</v>
      </c>
    </row>
    <row r="349" spans="1:6">
      <c r="A349">
        <v>348</v>
      </c>
      <c r="B349" t="s">
        <v>1210</v>
      </c>
      <c r="C349">
        <v>1000</v>
      </c>
      <c r="D349">
        <v>0</v>
      </c>
      <c r="E349">
        <v>50</v>
      </c>
      <c r="F349" s="72">
        <v>44898</v>
      </c>
    </row>
    <row r="350" spans="1:6">
      <c r="A350">
        <v>349</v>
      </c>
      <c r="B350" t="s">
        <v>1214</v>
      </c>
      <c r="C350">
        <v>250</v>
      </c>
      <c r="D350">
        <v>750</v>
      </c>
      <c r="E350">
        <v>50</v>
      </c>
      <c r="F350" s="60">
        <v>44877</v>
      </c>
    </row>
    <row r="351" spans="1:6">
      <c r="A351">
        <v>350</v>
      </c>
      <c r="B351" t="s">
        <v>1219</v>
      </c>
      <c r="C351">
        <v>250</v>
      </c>
      <c r="D351">
        <v>750</v>
      </c>
      <c r="E351">
        <v>50</v>
      </c>
      <c r="F351" s="61">
        <v>44818</v>
      </c>
    </row>
    <row r="352" spans="1:6">
      <c r="A352">
        <v>351</v>
      </c>
      <c r="B352" t="s">
        <v>1223</v>
      </c>
      <c r="C352">
        <v>2500</v>
      </c>
      <c r="D352">
        <v>7500</v>
      </c>
      <c r="E352">
        <v>500</v>
      </c>
      <c r="F352" s="77">
        <v>44772</v>
      </c>
    </row>
    <row r="353" spans="1:6">
      <c r="A353">
        <v>352</v>
      </c>
      <c r="B353" t="s">
        <v>1226</v>
      </c>
      <c r="C353">
        <v>250</v>
      </c>
      <c r="D353">
        <v>750</v>
      </c>
      <c r="E353">
        <v>50</v>
      </c>
      <c r="F353" s="60">
        <v>44856</v>
      </c>
    </row>
    <row r="354" spans="1:6">
      <c r="A354">
        <v>353</v>
      </c>
      <c r="B354" t="s">
        <v>1229</v>
      </c>
      <c r="C354">
        <v>250</v>
      </c>
      <c r="D354">
        <v>750</v>
      </c>
      <c r="E354">
        <v>50</v>
      </c>
      <c r="F354" s="61">
        <v>44868</v>
      </c>
    </row>
    <row r="355" spans="1:6">
      <c r="A355">
        <v>354</v>
      </c>
      <c r="B355" t="s">
        <v>1232</v>
      </c>
      <c r="C355">
        <v>2500</v>
      </c>
      <c r="D355">
        <v>7500</v>
      </c>
      <c r="E355">
        <v>500</v>
      </c>
      <c r="F355" s="64" t="s">
        <v>16666</v>
      </c>
    </row>
    <row r="356" spans="1:6">
      <c r="A356">
        <v>355</v>
      </c>
      <c r="B356" t="s">
        <v>1236</v>
      </c>
      <c r="C356">
        <v>250</v>
      </c>
      <c r="D356">
        <v>750</v>
      </c>
      <c r="E356">
        <v>50</v>
      </c>
      <c r="F356" s="60">
        <v>44903</v>
      </c>
    </row>
    <row r="357" spans="1:6">
      <c r="A357">
        <v>356</v>
      </c>
      <c r="B357" t="s">
        <v>1239</v>
      </c>
      <c r="C357">
        <v>250</v>
      </c>
      <c r="D357">
        <v>750</v>
      </c>
      <c r="E357">
        <v>50</v>
      </c>
      <c r="F357" s="60">
        <v>44930</v>
      </c>
    </row>
    <row r="358" spans="1:6">
      <c r="A358">
        <v>357</v>
      </c>
      <c r="B358" t="s">
        <v>1242</v>
      </c>
      <c r="C358">
        <v>10000</v>
      </c>
      <c r="D358">
        <v>0</v>
      </c>
      <c r="E358">
        <v>500</v>
      </c>
      <c r="F358" s="67">
        <v>44440</v>
      </c>
    </row>
    <row r="359" spans="1:6">
      <c r="A359">
        <v>358</v>
      </c>
      <c r="B359" t="s">
        <v>1245</v>
      </c>
      <c r="C359">
        <v>250</v>
      </c>
      <c r="D359">
        <v>750</v>
      </c>
      <c r="E359">
        <v>50</v>
      </c>
      <c r="F359" s="60">
        <v>44858</v>
      </c>
    </row>
    <row r="360" spans="1:6">
      <c r="A360">
        <v>359</v>
      </c>
      <c r="B360" t="s">
        <v>1248</v>
      </c>
      <c r="C360">
        <v>10000</v>
      </c>
      <c r="D360">
        <v>0</v>
      </c>
      <c r="E360">
        <v>500</v>
      </c>
      <c r="F360" s="77">
        <v>44802</v>
      </c>
    </row>
    <row r="361" spans="1:6">
      <c r="A361">
        <v>360</v>
      </c>
      <c r="B361" t="s">
        <v>1251</v>
      </c>
      <c r="C361">
        <v>250</v>
      </c>
      <c r="D361">
        <v>750</v>
      </c>
      <c r="E361">
        <v>50</v>
      </c>
      <c r="F361" s="61">
        <v>44870</v>
      </c>
    </row>
    <row r="362" spans="1:6">
      <c r="A362">
        <v>361</v>
      </c>
      <c r="B362" t="s">
        <v>1254</v>
      </c>
      <c r="C362">
        <v>250</v>
      </c>
      <c r="D362">
        <v>750</v>
      </c>
      <c r="E362">
        <v>50</v>
      </c>
      <c r="F362" s="60">
        <v>45006</v>
      </c>
    </row>
    <row r="363" spans="1:6">
      <c r="A363">
        <v>362</v>
      </c>
      <c r="B363" t="s">
        <v>1257</v>
      </c>
      <c r="C363">
        <v>1000</v>
      </c>
      <c r="D363">
        <v>0</v>
      </c>
      <c r="E363">
        <v>50</v>
      </c>
      <c r="F363" s="60">
        <v>44898</v>
      </c>
    </row>
    <row r="364" spans="1:6">
      <c r="A364">
        <v>363</v>
      </c>
      <c r="B364" t="s">
        <v>1261</v>
      </c>
      <c r="C364">
        <v>1000</v>
      </c>
      <c r="D364">
        <v>1000</v>
      </c>
      <c r="E364">
        <v>100</v>
      </c>
      <c r="F364" s="67">
        <v>45036</v>
      </c>
    </row>
    <row r="365" spans="1:6">
      <c r="A365">
        <v>364</v>
      </c>
      <c r="B365" t="s">
        <v>1264</v>
      </c>
      <c r="C365">
        <v>250</v>
      </c>
      <c r="D365">
        <v>750</v>
      </c>
      <c r="E365">
        <v>50</v>
      </c>
      <c r="F365" s="72">
        <v>44840</v>
      </c>
    </row>
    <row r="366" spans="1:6">
      <c r="A366">
        <v>365</v>
      </c>
      <c r="B366" t="s">
        <v>1267</v>
      </c>
      <c r="C366">
        <v>250</v>
      </c>
      <c r="D366">
        <v>750</v>
      </c>
      <c r="E366">
        <v>50</v>
      </c>
      <c r="F366" s="60">
        <v>44856</v>
      </c>
    </row>
    <row r="367" spans="1:6">
      <c r="A367">
        <v>366</v>
      </c>
      <c r="B367" t="s">
        <v>1270</v>
      </c>
      <c r="C367">
        <v>250</v>
      </c>
      <c r="D367">
        <v>750</v>
      </c>
      <c r="E367">
        <v>50</v>
      </c>
      <c r="F367" s="61">
        <v>44926</v>
      </c>
    </row>
    <row r="368" spans="1:6">
      <c r="A368">
        <v>367</v>
      </c>
      <c r="B368" t="s">
        <v>1273</v>
      </c>
      <c r="C368">
        <v>250</v>
      </c>
      <c r="D368">
        <v>750</v>
      </c>
      <c r="E368">
        <v>50</v>
      </c>
      <c r="F368" s="75">
        <v>44849</v>
      </c>
    </row>
    <row r="369" spans="1:6">
      <c r="A369">
        <v>368</v>
      </c>
      <c r="B369" t="s">
        <v>1277</v>
      </c>
      <c r="C369">
        <v>1000</v>
      </c>
      <c r="D369">
        <v>0</v>
      </c>
      <c r="E369">
        <v>50</v>
      </c>
      <c r="F369" s="60">
        <v>44910</v>
      </c>
    </row>
    <row r="370" spans="1:6">
      <c r="A370">
        <v>369</v>
      </c>
      <c r="B370" t="s">
        <v>1282</v>
      </c>
      <c r="C370">
        <v>100000</v>
      </c>
      <c r="D370">
        <v>0</v>
      </c>
      <c r="E370" t="s">
        <v>16642</v>
      </c>
      <c r="F370" s="76">
        <v>44908</v>
      </c>
    </row>
    <row r="371" spans="1:6">
      <c r="A371">
        <v>370</v>
      </c>
      <c r="B371" t="s">
        <v>1287</v>
      </c>
      <c r="C371">
        <v>250</v>
      </c>
      <c r="D371">
        <v>750</v>
      </c>
      <c r="E371">
        <v>50</v>
      </c>
      <c r="F371" s="70">
        <v>44966</v>
      </c>
    </row>
    <row r="372" spans="1:6">
      <c r="A372">
        <v>371</v>
      </c>
      <c r="B372" t="s">
        <v>1291</v>
      </c>
      <c r="C372">
        <v>250</v>
      </c>
      <c r="D372">
        <v>750</v>
      </c>
      <c r="E372">
        <v>50</v>
      </c>
      <c r="F372" s="61">
        <v>44897</v>
      </c>
    </row>
    <row r="373" spans="1:6">
      <c r="A373">
        <v>372</v>
      </c>
      <c r="B373" t="s">
        <v>1294</v>
      </c>
      <c r="C373">
        <v>500</v>
      </c>
      <c r="D373">
        <v>500</v>
      </c>
      <c r="E373">
        <v>50</v>
      </c>
      <c r="F373" s="69">
        <v>45008</v>
      </c>
    </row>
    <row r="374" spans="1:6">
      <c r="A374">
        <v>373</v>
      </c>
      <c r="B374" t="s">
        <v>1297</v>
      </c>
      <c r="C374">
        <v>100000</v>
      </c>
      <c r="D374">
        <v>0</v>
      </c>
      <c r="E374" t="s">
        <v>16642</v>
      </c>
      <c r="F374" s="66"/>
    </row>
    <row r="375" spans="1:6">
      <c r="A375">
        <v>374</v>
      </c>
      <c r="B375" t="s">
        <v>1302</v>
      </c>
      <c r="C375">
        <v>250</v>
      </c>
      <c r="D375">
        <v>750</v>
      </c>
      <c r="E375">
        <v>50</v>
      </c>
      <c r="F375" s="61">
        <v>44936</v>
      </c>
    </row>
    <row r="376" spans="1:6">
      <c r="A376">
        <v>375</v>
      </c>
      <c r="B376" t="s">
        <v>1306</v>
      </c>
      <c r="C376">
        <v>250</v>
      </c>
      <c r="D376">
        <v>750</v>
      </c>
      <c r="E376">
        <v>50</v>
      </c>
      <c r="F376" s="60">
        <v>44931</v>
      </c>
    </row>
    <row r="377" spans="1:6">
      <c r="A377">
        <v>376</v>
      </c>
      <c r="B377" t="s">
        <v>1309</v>
      </c>
      <c r="C377">
        <v>250</v>
      </c>
      <c r="D377">
        <v>750</v>
      </c>
      <c r="E377">
        <v>50</v>
      </c>
      <c r="F377" s="87" t="s">
        <v>16667</v>
      </c>
    </row>
    <row r="378" spans="1:6">
      <c r="A378">
        <v>377</v>
      </c>
      <c r="B378" t="s">
        <v>1312</v>
      </c>
      <c r="C378">
        <v>1000</v>
      </c>
      <c r="D378">
        <v>0</v>
      </c>
      <c r="E378">
        <v>50</v>
      </c>
      <c r="F378" s="71">
        <v>44925</v>
      </c>
    </row>
    <row r="379" ht="15" spans="1:6">
      <c r="A379">
        <v>378</v>
      </c>
      <c r="B379" t="s">
        <v>1315</v>
      </c>
      <c r="C379">
        <v>1500000</v>
      </c>
      <c r="D379">
        <v>0</v>
      </c>
      <c r="E379" t="s">
        <v>16642</v>
      </c>
      <c r="F379" s="81">
        <f>IFERROR(__xludf.DUMMYFUNCTION("""COMPUTED_VALUE"""),45084)</f>
        <v>45084</v>
      </c>
    </row>
    <row r="380" spans="1:6">
      <c r="A380">
        <v>379</v>
      </c>
      <c r="B380" t="s">
        <v>1316</v>
      </c>
      <c r="C380">
        <v>250</v>
      </c>
      <c r="D380">
        <v>750</v>
      </c>
      <c r="E380">
        <v>50</v>
      </c>
      <c r="F380" s="61">
        <v>44898</v>
      </c>
    </row>
    <row r="381" spans="1:6">
      <c r="A381">
        <v>380</v>
      </c>
      <c r="B381" t="s">
        <v>1319</v>
      </c>
      <c r="C381">
        <v>250</v>
      </c>
      <c r="D381">
        <v>750</v>
      </c>
      <c r="E381">
        <v>50</v>
      </c>
      <c r="F381" s="60">
        <v>44928</v>
      </c>
    </row>
    <row r="382" spans="1:6">
      <c r="A382">
        <v>381</v>
      </c>
      <c r="B382" t="s">
        <v>1322</v>
      </c>
      <c r="C382">
        <v>2500</v>
      </c>
      <c r="D382">
        <v>7500</v>
      </c>
      <c r="E382">
        <v>500</v>
      </c>
      <c r="F382" s="77">
        <v>44862</v>
      </c>
    </row>
    <row r="383" spans="1:6">
      <c r="A383">
        <v>382</v>
      </c>
      <c r="B383" t="s">
        <v>1325</v>
      </c>
      <c r="C383">
        <v>250</v>
      </c>
      <c r="D383">
        <v>750</v>
      </c>
      <c r="E383">
        <v>50</v>
      </c>
      <c r="F383" s="75">
        <v>44914</v>
      </c>
    </row>
    <row r="384" spans="1:6">
      <c r="A384">
        <v>383</v>
      </c>
      <c r="B384" t="s">
        <v>1329</v>
      </c>
      <c r="C384">
        <v>250</v>
      </c>
      <c r="D384">
        <v>750</v>
      </c>
      <c r="E384">
        <v>50</v>
      </c>
      <c r="F384" s="61">
        <v>44901</v>
      </c>
    </row>
    <row r="385" spans="1:6">
      <c r="A385">
        <v>384</v>
      </c>
      <c r="B385" t="s">
        <v>1332</v>
      </c>
      <c r="C385">
        <v>100000</v>
      </c>
      <c r="D385">
        <v>0</v>
      </c>
      <c r="E385">
        <v>5000</v>
      </c>
      <c r="F385" s="64" t="s">
        <v>16641</v>
      </c>
    </row>
    <row r="386" spans="1:6">
      <c r="A386">
        <v>385</v>
      </c>
      <c r="B386" t="s">
        <v>1336</v>
      </c>
      <c r="C386">
        <v>250</v>
      </c>
      <c r="D386">
        <v>750</v>
      </c>
      <c r="E386">
        <v>50</v>
      </c>
      <c r="F386" s="73">
        <v>44960</v>
      </c>
    </row>
    <row r="387" spans="1:6">
      <c r="A387">
        <v>386</v>
      </c>
      <c r="B387" t="s">
        <v>1339</v>
      </c>
      <c r="C387">
        <v>500</v>
      </c>
      <c r="D387">
        <v>500</v>
      </c>
      <c r="E387">
        <v>50</v>
      </c>
      <c r="F387" s="61">
        <v>44989</v>
      </c>
    </row>
    <row r="388" spans="1:6">
      <c r="A388">
        <v>387</v>
      </c>
      <c r="B388" t="s">
        <v>1342</v>
      </c>
      <c r="C388">
        <v>250</v>
      </c>
      <c r="D388">
        <v>750</v>
      </c>
      <c r="E388">
        <v>50</v>
      </c>
      <c r="F388" s="61">
        <v>44872</v>
      </c>
    </row>
    <row r="389" spans="1:6">
      <c r="A389">
        <v>388</v>
      </c>
      <c r="B389" t="s">
        <v>1346</v>
      </c>
      <c r="C389">
        <v>250</v>
      </c>
      <c r="D389">
        <v>750</v>
      </c>
      <c r="E389">
        <v>50</v>
      </c>
      <c r="F389" s="61">
        <v>44865</v>
      </c>
    </row>
    <row r="390" spans="1:6">
      <c r="A390">
        <v>389</v>
      </c>
      <c r="B390" t="s">
        <v>1350</v>
      </c>
      <c r="C390">
        <v>250</v>
      </c>
      <c r="D390">
        <v>750</v>
      </c>
      <c r="E390">
        <v>50</v>
      </c>
      <c r="F390" s="60">
        <v>44853</v>
      </c>
    </row>
    <row r="391" spans="1:6">
      <c r="A391">
        <v>390</v>
      </c>
      <c r="B391" t="s">
        <v>1353</v>
      </c>
      <c r="C391">
        <v>1000</v>
      </c>
      <c r="D391">
        <v>0</v>
      </c>
      <c r="E391">
        <v>50</v>
      </c>
      <c r="F391" s="69">
        <v>44975</v>
      </c>
    </row>
    <row r="392" spans="1:6">
      <c r="A392">
        <v>391</v>
      </c>
      <c r="B392" t="s">
        <v>1357</v>
      </c>
      <c r="C392">
        <v>250</v>
      </c>
      <c r="D392">
        <v>750</v>
      </c>
      <c r="E392">
        <v>50</v>
      </c>
      <c r="F392" s="73">
        <v>44959</v>
      </c>
    </row>
    <row r="393" spans="1:6">
      <c r="A393">
        <v>392</v>
      </c>
      <c r="B393" t="s">
        <v>1360</v>
      </c>
      <c r="C393">
        <v>250</v>
      </c>
      <c r="D393">
        <v>750</v>
      </c>
      <c r="E393">
        <v>50</v>
      </c>
      <c r="F393" s="73">
        <v>44932</v>
      </c>
    </row>
    <row r="394" spans="1:6">
      <c r="A394">
        <v>393</v>
      </c>
      <c r="B394" t="s">
        <v>1364</v>
      </c>
      <c r="C394">
        <v>250</v>
      </c>
      <c r="D394">
        <v>750</v>
      </c>
      <c r="E394">
        <v>50</v>
      </c>
      <c r="F394" s="61">
        <v>44869</v>
      </c>
    </row>
    <row r="395" spans="1:6">
      <c r="A395">
        <v>394</v>
      </c>
      <c r="B395" t="s">
        <v>1367</v>
      </c>
      <c r="C395">
        <v>250</v>
      </c>
      <c r="D395">
        <v>750</v>
      </c>
      <c r="E395">
        <v>50</v>
      </c>
      <c r="F395" s="73">
        <v>44931</v>
      </c>
    </row>
    <row r="396" spans="1:6">
      <c r="A396">
        <v>395</v>
      </c>
      <c r="B396" t="s">
        <v>1370</v>
      </c>
      <c r="C396">
        <v>100000</v>
      </c>
      <c r="D396">
        <v>0</v>
      </c>
      <c r="E396" t="s">
        <v>16642</v>
      </c>
      <c r="F396" s="66"/>
    </row>
    <row r="397" spans="1:6">
      <c r="A397">
        <v>396</v>
      </c>
      <c r="B397" t="s">
        <v>1375</v>
      </c>
      <c r="C397">
        <v>250</v>
      </c>
      <c r="D397">
        <v>750</v>
      </c>
      <c r="E397">
        <v>50</v>
      </c>
      <c r="F397" s="61">
        <v>44926</v>
      </c>
    </row>
    <row r="398" spans="1:6">
      <c r="A398">
        <v>397</v>
      </c>
      <c r="B398" t="s">
        <v>1378</v>
      </c>
      <c r="C398">
        <v>500</v>
      </c>
      <c r="D398">
        <v>500</v>
      </c>
      <c r="E398">
        <v>50</v>
      </c>
      <c r="F398" s="79">
        <v>44917</v>
      </c>
    </row>
    <row r="399" spans="1:6">
      <c r="A399">
        <v>398</v>
      </c>
      <c r="B399" t="s">
        <v>1381</v>
      </c>
      <c r="C399">
        <v>250</v>
      </c>
      <c r="D399">
        <v>750</v>
      </c>
      <c r="E399">
        <v>50</v>
      </c>
      <c r="F399" s="61">
        <v>44866</v>
      </c>
    </row>
    <row r="400" spans="1:6">
      <c r="A400">
        <v>399</v>
      </c>
      <c r="B400" t="s">
        <v>1384</v>
      </c>
      <c r="C400">
        <v>250</v>
      </c>
      <c r="D400">
        <v>750</v>
      </c>
      <c r="E400">
        <v>50</v>
      </c>
      <c r="F400" s="60" t="s">
        <v>16668</v>
      </c>
    </row>
    <row r="401" spans="1:6">
      <c r="A401">
        <v>400</v>
      </c>
      <c r="B401" t="s">
        <v>1388</v>
      </c>
      <c r="C401">
        <v>12000</v>
      </c>
      <c r="D401">
        <v>0</v>
      </c>
      <c r="E401">
        <v>600</v>
      </c>
      <c r="F401" s="77">
        <v>44866</v>
      </c>
    </row>
    <row r="402" spans="1:6">
      <c r="A402">
        <v>401</v>
      </c>
      <c r="B402" t="s">
        <v>1391</v>
      </c>
      <c r="C402">
        <v>250</v>
      </c>
      <c r="D402">
        <v>750</v>
      </c>
      <c r="E402">
        <v>50</v>
      </c>
      <c r="F402" s="60">
        <v>44880</v>
      </c>
    </row>
    <row r="403" spans="1:6">
      <c r="A403">
        <v>402</v>
      </c>
      <c r="B403" t="s">
        <v>1396</v>
      </c>
      <c r="C403">
        <v>250</v>
      </c>
      <c r="D403">
        <v>750</v>
      </c>
      <c r="E403">
        <v>50</v>
      </c>
      <c r="F403" s="60">
        <v>45026</v>
      </c>
    </row>
    <row r="404" spans="1:6">
      <c r="A404">
        <v>403</v>
      </c>
      <c r="B404" t="s">
        <v>1399</v>
      </c>
      <c r="C404">
        <v>250</v>
      </c>
      <c r="D404">
        <v>750</v>
      </c>
      <c r="E404">
        <v>50</v>
      </c>
      <c r="F404" s="61">
        <v>44865</v>
      </c>
    </row>
    <row r="405" spans="1:6">
      <c r="A405">
        <v>404</v>
      </c>
      <c r="B405" t="s">
        <v>1402</v>
      </c>
      <c r="C405">
        <v>250</v>
      </c>
      <c r="D405">
        <v>750</v>
      </c>
      <c r="E405">
        <v>50</v>
      </c>
      <c r="F405" s="61">
        <v>44901</v>
      </c>
    </row>
    <row r="406" spans="1:6">
      <c r="A406">
        <v>405</v>
      </c>
      <c r="B406" t="s">
        <v>1405</v>
      </c>
      <c r="C406">
        <v>250</v>
      </c>
      <c r="D406">
        <v>750</v>
      </c>
      <c r="E406">
        <v>50</v>
      </c>
      <c r="F406" s="100" t="s">
        <v>16669</v>
      </c>
    </row>
    <row r="407" spans="1:6">
      <c r="A407">
        <v>406</v>
      </c>
      <c r="B407" t="s">
        <v>1408</v>
      </c>
      <c r="C407">
        <v>250</v>
      </c>
      <c r="D407">
        <v>750</v>
      </c>
      <c r="E407">
        <v>50</v>
      </c>
      <c r="F407" s="73">
        <v>44943</v>
      </c>
    </row>
    <row r="408" spans="1:6">
      <c r="A408">
        <v>407</v>
      </c>
      <c r="B408" t="s">
        <v>1411</v>
      </c>
      <c r="C408">
        <v>10000</v>
      </c>
      <c r="D408">
        <v>30000</v>
      </c>
      <c r="E408">
        <v>2000</v>
      </c>
      <c r="F408" s="77">
        <v>44893</v>
      </c>
    </row>
    <row r="409" spans="1:6">
      <c r="A409">
        <v>408</v>
      </c>
      <c r="B409" t="s">
        <v>1414</v>
      </c>
      <c r="C409">
        <v>250</v>
      </c>
      <c r="D409">
        <v>750</v>
      </c>
      <c r="E409">
        <v>50</v>
      </c>
      <c r="F409" s="60">
        <v>44862</v>
      </c>
    </row>
    <row r="410" spans="1:6">
      <c r="A410">
        <v>409</v>
      </c>
      <c r="B410" t="s">
        <v>1417</v>
      </c>
      <c r="C410">
        <v>250</v>
      </c>
      <c r="D410">
        <v>750</v>
      </c>
      <c r="E410">
        <v>50</v>
      </c>
      <c r="F410" s="61">
        <v>44919</v>
      </c>
    </row>
    <row r="411" spans="1:6">
      <c r="A411">
        <v>410</v>
      </c>
      <c r="B411" t="s">
        <v>1420</v>
      </c>
      <c r="C411">
        <v>250</v>
      </c>
      <c r="D411">
        <v>750</v>
      </c>
      <c r="E411">
        <v>50</v>
      </c>
      <c r="F411" s="60">
        <v>44873</v>
      </c>
    </row>
    <row r="412" spans="1:6">
      <c r="A412">
        <v>411</v>
      </c>
      <c r="B412" t="s">
        <v>1423</v>
      </c>
      <c r="C412">
        <v>250</v>
      </c>
      <c r="D412">
        <v>750</v>
      </c>
      <c r="E412">
        <v>50</v>
      </c>
      <c r="F412" s="72">
        <v>44880</v>
      </c>
    </row>
    <row r="413" spans="1:6">
      <c r="A413">
        <v>412</v>
      </c>
      <c r="B413" t="s">
        <v>1427</v>
      </c>
      <c r="C413">
        <v>250</v>
      </c>
      <c r="D413">
        <v>750</v>
      </c>
      <c r="E413">
        <v>50</v>
      </c>
      <c r="F413" s="61">
        <v>44999</v>
      </c>
    </row>
    <row r="414" spans="1:6">
      <c r="A414">
        <v>413</v>
      </c>
      <c r="B414" t="s">
        <v>1430</v>
      </c>
      <c r="C414">
        <v>500</v>
      </c>
      <c r="D414">
        <v>1500</v>
      </c>
      <c r="E414">
        <v>100</v>
      </c>
      <c r="F414" s="61">
        <v>44844</v>
      </c>
    </row>
    <row r="415" spans="1:6">
      <c r="A415">
        <v>414</v>
      </c>
      <c r="B415" t="s">
        <v>1433</v>
      </c>
      <c r="C415">
        <v>250</v>
      </c>
      <c r="D415">
        <v>750</v>
      </c>
      <c r="E415">
        <v>50</v>
      </c>
      <c r="F415" s="69">
        <v>44975</v>
      </c>
    </row>
    <row r="416" spans="1:6">
      <c r="A416">
        <v>415</v>
      </c>
      <c r="B416" t="s">
        <v>1437</v>
      </c>
      <c r="C416">
        <v>500</v>
      </c>
      <c r="D416">
        <v>500</v>
      </c>
      <c r="E416">
        <v>50</v>
      </c>
      <c r="F416" s="75">
        <v>44847</v>
      </c>
    </row>
    <row r="417" spans="1:6">
      <c r="A417">
        <v>416</v>
      </c>
      <c r="B417" t="s">
        <v>1441</v>
      </c>
      <c r="C417">
        <v>5000</v>
      </c>
      <c r="D417">
        <v>15000</v>
      </c>
      <c r="E417">
        <v>1000</v>
      </c>
      <c r="F417" s="61">
        <v>44853</v>
      </c>
    </row>
    <row r="418" spans="1:6">
      <c r="A418">
        <v>417</v>
      </c>
      <c r="B418" t="s">
        <v>1444</v>
      </c>
      <c r="C418">
        <v>250</v>
      </c>
      <c r="D418">
        <v>750</v>
      </c>
      <c r="E418">
        <v>50</v>
      </c>
      <c r="F418" s="61">
        <v>44881</v>
      </c>
    </row>
    <row r="419" spans="1:6">
      <c r="A419">
        <v>418</v>
      </c>
      <c r="B419" t="s">
        <v>1448</v>
      </c>
      <c r="C419">
        <v>500</v>
      </c>
      <c r="D419">
        <v>500</v>
      </c>
      <c r="E419">
        <v>50</v>
      </c>
      <c r="F419" s="75">
        <v>44908</v>
      </c>
    </row>
    <row r="420" spans="1:6">
      <c r="A420">
        <v>419</v>
      </c>
      <c r="B420" t="s">
        <v>1451</v>
      </c>
      <c r="C420">
        <v>250</v>
      </c>
      <c r="D420">
        <v>750</v>
      </c>
      <c r="E420">
        <v>50</v>
      </c>
      <c r="F420" s="60">
        <v>44851</v>
      </c>
    </row>
    <row r="421" spans="1:6">
      <c r="A421">
        <v>420</v>
      </c>
      <c r="B421" t="s">
        <v>1454</v>
      </c>
      <c r="C421">
        <v>1000</v>
      </c>
      <c r="D421">
        <v>0</v>
      </c>
      <c r="E421">
        <v>50</v>
      </c>
      <c r="F421" s="65">
        <v>44516</v>
      </c>
    </row>
    <row r="422" spans="1:6">
      <c r="A422">
        <v>421</v>
      </c>
      <c r="B422" t="s">
        <v>1459</v>
      </c>
      <c r="C422">
        <v>250</v>
      </c>
      <c r="D422">
        <v>750</v>
      </c>
      <c r="E422">
        <v>50</v>
      </c>
      <c r="F422" s="60">
        <v>44931</v>
      </c>
    </row>
    <row r="423" spans="1:6">
      <c r="A423">
        <v>422</v>
      </c>
      <c r="B423" t="s">
        <v>1463</v>
      </c>
      <c r="C423">
        <v>250</v>
      </c>
      <c r="D423">
        <v>750</v>
      </c>
      <c r="E423">
        <v>50</v>
      </c>
      <c r="F423" s="75">
        <v>44854</v>
      </c>
    </row>
    <row r="424" ht="31.5" spans="1:6">
      <c r="A424">
        <v>423</v>
      </c>
      <c r="B424" t="s">
        <v>1467</v>
      </c>
      <c r="C424">
        <v>200000</v>
      </c>
      <c r="D424">
        <v>0</v>
      </c>
      <c r="E424" t="s">
        <v>16642</v>
      </c>
      <c r="F424" s="96" t="s">
        <v>16670</v>
      </c>
    </row>
    <row r="425" spans="1:6">
      <c r="A425">
        <v>424</v>
      </c>
      <c r="B425" t="s">
        <v>1467</v>
      </c>
      <c r="C425">
        <v>100000</v>
      </c>
      <c r="D425">
        <v>0</v>
      </c>
      <c r="E425" t="s">
        <v>16642</v>
      </c>
      <c r="F425" s="85"/>
    </row>
    <row r="426" spans="1:6">
      <c r="A426">
        <v>425</v>
      </c>
      <c r="B426" t="s">
        <v>1472</v>
      </c>
      <c r="C426">
        <v>250</v>
      </c>
      <c r="D426">
        <v>750</v>
      </c>
      <c r="E426">
        <v>50</v>
      </c>
      <c r="F426" s="73">
        <v>44944</v>
      </c>
    </row>
    <row r="427" spans="1:6">
      <c r="A427">
        <v>426</v>
      </c>
      <c r="B427" t="s">
        <v>1475</v>
      </c>
      <c r="C427">
        <v>250</v>
      </c>
      <c r="D427">
        <v>750</v>
      </c>
      <c r="E427">
        <v>50</v>
      </c>
      <c r="F427" s="60">
        <v>44873</v>
      </c>
    </row>
    <row r="428" spans="1:6">
      <c r="A428">
        <v>427</v>
      </c>
      <c r="B428" t="s">
        <v>1478</v>
      </c>
      <c r="C428">
        <v>1000</v>
      </c>
      <c r="D428">
        <v>0</v>
      </c>
      <c r="E428">
        <v>50</v>
      </c>
      <c r="F428" s="60">
        <v>44901</v>
      </c>
    </row>
    <row r="429" spans="1:6">
      <c r="A429">
        <v>428</v>
      </c>
      <c r="B429" t="s">
        <v>1481</v>
      </c>
      <c r="C429">
        <v>25000</v>
      </c>
      <c r="D429">
        <v>75000</v>
      </c>
      <c r="E429">
        <v>5000</v>
      </c>
      <c r="F429" s="77">
        <v>44803</v>
      </c>
    </row>
    <row r="430" spans="1:6">
      <c r="A430">
        <v>429</v>
      </c>
      <c r="B430" t="s">
        <v>1484</v>
      </c>
      <c r="C430">
        <v>250</v>
      </c>
      <c r="D430">
        <v>750</v>
      </c>
      <c r="E430">
        <v>50</v>
      </c>
      <c r="F430" s="61">
        <v>45014</v>
      </c>
    </row>
    <row r="431" spans="1:6">
      <c r="A431">
        <v>430</v>
      </c>
      <c r="B431" t="s">
        <v>1487</v>
      </c>
      <c r="C431">
        <v>7500</v>
      </c>
      <c r="D431">
        <v>2500</v>
      </c>
      <c r="E431">
        <v>500</v>
      </c>
      <c r="F431" s="77">
        <v>44834</v>
      </c>
    </row>
    <row r="432" spans="1:6">
      <c r="A432">
        <v>431</v>
      </c>
      <c r="B432" t="s">
        <v>1490</v>
      </c>
      <c r="C432">
        <v>250</v>
      </c>
      <c r="D432">
        <v>750</v>
      </c>
      <c r="E432">
        <v>50</v>
      </c>
      <c r="F432" s="60">
        <v>44807</v>
      </c>
    </row>
    <row r="433" spans="1:6">
      <c r="A433">
        <v>432</v>
      </c>
      <c r="B433" t="s">
        <v>1493</v>
      </c>
      <c r="C433">
        <v>1250</v>
      </c>
      <c r="D433">
        <v>3750</v>
      </c>
      <c r="E433">
        <v>250</v>
      </c>
      <c r="F433" s="61">
        <v>44828</v>
      </c>
    </row>
    <row r="434" spans="1:6">
      <c r="A434">
        <v>433</v>
      </c>
      <c r="B434" t="s">
        <v>1497</v>
      </c>
      <c r="C434">
        <v>250</v>
      </c>
      <c r="D434">
        <v>750</v>
      </c>
      <c r="E434">
        <v>50</v>
      </c>
      <c r="F434" s="61">
        <v>44860</v>
      </c>
    </row>
    <row r="435" spans="1:6">
      <c r="A435">
        <v>434</v>
      </c>
      <c r="B435" t="s">
        <v>1500</v>
      </c>
      <c r="C435">
        <v>250</v>
      </c>
      <c r="D435">
        <v>750</v>
      </c>
      <c r="E435">
        <v>50</v>
      </c>
      <c r="F435" s="60">
        <v>44973</v>
      </c>
    </row>
    <row r="436" spans="1:6">
      <c r="A436">
        <v>435</v>
      </c>
      <c r="B436" t="s">
        <v>1503</v>
      </c>
      <c r="C436">
        <v>250</v>
      </c>
      <c r="D436">
        <v>750</v>
      </c>
      <c r="E436">
        <v>50</v>
      </c>
      <c r="F436" s="61">
        <v>44807</v>
      </c>
    </row>
    <row r="437" spans="1:6">
      <c r="A437">
        <v>436</v>
      </c>
      <c r="B437" t="s">
        <v>1506</v>
      </c>
      <c r="C437">
        <v>50000</v>
      </c>
      <c r="D437">
        <v>0</v>
      </c>
      <c r="E437">
        <v>500</v>
      </c>
      <c r="F437" s="65">
        <v>44704</v>
      </c>
    </row>
    <row r="438" spans="1:6">
      <c r="A438">
        <v>437</v>
      </c>
      <c r="B438" t="s">
        <v>1510</v>
      </c>
      <c r="C438">
        <v>250</v>
      </c>
      <c r="D438">
        <v>750</v>
      </c>
      <c r="E438">
        <v>50</v>
      </c>
      <c r="F438" s="61">
        <v>44841</v>
      </c>
    </row>
    <row r="439" spans="1:6">
      <c r="A439">
        <v>438</v>
      </c>
      <c r="B439" t="s">
        <v>1514</v>
      </c>
      <c r="C439">
        <v>2500</v>
      </c>
      <c r="D439">
        <v>7500</v>
      </c>
      <c r="E439">
        <v>500</v>
      </c>
      <c r="F439" s="64" t="s">
        <v>16671</v>
      </c>
    </row>
    <row r="440" spans="1:6">
      <c r="A440">
        <v>439</v>
      </c>
      <c r="B440" t="s">
        <v>1518</v>
      </c>
      <c r="C440">
        <v>10000</v>
      </c>
      <c r="D440">
        <v>0</v>
      </c>
      <c r="E440">
        <v>500</v>
      </c>
      <c r="F440" s="67">
        <v>44540</v>
      </c>
    </row>
    <row r="441" spans="1:6">
      <c r="A441">
        <v>440</v>
      </c>
      <c r="B441" t="s">
        <v>1521</v>
      </c>
      <c r="C441">
        <v>250</v>
      </c>
      <c r="D441">
        <v>750</v>
      </c>
      <c r="E441">
        <v>50</v>
      </c>
      <c r="F441" s="60">
        <v>44910</v>
      </c>
    </row>
    <row r="442" spans="1:6">
      <c r="A442">
        <v>441</v>
      </c>
      <c r="B442" t="s">
        <v>1525</v>
      </c>
      <c r="C442">
        <v>1000000</v>
      </c>
      <c r="D442">
        <v>500000</v>
      </c>
      <c r="E442" t="s">
        <v>16642</v>
      </c>
      <c r="F442" s="80">
        <f>IFERROR(__xludf.DUMMYFUNCTION("""COMPUTED_VALUE"""),45080)</f>
        <v>45080</v>
      </c>
    </row>
    <row r="443" spans="1:6">
      <c r="A443">
        <v>442</v>
      </c>
      <c r="B443" t="s">
        <v>1526</v>
      </c>
      <c r="C443">
        <v>550</v>
      </c>
      <c r="D443">
        <v>450</v>
      </c>
      <c r="E443">
        <v>50</v>
      </c>
      <c r="F443" s="60">
        <v>44974</v>
      </c>
    </row>
    <row r="444" ht="15" spans="1:6">
      <c r="A444">
        <v>443</v>
      </c>
      <c r="B444" t="s">
        <v>1529</v>
      </c>
      <c r="C444">
        <v>1000000</v>
      </c>
      <c r="D444">
        <v>500000</v>
      </c>
      <c r="E444" t="s">
        <v>16642</v>
      </c>
      <c r="F444" s="81">
        <f>IFERROR(__xludf.DUMMYFUNCTION("""COMPUTED_VALUE"""),45083)</f>
        <v>45083</v>
      </c>
    </row>
    <row r="445" spans="1:6">
      <c r="A445">
        <v>444</v>
      </c>
      <c r="B445" t="s">
        <v>1530</v>
      </c>
      <c r="C445">
        <v>100000</v>
      </c>
      <c r="D445">
        <v>0</v>
      </c>
      <c r="E445" t="s">
        <v>16642</v>
      </c>
      <c r="F445" s="66" t="s">
        <v>16672</v>
      </c>
    </row>
    <row r="446" spans="1:6">
      <c r="A446">
        <v>445</v>
      </c>
      <c r="B446" t="s">
        <v>1535</v>
      </c>
      <c r="C446">
        <v>250</v>
      </c>
      <c r="D446">
        <v>750</v>
      </c>
      <c r="E446">
        <v>50</v>
      </c>
      <c r="F446" s="60">
        <v>44905</v>
      </c>
    </row>
    <row r="447" spans="1:6">
      <c r="A447">
        <v>446</v>
      </c>
      <c r="B447" t="s">
        <v>1539</v>
      </c>
      <c r="C447">
        <v>250</v>
      </c>
      <c r="D447">
        <v>750</v>
      </c>
      <c r="E447">
        <v>50</v>
      </c>
      <c r="F447" s="72">
        <v>44867</v>
      </c>
    </row>
    <row r="448" spans="1:6">
      <c r="A448">
        <v>447</v>
      </c>
      <c r="B448" t="s">
        <v>1543</v>
      </c>
      <c r="C448">
        <v>250</v>
      </c>
      <c r="D448">
        <v>750</v>
      </c>
      <c r="E448">
        <v>50</v>
      </c>
      <c r="F448" s="73">
        <v>44866</v>
      </c>
    </row>
    <row r="449" spans="1:6">
      <c r="A449">
        <v>448</v>
      </c>
      <c r="B449" t="s">
        <v>1546</v>
      </c>
      <c r="C449">
        <v>10000</v>
      </c>
      <c r="D449">
        <v>0</v>
      </c>
      <c r="E449">
        <v>500</v>
      </c>
      <c r="F449" s="64" t="s">
        <v>16673</v>
      </c>
    </row>
    <row r="450" spans="1:6">
      <c r="A450">
        <v>449</v>
      </c>
      <c r="B450" t="s">
        <v>1550</v>
      </c>
      <c r="C450">
        <v>250</v>
      </c>
      <c r="D450">
        <v>750</v>
      </c>
      <c r="E450">
        <v>50</v>
      </c>
      <c r="F450" s="60">
        <v>44844</v>
      </c>
    </row>
    <row r="451" spans="1:6">
      <c r="A451">
        <v>450</v>
      </c>
      <c r="B451" t="s">
        <v>1553</v>
      </c>
      <c r="C451">
        <v>10000</v>
      </c>
      <c r="D451">
        <v>0</v>
      </c>
      <c r="E451">
        <v>500</v>
      </c>
      <c r="F451" s="64" t="s">
        <v>16673</v>
      </c>
    </row>
    <row r="452" spans="1:6">
      <c r="A452">
        <v>451</v>
      </c>
      <c r="B452" t="s">
        <v>1557</v>
      </c>
      <c r="C452">
        <v>10000</v>
      </c>
      <c r="D452">
        <v>0</v>
      </c>
      <c r="E452">
        <v>500</v>
      </c>
      <c r="F452" s="64" t="s">
        <v>16673</v>
      </c>
    </row>
    <row r="453" spans="1:6">
      <c r="A453">
        <v>452</v>
      </c>
      <c r="B453" t="s">
        <v>1561</v>
      </c>
      <c r="C453">
        <v>8000</v>
      </c>
      <c r="D453">
        <v>0</v>
      </c>
      <c r="E453">
        <v>400</v>
      </c>
      <c r="F453" s="77">
        <v>44805</v>
      </c>
    </row>
    <row r="454" spans="1:6">
      <c r="A454">
        <v>453</v>
      </c>
      <c r="B454" t="s">
        <v>1564</v>
      </c>
      <c r="C454">
        <v>2500</v>
      </c>
      <c r="D454">
        <v>7500</v>
      </c>
      <c r="E454">
        <v>500</v>
      </c>
      <c r="F454" s="77">
        <v>44796</v>
      </c>
    </row>
    <row r="455" spans="1:6">
      <c r="A455">
        <v>454</v>
      </c>
      <c r="B455" t="s">
        <v>1567</v>
      </c>
      <c r="C455">
        <v>250</v>
      </c>
      <c r="D455">
        <v>750</v>
      </c>
      <c r="E455">
        <v>50</v>
      </c>
      <c r="F455" s="61">
        <v>44924</v>
      </c>
    </row>
    <row r="456" spans="1:6">
      <c r="A456">
        <v>455</v>
      </c>
      <c r="B456" t="s">
        <v>1570</v>
      </c>
      <c r="C456">
        <v>250</v>
      </c>
      <c r="D456">
        <v>750</v>
      </c>
      <c r="E456">
        <v>50</v>
      </c>
      <c r="F456" s="70">
        <v>44846</v>
      </c>
    </row>
    <row r="457" spans="1:6">
      <c r="A457">
        <v>456</v>
      </c>
      <c r="B457" t="s">
        <v>1573</v>
      </c>
      <c r="C457">
        <v>250</v>
      </c>
      <c r="D457">
        <v>750</v>
      </c>
      <c r="E457">
        <v>50</v>
      </c>
      <c r="F457" s="60">
        <v>44891</v>
      </c>
    </row>
    <row r="458" spans="1:6">
      <c r="A458">
        <v>457</v>
      </c>
      <c r="B458" t="s">
        <v>1577</v>
      </c>
      <c r="C458">
        <v>100000</v>
      </c>
      <c r="D458">
        <v>0</v>
      </c>
      <c r="E458" t="s">
        <v>16642</v>
      </c>
      <c r="F458" s="82">
        <v>44783</v>
      </c>
    </row>
    <row r="459" spans="1:6">
      <c r="A459">
        <v>458</v>
      </c>
      <c r="B459" t="s">
        <v>1582</v>
      </c>
      <c r="C459">
        <v>1000</v>
      </c>
      <c r="D459">
        <v>0</v>
      </c>
      <c r="E459">
        <v>50</v>
      </c>
      <c r="F459" s="73">
        <v>44960</v>
      </c>
    </row>
    <row r="460" spans="1:6">
      <c r="A460">
        <v>459</v>
      </c>
      <c r="B460" t="s">
        <v>1586</v>
      </c>
      <c r="C460">
        <v>1000</v>
      </c>
      <c r="D460">
        <v>0</v>
      </c>
      <c r="E460">
        <v>50</v>
      </c>
      <c r="F460" s="60">
        <v>44844</v>
      </c>
    </row>
    <row r="461" spans="1:6">
      <c r="A461">
        <v>460</v>
      </c>
      <c r="B461" t="s">
        <v>1590</v>
      </c>
      <c r="C461">
        <v>250</v>
      </c>
      <c r="D461">
        <v>750</v>
      </c>
      <c r="E461">
        <v>50</v>
      </c>
      <c r="F461" s="61">
        <v>44880</v>
      </c>
    </row>
    <row r="462" spans="1:6">
      <c r="A462">
        <v>461</v>
      </c>
      <c r="B462" t="s">
        <v>1594</v>
      </c>
      <c r="C462">
        <v>50000</v>
      </c>
      <c r="D462">
        <v>0</v>
      </c>
      <c r="F462" s="65">
        <v>44307</v>
      </c>
    </row>
    <row r="463" spans="1:6">
      <c r="A463">
        <v>462</v>
      </c>
      <c r="B463" t="s">
        <v>1599</v>
      </c>
      <c r="C463">
        <v>250</v>
      </c>
      <c r="D463">
        <v>750</v>
      </c>
      <c r="E463">
        <v>50</v>
      </c>
      <c r="F463" s="72">
        <v>44853</v>
      </c>
    </row>
    <row r="464" spans="1:6">
      <c r="A464">
        <v>463</v>
      </c>
      <c r="B464" t="s">
        <v>1602</v>
      </c>
      <c r="C464">
        <v>250</v>
      </c>
      <c r="D464">
        <v>750</v>
      </c>
      <c r="E464">
        <v>50</v>
      </c>
      <c r="F464" s="60">
        <v>44936</v>
      </c>
    </row>
    <row r="465" spans="1:6">
      <c r="A465">
        <v>464</v>
      </c>
      <c r="B465" t="s">
        <v>1606</v>
      </c>
      <c r="C465">
        <v>250</v>
      </c>
      <c r="D465">
        <v>750</v>
      </c>
      <c r="E465">
        <v>50</v>
      </c>
      <c r="F465" s="60">
        <v>44914</v>
      </c>
    </row>
    <row r="466" spans="1:6">
      <c r="A466">
        <v>465</v>
      </c>
      <c r="B466" t="s">
        <v>1610</v>
      </c>
      <c r="C466">
        <v>250</v>
      </c>
      <c r="D466">
        <v>750</v>
      </c>
      <c r="E466">
        <v>50</v>
      </c>
      <c r="F466" s="69">
        <v>44988</v>
      </c>
    </row>
    <row r="467" spans="1:6">
      <c r="A467">
        <v>466</v>
      </c>
      <c r="B467" t="s">
        <v>1613</v>
      </c>
      <c r="C467">
        <v>250</v>
      </c>
      <c r="D467">
        <v>750</v>
      </c>
      <c r="E467">
        <v>50</v>
      </c>
      <c r="F467" s="60">
        <v>44876</v>
      </c>
    </row>
    <row r="468" spans="1:6">
      <c r="A468">
        <v>467</v>
      </c>
      <c r="B468" t="s">
        <v>1616</v>
      </c>
      <c r="C468">
        <v>10000</v>
      </c>
      <c r="D468">
        <v>30000</v>
      </c>
      <c r="E468">
        <v>2000</v>
      </c>
      <c r="F468" s="103">
        <v>44757</v>
      </c>
    </row>
    <row r="469" spans="1:6">
      <c r="A469">
        <v>468</v>
      </c>
      <c r="B469" t="s">
        <v>1616</v>
      </c>
      <c r="C469">
        <v>100000</v>
      </c>
      <c r="D469">
        <v>0</v>
      </c>
      <c r="E469" t="s">
        <v>16642</v>
      </c>
      <c r="F469" s="89" t="s">
        <v>16674</v>
      </c>
    </row>
    <row r="470" spans="1:6">
      <c r="A470">
        <v>469</v>
      </c>
      <c r="B470" t="s">
        <v>1620</v>
      </c>
      <c r="C470">
        <v>1000</v>
      </c>
      <c r="D470">
        <v>0</v>
      </c>
      <c r="E470">
        <v>50</v>
      </c>
      <c r="F470" s="73">
        <v>44967</v>
      </c>
    </row>
    <row r="471" spans="1:6">
      <c r="A471">
        <v>470</v>
      </c>
      <c r="B471" t="s">
        <v>1624</v>
      </c>
      <c r="C471">
        <v>1000</v>
      </c>
      <c r="D471">
        <v>0</v>
      </c>
      <c r="E471">
        <v>50</v>
      </c>
      <c r="F471" s="65">
        <v>44705</v>
      </c>
    </row>
    <row r="472" spans="1:6">
      <c r="A472">
        <v>471</v>
      </c>
      <c r="B472" t="s">
        <v>1628</v>
      </c>
      <c r="C472">
        <v>250</v>
      </c>
      <c r="D472">
        <v>750</v>
      </c>
      <c r="E472">
        <v>50</v>
      </c>
      <c r="F472" s="69">
        <v>44978</v>
      </c>
    </row>
    <row r="473" spans="1:6">
      <c r="A473">
        <v>472</v>
      </c>
      <c r="B473" t="s">
        <v>1631</v>
      </c>
      <c r="C473">
        <v>250</v>
      </c>
      <c r="D473">
        <v>750</v>
      </c>
      <c r="E473">
        <v>50</v>
      </c>
      <c r="F473" s="61">
        <v>44986</v>
      </c>
    </row>
    <row r="474" spans="1:6">
      <c r="A474">
        <v>473</v>
      </c>
      <c r="B474" t="s">
        <v>1635</v>
      </c>
      <c r="C474">
        <v>1000</v>
      </c>
      <c r="D474">
        <v>0</v>
      </c>
      <c r="E474">
        <v>50</v>
      </c>
      <c r="F474" s="73">
        <v>44914</v>
      </c>
    </row>
    <row r="475" spans="1:6">
      <c r="A475">
        <v>474</v>
      </c>
      <c r="B475" t="s">
        <v>1639</v>
      </c>
      <c r="C475">
        <v>1000</v>
      </c>
      <c r="D475">
        <v>0</v>
      </c>
      <c r="E475">
        <v>50</v>
      </c>
      <c r="F475" s="61">
        <v>44911</v>
      </c>
    </row>
    <row r="476" spans="1:6">
      <c r="A476">
        <v>475</v>
      </c>
      <c r="B476" t="s">
        <v>1643</v>
      </c>
      <c r="C476">
        <v>0</v>
      </c>
      <c r="D476">
        <v>1000</v>
      </c>
      <c r="E476">
        <v>50</v>
      </c>
      <c r="F476" s="69">
        <v>45093</v>
      </c>
    </row>
    <row r="477" spans="1:6">
      <c r="A477">
        <v>476</v>
      </c>
      <c r="B477" t="s">
        <v>1647</v>
      </c>
      <c r="C477">
        <v>250</v>
      </c>
      <c r="D477">
        <v>750</v>
      </c>
      <c r="E477">
        <v>50</v>
      </c>
      <c r="F477" s="72">
        <v>44691</v>
      </c>
    </row>
    <row r="478" spans="1:6">
      <c r="A478">
        <v>477</v>
      </c>
      <c r="B478" t="s">
        <v>1650</v>
      </c>
      <c r="C478">
        <v>250</v>
      </c>
      <c r="D478">
        <v>750</v>
      </c>
      <c r="E478">
        <v>50</v>
      </c>
      <c r="F478" s="60">
        <v>44851</v>
      </c>
    </row>
    <row r="479" spans="1:6">
      <c r="A479">
        <v>478</v>
      </c>
      <c r="B479" t="s">
        <v>1653</v>
      </c>
      <c r="C479">
        <v>250</v>
      </c>
      <c r="D479">
        <v>750</v>
      </c>
      <c r="E479">
        <v>50</v>
      </c>
      <c r="F479" s="73">
        <v>44985</v>
      </c>
    </row>
    <row r="480" spans="1:6">
      <c r="A480">
        <v>479</v>
      </c>
      <c r="B480" t="s">
        <v>1657</v>
      </c>
      <c r="C480">
        <v>500</v>
      </c>
      <c r="D480">
        <v>500</v>
      </c>
      <c r="E480">
        <v>50</v>
      </c>
      <c r="F480" s="73">
        <v>44963</v>
      </c>
    </row>
    <row r="481" spans="1:6">
      <c r="A481">
        <v>480</v>
      </c>
      <c r="B481" t="s">
        <v>1661</v>
      </c>
      <c r="C481">
        <v>250</v>
      </c>
      <c r="D481">
        <v>750</v>
      </c>
      <c r="E481">
        <v>50</v>
      </c>
      <c r="F481" s="60">
        <v>44854</v>
      </c>
    </row>
    <row r="482" spans="1:6">
      <c r="A482">
        <v>481</v>
      </c>
      <c r="B482" t="s">
        <v>1664</v>
      </c>
      <c r="C482">
        <v>250</v>
      </c>
      <c r="D482">
        <v>750</v>
      </c>
      <c r="E482">
        <v>50</v>
      </c>
      <c r="F482" s="69">
        <v>44985</v>
      </c>
    </row>
    <row r="483" spans="1:6">
      <c r="A483">
        <v>482</v>
      </c>
      <c r="B483" t="s">
        <v>1667</v>
      </c>
      <c r="C483">
        <v>250</v>
      </c>
      <c r="D483">
        <v>750</v>
      </c>
      <c r="E483">
        <v>50</v>
      </c>
      <c r="F483" s="60">
        <v>44858</v>
      </c>
    </row>
    <row r="484" spans="1:6">
      <c r="A484">
        <v>483</v>
      </c>
      <c r="B484" t="s">
        <v>1670</v>
      </c>
      <c r="C484">
        <v>250</v>
      </c>
      <c r="D484">
        <v>750</v>
      </c>
      <c r="E484">
        <v>50</v>
      </c>
      <c r="F484" s="70">
        <v>44859</v>
      </c>
    </row>
    <row r="485" spans="1:6">
      <c r="A485">
        <v>484</v>
      </c>
      <c r="B485" t="s">
        <v>1673</v>
      </c>
      <c r="C485">
        <v>500</v>
      </c>
      <c r="D485">
        <v>500</v>
      </c>
      <c r="E485">
        <v>50</v>
      </c>
      <c r="F485" s="61">
        <v>44901</v>
      </c>
    </row>
    <row r="486" spans="1:6">
      <c r="A486">
        <v>485</v>
      </c>
      <c r="B486" t="s">
        <v>1677</v>
      </c>
      <c r="C486">
        <v>250</v>
      </c>
      <c r="D486">
        <v>750</v>
      </c>
      <c r="E486">
        <v>50</v>
      </c>
      <c r="F486" s="60" t="s">
        <v>16675</v>
      </c>
    </row>
    <row r="487" spans="1:6">
      <c r="A487">
        <v>486</v>
      </c>
      <c r="B487" t="s">
        <v>1680</v>
      </c>
      <c r="C487">
        <v>15000</v>
      </c>
      <c r="D487">
        <v>0</v>
      </c>
      <c r="E487">
        <v>750</v>
      </c>
      <c r="F487" s="64" t="s">
        <v>16676</v>
      </c>
    </row>
    <row r="488" spans="1:6">
      <c r="A488">
        <v>487</v>
      </c>
      <c r="B488" t="s">
        <v>1683</v>
      </c>
      <c r="C488">
        <v>250</v>
      </c>
      <c r="D488">
        <v>750</v>
      </c>
      <c r="E488">
        <v>50</v>
      </c>
      <c r="F488" s="61">
        <v>44939</v>
      </c>
    </row>
    <row r="489" spans="1:6">
      <c r="A489">
        <v>488</v>
      </c>
      <c r="B489" t="s">
        <v>1686</v>
      </c>
      <c r="C489">
        <v>250</v>
      </c>
      <c r="D489">
        <v>750</v>
      </c>
      <c r="E489">
        <v>50</v>
      </c>
      <c r="F489" s="61">
        <v>44866</v>
      </c>
    </row>
    <row r="490" spans="1:6">
      <c r="A490">
        <v>489</v>
      </c>
      <c r="B490" t="s">
        <v>1690</v>
      </c>
      <c r="C490">
        <v>250</v>
      </c>
      <c r="D490">
        <v>750</v>
      </c>
      <c r="E490">
        <v>50</v>
      </c>
      <c r="F490" s="72">
        <v>154497</v>
      </c>
    </row>
    <row r="491" spans="1:6">
      <c r="A491">
        <v>490</v>
      </c>
      <c r="B491" t="s">
        <v>1694</v>
      </c>
      <c r="C491">
        <v>500</v>
      </c>
      <c r="D491">
        <v>1500</v>
      </c>
      <c r="E491">
        <v>100</v>
      </c>
      <c r="F491" s="77">
        <v>44763</v>
      </c>
    </row>
    <row r="492" spans="1:6">
      <c r="A492">
        <v>491</v>
      </c>
      <c r="B492" t="s">
        <v>1697</v>
      </c>
      <c r="C492">
        <v>100000</v>
      </c>
      <c r="D492">
        <v>0</v>
      </c>
      <c r="E492" t="s">
        <v>16642</v>
      </c>
      <c r="F492" s="104"/>
    </row>
    <row r="493" spans="1:6">
      <c r="A493">
        <v>492</v>
      </c>
      <c r="B493" t="s">
        <v>1703</v>
      </c>
      <c r="C493">
        <v>20000</v>
      </c>
      <c r="D493">
        <v>0</v>
      </c>
      <c r="E493">
        <v>1000</v>
      </c>
      <c r="F493" s="79">
        <v>44818</v>
      </c>
    </row>
    <row r="494" spans="1:6">
      <c r="A494">
        <v>493</v>
      </c>
      <c r="B494" t="s">
        <v>1706</v>
      </c>
      <c r="C494">
        <v>50000</v>
      </c>
      <c r="D494">
        <v>0</v>
      </c>
      <c r="E494">
        <v>2500</v>
      </c>
      <c r="F494" s="64" t="s">
        <v>16677</v>
      </c>
    </row>
    <row r="495" spans="1:6">
      <c r="A495">
        <v>494</v>
      </c>
      <c r="B495" t="s">
        <v>1710</v>
      </c>
      <c r="C495">
        <v>20000</v>
      </c>
      <c r="D495">
        <v>0</v>
      </c>
      <c r="E495">
        <v>1000</v>
      </c>
      <c r="F495" s="77">
        <v>44783</v>
      </c>
    </row>
    <row r="496" spans="1:6">
      <c r="A496">
        <v>495</v>
      </c>
      <c r="B496" t="s">
        <v>1713</v>
      </c>
      <c r="C496">
        <v>1000</v>
      </c>
      <c r="D496">
        <v>3000</v>
      </c>
      <c r="E496">
        <v>200</v>
      </c>
      <c r="F496" s="101">
        <v>44774</v>
      </c>
    </row>
    <row r="497" ht="15" spans="1:6">
      <c r="A497">
        <v>496</v>
      </c>
      <c r="B497" t="s">
        <v>1716</v>
      </c>
      <c r="C497">
        <v>1000000</v>
      </c>
      <c r="D497">
        <v>500000</v>
      </c>
      <c r="E497" t="s">
        <v>16642</v>
      </c>
      <c r="F497" s="88">
        <v>45084</v>
      </c>
    </row>
    <row r="498" spans="1:6">
      <c r="A498">
        <v>497</v>
      </c>
      <c r="B498" t="s">
        <v>1719</v>
      </c>
      <c r="C498">
        <v>750</v>
      </c>
      <c r="D498">
        <v>2250</v>
      </c>
      <c r="E498">
        <v>150</v>
      </c>
      <c r="F498" s="65">
        <v>44511</v>
      </c>
    </row>
    <row r="499" spans="1:6">
      <c r="A499">
        <v>498</v>
      </c>
      <c r="B499" t="s">
        <v>1723</v>
      </c>
      <c r="C499">
        <v>3000</v>
      </c>
      <c r="D499">
        <v>0</v>
      </c>
      <c r="E499">
        <v>150</v>
      </c>
      <c r="F499" s="67">
        <v>44935</v>
      </c>
    </row>
    <row r="500" spans="1:6">
      <c r="A500">
        <v>499</v>
      </c>
      <c r="B500" t="s">
        <v>1726</v>
      </c>
      <c r="C500">
        <v>250</v>
      </c>
      <c r="D500">
        <v>750</v>
      </c>
      <c r="E500">
        <v>50</v>
      </c>
      <c r="F500" s="65">
        <v>44464</v>
      </c>
    </row>
    <row r="501" spans="1:6">
      <c r="A501">
        <v>500</v>
      </c>
      <c r="B501" t="s">
        <v>1730</v>
      </c>
      <c r="C501">
        <v>50000</v>
      </c>
      <c r="D501">
        <v>0</v>
      </c>
      <c r="E501">
        <v>2500</v>
      </c>
      <c r="F501" s="65">
        <v>44719</v>
      </c>
    </row>
    <row r="502" spans="1:6">
      <c r="A502">
        <v>501</v>
      </c>
      <c r="B502" t="s">
        <v>1734</v>
      </c>
      <c r="C502">
        <v>90000</v>
      </c>
      <c r="D502">
        <v>0</v>
      </c>
      <c r="E502">
        <v>4500</v>
      </c>
      <c r="F502" s="74" t="s">
        <v>16678</v>
      </c>
    </row>
    <row r="503" spans="1:6">
      <c r="A503">
        <v>502</v>
      </c>
      <c r="B503" t="s">
        <v>1737</v>
      </c>
      <c r="C503">
        <v>2500</v>
      </c>
      <c r="D503">
        <v>7500</v>
      </c>
      <c r="E503">
        <v>500</v>
      </c>
      <c r="F503" s="64" t="s">
        <v>16679</v>
      </c>
    </row>
    <row r="504" spans="1:6">
      <c r="A504">
        <v>503</v>
      </c>
      <c r="B504" t="s">
        <v>1741</v>
      </c>
      <c r="C504">
        <v>2500</v>
      </c>
      <c r="D504">
        <v>7500</v>
      </c>
      <c r="E504">
        <v>500</v>
      </c>
      <c r="F504" s="77">
        <v>44784</v>
      </c>
    </row>
    <row r="505" spans="1:6">
      <c r="A505">
        <v>504</v>
      </c>
      <c r="B505" t="s">
        <v>1744</v>
      </c>
      <c r="C505">
        <v>10000</v>
      </c>
      <c r="D505">
        <v>30000</v>
      </c>
      <c r="E505">
        <v>2000</v>
      </c>
      <c r="F505" s="77">
        <v>44902</v>
      </c>
    </row>
    <row r="506" spans="1:6">
      <c r="A506">
        <v>505</v>
      </c>
      <c r="B506" t="s">
        <v>1747</v>
      </c>
      <c r="C506">
        <v>3750</v>
      </c>
      <c r="D506">
        <v>11250</v>
      </c>
      <c r="E506">
        <v>750</v>
      </c>
      <c r="F506" s="77">
        <v>44768</v>
      </c>
    </row>
    <row r="507" ht="15" spans="1:6">
      <c r="A507">
        <v>506</v>
      </c>
      <c r="B507" t="s">
        <v>1751</v>
      </c>
      <c r="C507">
        <v>1000000</v>
      </c>
      <c r="D507">
        <v>500000</v>
      </c>
      <c r="E507" t="s">
        <v>16642</v>
      </c>
      <c r="F507" s="81">
        <f>IFERROR(__xludf.DUMMYFUNCTION("""COMPUTED_VALUE"""),45082)</f>
        <v>45082</v>
      </c>
    </row>
    <row r="508" spans="1:6">
      <c r="A508">
        <v>507</v>
      </c>
      <c r="B508" t="s">
        <v>1752</v>
      </c>
      <c r="C508">
        <v>10000</v>
      </c>
      <c r="D508">
        <v>0</v>
      </c>
      <c r="E508">
        <v>500</v>
      </c>
      <c r="F508" s="77">
        <v>44782</v>
      </c>
    </row>
    <row r="509" spans="1:6">
      <c r="A509">
        <v>508</v>
      </c>
      <c r="B509" t="s">
        <v>1755</v>
      </c>
      <c r="C509">
        <v>100000</v>
      </c>
      <c r="D509">
        <v>0</v>
      </c>
      <c r="E509" t="s">
        <v>16642</v>
      </c>
      <c r="F509" s="76">
        <v>44879</v>
      </c>
    </row>
    <row r="510" spans="1:6">
      <c r="A510">
        <v>509</v>
      </c>
      <c r="B510" t="s">
        <v>1759</v>
      </c>
      <c r="C510">
        <v>3000</v>
      </c>
      <c r="D510">
        <v>0</v>
      </c>
      <c r="E510">
        <v>150</v>
      </c>
      <c r="F510" s="65">
        <v>44691</v>
      </c>
    </row>
    <row r="511" spans="1:6">
      <c r="A511">
        <v>510</v>
      </c>
      <c r="B511" t="s">
        <v>1763</v>
      </c>
      <c r="C511">
        <v>250</v>
      </c>
      <c r="D511">
        <v>750</v>
      </c>
      <c r="E511">
        <v>50</v>
      </c>
      <c r="F511" s="61">
        <v>44884</v>
      </c>
    </row>
    <row r="512" spans="1:6">
      <c r="A512">
        <v>511</v>
      </c>
      <c r="B512" t="s">
        <v>1766</v>
      </c>
      <c r="C512">
        <v>100000</v>
      </c>
      <c r="D512">
        <v>0</v>
      </c>
      <c r="E512">
        <v>5000</v>
      </c>
      <c r="F512" s="64" t="s">
        <v>16680</v>
      </c>
    </row>
    <row r="513" spans="1:6">
      <c r="A513">
        <v>512</v>
      </c>
      <c r="B513" t="s">
        <v>1770</v>
      </c>
      <c r="C513">
        <v>5000</v>
      </c>
      <c r="D513">
        <v>0</v>
      </c>
      <c r="E513">
        <v>250</v>
      </c>
      <c r="F513" s="65">
        <v>44748</v>
      </c>
    </row>
    <row r="514" spans="1:6">
      <c r="A514">
        <v>513</v>
      </c>
      <c r="B514" t="s">
        <v>1774</v>
      </c>
      <c r="C514">
        <v>10000</v>
      </c>
      <c r="D514">
        <v>0</v>
      </c>
      <c r="E514">
        <v>500</v>
      </c>
      <c r="F514" s="77">
        <v>44799</v>
      </c>
    </row>
    <row r="515" spans="1:6">
      <c r="A515">
        <v>514</v>
      </c>
      <c r="B515" t="s">
        <v>1777</v>
      </c>
      <c r="C515">
        <v>30000</v>
      </c>
      <c r="D515">
        <v>90000</v>
      </c>
      <c r="E515">
        <v>6000</v>
      </c>
      <c r="F515" s="64" t="s">
        <v>16681</v>
      </c>
    </row>
    <row r="516" spans="1:6">
      <c r="A516">
        <v>515</v>
      </c>
      <c r="B516" t="s">
        <v>1781</v>
      </c>
      <c r="C516">
        <v>8750</v>
      </c>
      <c r="D516">
        <v>26250</v>
      </c>
      <c r="E516">
        <v>1750</v>
      </c>
      <c r="F516" s="64" t="s">
        <v>16682</v>
      </c>
    </row>
    <row r="517" spans="1:6">
      <c r="A517">
        <v>516</v>
      </c>
      <c r="B517" t="s">
        <v>1785</v>
      </c>
      <c r="C517">
        <v>30000</v>
      </c>
      <c r="D517">
        <v>0</v>
      </c>
      <c r="E517">
        <v>1500</v>
      </c>
      <c r="F517" s="83">
        <v>44829</v>
      </c>
    </row>
    <row r="518" spans="1:6">
      <c r="A518">
        <v>517</v>
      </c>
      <c r="B518" t="s">
        <v>1785</v>
      </c>
      <c r="C518">
        <v>100000</v>
      </c>
      <c r="D518">
        <v>0</v>
      </c>
      <c r="E518" t="s">
        <v>16642</v>
      </c>
      <c r="F518" s="96">
        <v>44897</v>
      </c>
    </row>
    <row r="519" spans="1:6">
      <c r="A519">
        <v>518</v>
      </c>
      <c r="B519" t="s">
        <v>1789</v>
      </c>
      <c r="C519">
        <v>10000</v>
      </c>
      <c r="D519">
        <v>0</v>
      </c>
      <c r="E519">
        <v>500</v>
      </c>
      <c r="F519" s="64" t="s">
        <v>16683</v>
      </c>
    </row>
    <row r="520" spans="1:6">
      <c r="A520">
        <v>519</v>
      </c>
      <c r="B520" t="s">
        <v>1794</v>
      </c>
      <c r="C520">
        <v>2500</v>
      </c>
      <c r="D520">
        <v>0</v>
      </c>
      <c r="E520">
        <v>125</v>
      </c>
      <c r="F520" s="65">
        <v>44698</v>
      </c>
    </row>
    <row r="521" spans="1:6">
      <c r="A521">
        <v>520</v>
      </c>
      <c r="B521" t="s">
        <v>1798</v>
      </c>
      <c r="C521">
        <v>4500</v>
      </c>
      <c r="D521">
        <v>0</v>
      </c>
      <c r="E521">
        <v>225</v>
      </c>
      <c r="F521" s="65">
        <v>44485</v>
      </c>
    </row>
    <row r="522" spans="1:6">
      <c r="A522">
        <v>521</v>
      </c>
      <c r="B522" t="s">
        <v>1803</v>
      </c>
      <c r="C522">
        <v>9000</v>
      </c>
      <c r="D522">
        <v>0</v>
      </c>
      <c r="E522">
        <v>450</v>
      </c>
      <c r="F522" s="65">
        <v>44667</v>
      </c>
    </row>
    <row r="523" spans="1:6">
      <c r="A523">
        <v>522</v>
      </c>
      <c r="B523" t="s">
        <v>1806</v>
      </c>
      <c r="C523">
        <v>2500</v>
      </c>
      <c r="D523">
        <v>7500</v>
      </c>
      <c r="E523">
        <v>500</v>
      </c>
      <c r="F523" s="65">
        <v>44744</v>
      </c>
    </row>
    <row r="524" spans="1:6">
      <c r="A524">
        <v>523</v>
      </c>
      <c r="B524" t="s">
        <v>1810</v>
      </c>
      <c r="C524">
        <v>1000</v>
      </c>
      <c r="D524">
        <v>0</v>
      </c>
      <c r="E524">
        <v>50</v>
      </c>
      <c r="F524" s="64" t="s">
        <v>16684</v>
      </c>
    </row>
    <row r="525" spans="1:6">
      <c r="A525">
        <v>524</v>
      </c>
      <c r="B525" t="s">
        <v>1814</v>
      </c>
      <c r="C525">
        <v>7500</v>
      </c>
      <c r="D525">
        <v>22500</v>
      </c>
      <c r="E525">
        <v>1500</v>
      </c>
      <c r="F525" s="77">
        <v>44778</v>
      </c>
    </row>
    <row r="526" spans="1:6">
      <c r="A526">
        <v>525</v>
      </c>
      <c r="B526" t="s">
        <v>1817</v>
      </c>
      <c r="C526">
        <v>40000</v>
      </c>
      <c r="D526">
        <v>0</v>
      </c>
      <c r="E526">
        <v>1000</v>
      </c>
      <c r="F526" s="65">
        <v>44623</v>
      </c>
    </row>
    <row r="527" spans="1:6">
      <c r="A527">
        <v>526</v>
      </c>
      <c r="B527" t="s">
        <v>1821</v>
      </c>
      <c r="C527">
        <v>5000</v>
      </c>
      <c r="D527">
        <v>5000</v>
      </c>
      <c r="E527">
        <v>500</v>
      </c>
      <c r="F527" s="64" t="s">
        <v>16685</v>
      </c>
    </row>
    <row r="528" spans="1:6">
      <c r="A528">
        <v>527</v>
      </c>
      <c r="B528" t="s">
        <v>1825</v>
      </c>
      <c r="C528">
        <v>12500</v>
      </c>
      <c r="D528">
        <v>37500</v>
      </c>
      <c r="E528">
        <v>2500</v>
      </c>
      <c r="F528" s="64" t="s">
        <v>16686</v>
      </c>
    </row>
    <row r="529" spans="1:6">
      <c r="A529">
        <v>528</v>
      </c>
      <c r="B529" t="s">
        <v>1829</v>
      </c>
      <c r="C529">
        <v>100000</v>
      </c>
      <c r="D529">
        <v>0</v>
      </c>
      <c r="E529" t="s">
        <v>16642</v>
      </c>
      <c r="F529" s="66"/>
    </row>
    <row r="530" spans="1:6">
      <c r="A530">
        <v>529</v>
      </c>
      <c r="B530" t="s">
        <v>1834</v>
      </c>
      <c r="C530">
        <v>250</v>
      </c>
      <c r="D530">
        <v>750</v>
      </c>
      <c r="E530">
        <v>50</v>
      </c>
      <c r="F530" s="60">
        <v>44919</v>
      </c>
    </row>
    <row r="531" ht="15" spans="1:6">
      <c r="A531">
        <v>530</v>
      </c>
      <c r="B531" t="s">
        <v>1837</v>
      </c>
      <c r="C531">
        <v>1000000</v>
      </c>
      <c r="D531">
        <v>500000</v>
      </c>
      <c r="E531" t="s">
        <v>16642</v>
      </c>
      <c r="F531" s="81">
        <f>IFERROR(__xludf.DUMMYFUNCTION("""COMPUTED_VALUE"""),45082)</f>
        <v>45082</v>
      </c>
    </row>
    <row r="532" spans="1:6">
      <c r="A532">
        <v>531</v>
      </c>
      <c r="B532" t="s">
        <v>1838</v>
      </c>
      <c r="C532">
        <v>2500</v>
      </c>
      <c r="D532">
        <v>7500</v>
      </c>
      <c r="E532">
        <v>500</v>
      </c>
      <c r="F532" s="64" t="s">
        <v>16650</v>
      </c>
    </row>
    <row r="533" spans="1:6">
      <c r="A533">
        <v>532</v>
      </c>
      <c r="B533" t="s">
        <v>1842</v>
      </c>
      <c r="C533">
        <v>25000</v>
      </c>
      <c r="D533">
        <v>75000</v>
      </c>
      <c r="E533">
        <v>5000</v>
      </c>
      <c r="F533" s="67">
        <v>45050</v>
      </c>
    </row>
    <row r="534" spans="1:6">
      <c r="A534">
        <v>533</v>
      </c>
      <c r="B534" t="s">
        <v>1845</v>
      </c>
      <c r="C534">
        <v>250</v>
      </c>
      <c r="D534">
        <v>750</v>
      </c>
      <c r="E534">
        <v>50</v>
      </c>
      <c r="F534" s="73">
        <v>44959</v>
      </c>
    </row>
    <row r="535" spans="1:6">
      <c r="A535">
        <v>534</v>
      </c>
      <c r="B535" t="s">
        <v>1849</v>
      </c>
      <c r="C535">
        <v>250</v>
      </c>
      <c r="D535">
        <v>750</v>
      </c>
      <c r="E535">
        <v>50</v>
      </c>
      <c r="F535" s="61">
        <v>44917</v>
      </c>
    </row>
    <row r="536" spans="1:6">
      <c r="A536">
        <v>535</v>
      </c>
      <c r="B536" t="s">
        <v>1853</v>
      </c>
      <c r="C536">
        <v>1000</v>
      </c>
      <c r="D536">
        <v>0</v>
      </c>
      <c r="E536">
        <v>50</v>
      </c>
      <c r="F536" s="64" t="s">
        <v>16687</v>
      </c>
    </row>
    <row r="537" spans="1:6">
      <c r="A537">
        <v>536</v>
      </c>
      <c r="B537" t="s">
        <v>1857</v>
      </c>
      <c r="C537">
        <v>5000</v>
      </c>
      <c r="D537">
        <v>5000</v>
      </c>
      <c r="E537">
        <v>500</v>
      </c>
      <c r="F537" s="64" t="s">
        <v>16683</v>
      </c>
    </row>
    <row r="538" spans="1:6">
      <c r="A538">
        <v>537</v>
      </c>
      <c r="B538" t="s">
        <v>1862</v>
      </c>
      <c r="C538">
        <v>7500</v>
      </c>
      <c r="D538">
        <v>22500</v>
      </c>
      <c r="E538">
        <v>1500</v>
      </c>
      <c r="F538" s="79">
        <v>44938</v>
      </c>
    </row>
    <row r="539" spans="1:6">
      <c r="A539">
        <v>538</v>
      </c>
      <c r="B539" t="s">
        <v>1865</v>
      </c>
      <c r="C539">
        <v>2500</v>
      </c>
      <c r="D539">
        <v>7500</v>
      </c>
      <c r="E539">
        <v>500</v>
      </c>
      <c r="F539" s="77">
        <v>44922</v>
      </c>
    </row>
    <row r="540" spans="1:6">
      <c r="A540">
        <v>539</v>
      </c>
      <c r="B540" t="s">
        <v>1868</v>
      </c>
      <c r="C540">
        <v>250</v>
      </c>
      <c r="D540">
        <v>750</v>
      </c>
      <c r="E540">
        <v>50</v>
      </c>
      <c r="F540" s="73">
        <v>45045</v>
      </c>
    </row>
    <row r="541" spans="1:6">
      <c r="A541">
        <v>540</v>
      </c>
      <c r="B541" t="s">
        <v>1871</v>
      </c>
      <c r="C541">
        <v>5000</v>
      </c>
      <c r="D541">
        <v>15000</v>
      </c>
      <c r="E541">
        <v>1000</v>
      </c>
      <c r="F541" s="77">
        <v>44818</v>
      </c>
    </row>
    <row r="542" spans="1:6">
      <c r="A542">
        <v>541</v>
      </c>
      <c r="B542" t="s">
        <v>1874</v>
      </c>
      <c r="C542">
        <v>500</v>
      </c>
      <c r="D542">
        <v>1500</v>
      </c>
      <c r="E542">
        <v>100</v>
      </c>
      <c r="F542" s="60">
        <v>44845</v>
      </c>
    </row>
    <row r="543" spans="1:6">
      <c r="A543">
        <v>542</v>
      </c>
      <c r="B543" t="s">
        <v>1878</v>
      </c>
      <c r="C543">
        <v>1000</v>
      </c>
      <c r="D543">
        <v>0</v>
      </c>
      <c r="E543">
        <v>50</v>
      </c>
      <c r="F543" s="65">
        <v>44540</v>
      </c>
    </row>
    <row r="544" spans="1:6">
      <c r="A544">
        <v>543</v>
      </c>
      <c r="B544" t="s">
        <v>1883</v>
      </c>
      <c r="C544">
        <v>1000</v>
      </c>
      <c r="D544">
        <v>0</v>
      </c>
      <c r="E544">
        <v>50</v>
      </c>
      <c r="F544" s="64" t="s">
        <v>16688</v>
      </c>
    </row>
    <row r="545" spans="1:6">
      <c r="A545">
        <v>544</v>
      </c>
      <c r="B545" t="s">
        <v>1887</v>
      </c>
      <c r="C545">
        <v>1000</v>
      </c>
      <c r="D545">
        <v>0</v>
      </c>
      <c r="E545">
        <v>50</v>
      </c>
      <c r="F545" s="77">
        <v>44781</v>
      </c>
    </row>
    <row r="546" spans="1:6">
      <c r="A546">
        <v>545</v>
      </c>
      <c r="B546" t="s">
        <v>1891</v>
      </c>
      <c r="C546">
        <v>2000</v>
      </c>
      <c r="D546">
        <v>0</v>
      </c>
      <c r="E546">
        <v>100</v>
      </c>
      <c r="F546" s="74">
        <v>44939</v>
      </c>
    </row>
    <row r="547" spans="1:6">
      <c r="A547">
        <v>546</v>
      </c>
      <c r="B547" t="s">
        <v>1894</v>
      </c>
      <c r="C547">
        <v>100000</v>
      </c>
      <c r="D547">
        <v>0</v>
      </c>
      <c r="E547" t="s">
        <v>16642</v>
      </c>
      <c r="F547" s="66"/>
    </row>
    <row r="548" ht="31.5" spans="1:6">
      <c r="A548">
        <v>547</v>
      </c>
      <c r="B548" t="s">
        <v>1899</v>
      </c>
      <c r="C548">
        <v>6000</v>
      </c>
      <c r="D548">
        <v>14000</v>
      </c>
      <c r="E548">
        <v>500</v>
      </c>
      <c r="F548" s="67" t="s">
        <v>16689</v>
      </c>
    </row>
    <row r="549" spans="1:6">
      <c r="A549">
        <v>548</v>
      </c>
      <c r="B549" t="s">
        <v>1902</v>
      </c>
      <c r="C549">
        <v>5000</v>
      </c>
      <c r="D549">
        <v>0</v>
      </c>
      <c r="E549">
        <v>250</v>
      </c>
      <c r="F549" s="65">
        <v>44445</v>
      </c>
    </row>
    <row r="550" spans="1:6">
      <c r="A550">
        <v>549</v>
      </c>
      <c r="B550" t="s">
        <v>1907</v>
      </c>
      <c r="C550">
        <v>2500</v>
      </c>
      <c r="D550">
        <v>7500</v>
      </c>
      <c r="E550">
        <v>500</v>
      </c>
      <c r="F550" s="64" t="s">
        <v>16690</v>
      </c>
    </row>
    <row r="551" spans="1:6">
      <c r="A551">
        <v>550</v>
      </c>
      <c r="B551" t="s">
        <v>1911</v>
      </c>
      <c r="C551">
        <v>10000</v>
      </c>
      <c r="D551">
        <v>0</v>
      </c>
      <c r="E551">
        <v>500</v>
      </c>
      <c r="F551" s="65">
        <v>44708</v>
      </c>
    </row>
    <row r="552" spans="1:6">
      <c r="A552">
        <v>551</v>
      </c>
      <c r="B552" t="s">
        <v>1915</v>
      </c>
      <c r="C552">
        <v>5000</v>
      </c>
      <c r="D552">
        <v>0</v>
      </c>
      <c r="E552">
        <v>50</v>
      </c>
      <c r="F552" s="65">
        <v>44518</v>
      </c>
    </row>
    <row r="553" spans="1:6">
      <c r="A553">
        <v>552</v>
      </c>
      <c r="B553" t="s">
        <v>1919</v>
      </c>
      <c r="C553">
        <v>1000</v>
      </c>
      <c r="D553">
        <v>0</v>
      </c>
      <c r="E553">
        <v>50</v>
      </c>
      <c r="F553" s="64" t="s">
        <v>16691</v>
      </c>
    </row>
    <row r="554" spans="1:6">
      <c r="A554">
        <v>553</v>
      </c>
      <c r="B554" t="s">
        <v>1923</v>
      </c>
      <c r="C554">
        <v>50000</v>
      </c>
      <c r="D554">
        <v>0</v>
      </c>
      <c r="E554">
        <v>2500</v>
      </c>
      <c r="F554" s="65">
        <v>44790</v>
      </c>
    </row>
    <row r="555" spans="1:6">
      <c r="A555">
        <v>554</v>
      </c>
      <c r="B555" t="s">
        <v>1927</v>
      </c>
      <c r="C555">
        <v>250</v>
      </c>
      <c r="D555">
        <v>750</v>
      </c>
      <c r="E555">
        <v>50</v>
      </c>
      <c r="F555" s="61">
        <v>44910</v>
      </c>
    </row>
    <row r="556" spans="1:6">
      <c r="A556">
        <v>555</v>
      </c>
      <c r="B556" t="s">
        <v>1930</v>
      </c>
      <c r="C556">
        <v>250</v>
      </c>
      <c r="D556">
        <v>750</v>
      </c>
      <c r="E556">
        <v>50</v>
      </c>
      <c r="F556" s="60">
        <v>44912</v>
      </c>
    </row>
    <row r="557" spans="1:6">
      <c r="A557">
        <v>556</v>
      </c>
      <c r="B557" t="s">
        <v>1934</v>
      </c>
      <c r="C557">
        <v>10000</v>
      </c>
      <c r="D557">
        <v>0</v>
      </c>
      <c r="E557">
        <v>500</v>
      </c>
      <c r="F557" s="60">
        <v>45022</v>
      </c>
    </row>
    <row r="558" spans="1:6">
      <c r="A558">
        <v>557</v>
      </c>
      <c r="B558" t="s">
        <v>1937</v>
      </c>
      <c r="C558">
        <v>250</v>
      </c>
      <c r="D558">
        <v>750</v>
      </c>
      <c r="E558">
        <v>50</v>
      </c>
      <c r="F558" s="69">
        <v>44953</v>
      </c>
    </row>
    <row r="559" spans="1:6">
      <c r="A559">
        <v>558</v>
      </c>
      <c r="B559" t="s">
        <v>1941</v>
      </c>
      <c r="C559">
        <v>250</v>
      </c>
      <c r="D559">
        <v>750</v>
      </c>
      <c r="E559">
        <v>50</v>
      </c>
      <c r="F559" s="60">
        <v>44883</v>
      </c>
    </row>
    <row r="560" spans="1:6">
      <c r="A560">
        <v>559</v>
      </c>
      <c r="B560" t="s">
        <v>1945</v>
      </c>
      <c r="C560">
        <v>250</v>
      </c>
      <c r="D560">
        <v>750</v>
      </c>
      <c r="E560">
        <v>50</v>
      </c>
      <c r="F560" s="77">
        <v>44803</v>
      </c>
    </row>
    <row r="561" spans="1:6">
      <c r="A561">
        <v>560</v>
      </c>
      <c r="B561" t="s">
        <v>1948</v>
      </c>
      <c r="C561">
        <v>250</v>
      </c>
      <c r="D561">
        <v>750</v>
      </c>
      <c r="E561">
        <v>50</v>
      </c>
      <c r="F561" s="69">
        <v>44845</v>
      </c>
    </row>
    <row r="562" spans="1:6">
      <c r="A562">
        <v>561</v>
      </c>
      <c r="B562" t="s">
        <v>1951</v>
      </c>
      <c r="C562">
        <v>250</v>
      </c>
      <c r="D562">
        <v>750</v>
      </c>
      <c r="E562">
        <v>50</v>
      </c>
      <c r="F562" s="61">
        <v>44877</v>
      </c>
    </row>
    <row r="563" spans="1:6">
      <c r="A563">
        <v>562</v>
      </c>
      <c r="B563" t="s">
        <v>1955</v>
      </c>
      <c r="C563">
        <v>1000</v>
      </c>
      <c r="D563">
        <v>0</v>
      </c>
      <c r="E563">
        <v>50</v>
      </c>
      <c r="F563" s="61">
        <v>45027</v>
      </c>
    </row>
    <row r="564" spans="1:6">
      <c r="A564">
        <v>563</v>
      </c>
      <c r="B564" t="s">
        <v>1959</v>
      </c>
      <c r="C564">
        <v>250</v>
      </c>
      <c r="D564">
        <v>750</v>
      </c>
      <c r="E564">
        <v>50</v>
      </c>
      <c r="F564" s="60">
        <v>44840</v>
      </c>
    </row>
    <row r="565" spans="1:6">
      <c r="A565">
        <v>564</v>
      </c>
      <c r="B565" t="s">
        <v>1963</v>
      </c>
      <c r="C565">
        <v>250</v>
      </c>
      <c r="D565">
        <v>750</v>
      </c>
      <c r="E565">
        <v>50</v>
      </c>
      <c r="F565" s="61">
        <v>44855</v>
      </c>
    </row>
    <row r="566" spans="1:6">
      <c r="A566">
        <v>565</v>
      </c>
      <c r="B566" t="s">
        <v>1967</v>
      </c>
      <c r="C566">
        <v>250</v>
      </c>
      <c r="D566">
        <v>750</v>
      </c>
      <c r="E566">
        <v>50</v>
      </c>
      <c r="F566" s="73">
        <v>44852</v>
      </c>
    </row>
    <row r="567" spans="1:6">
      <c r="A567">
        <v>566</v>
      </c>
      <c r="B567" t="s">
        <v>1970</v>
      </c>
      <c r="C567">
        <v>250</v>
      </c>
      <c r="D567">
        <v>750</v>
      </c>
      <c r="E567">
        <v>50</v>
      </c>
      <c r="F567" s="60">
        <v>44798</v>
      </c>
    </row>
    <row r="568" spans="1:6">
      <c r="A568">
        <v>567</v>
      </c>
      <c r="B568" t="s">
        <v>1973</v>
      </c>
      <c r="C568">
        <v>250</v>
      </c>
      <c r="D568">
        <v>750</v>
      </c>
      <c r="E568">
        <v>50</v>
      </c>
      <c r="F568" s="60">
        <v>44930</v>
      </c>
    </row>
    <row r="569" spans="1:6">
      <c r="A569">
        <v>568</v>
      </c>
      <c r="B569" t="s">
        <v>1976</v>
      </c>
      <c r="C569">
        <v>250</v>
      </c>
      <c r="D569">
        <v>750</v>
      </c>
      <c r="E569">
        <v>50</v>
      </c>
      <c r="F569" s="70">
        <v>44924</v>
      </c>
    </row>
    <row r="570" spans="1:6">
      <c r="A570">
        <v>569</v>
      </c>
      <c r="B570" t="s">
        <v>1979</v>
      </c>
      <c r="C570">
        <v>250</v>
      </c>
      <c r="D570">
        <v>750</v>
      </c>
      <c r="E570">
        <v>50</v>
      </c>
      <c r="F570" s="60">
        <v>44860</v>
      </c>
    </row>
    <row r="571" spans="1:6">
      <c r="A571">
        <v>570</v>
      </c>
      <c r="B571" t="s">
        <v>1982</v>
      </c>
      <c r="C571">
        <v>250</v>
      </c>
      <c r="D571">
        <v>750</v>
      </c>
      <c r="E571">
        <v>50</v>
      </c>
      <c r="F571" s="67">
        <v>45044</v>
      </c>
    </row>
    <row r="572" spans="1:6">
      <c r="A572">
        <v>571</v>
      </c>
      <c r="B572" t="s">
        <v>1985</v>
      </c>
      <c r="C572">
        <v>250</v>
      </c>
      <c r="D572">
        <v>750</v>
      </c>
      <c r="E572">
        <v>50</v>
      </c>
      <c r="F572" s="61">
        <v>44820</v>
      </c>
    </row>
    <row r="573" spans="1:6">
      <c r="A573">
        <v>572</v>
      </c>
      <c r="B573" t="s">
        <v>1989</v>
      </c>
      <c r="C573">
        <v>250</v>
      </c>
      <c r="D573">
        <v>750</v>
      </c>
      <c r="E573">
        <v>50</v>
      </c>
      <c r="F573" s="73">
        <v>44921</v>
      </c>
    </row>
    <row r="574" spans="1:6">
      <c r="A574">
        <v>573</v>
      </c>
      <c r="B574" t="s">
        <v>1992</v>
      </c>
      <c r="C574">
        <v>250</v>
      </c>
      <c r="D574">
        <v>750</v>
      </c>
      <c r="E574">
        <v>50</v>
      </c>
      <c r="F574" s="61">
        <v>44931</v>
      </c>
    </row>
    <row r="575" spans="1:6">
      <c r="A575">
        <v>574</v>
      </c>
      <c r="B575" t="s">
        <v>1995</v>
      </c>
      <c r="C575">
        <v>250</v>
      </c>
      <c r="D575">
        <v>750</v>
      </c>
      <c r="E575">
        <v>50</v>
      </c>
      <c r="F575" s="60">
        <v>44867</v>
      </c>
    </row>
    <row r="576" spans="1:6">
      <c r="A576">
        <v>575</v>
      </c>
      <c r="B576" t="s">
        <v>1998</v>
      </c>
      <c r="C576">
        <v>250</v>
      </c>
      <c r="D576">
        <v>750</v>
      </c>
      <c r="E576">
        <v>50</v>
      </c>
      <c r="F576" s="60">
        <v>44807</v>
      </c>
    </row>
    <row r="577" spans="1:6">
      <c r="A577">
        <v>576</v>
      </c>
      <c r="B577" t="s">
        <v>2001</v>
      </c>
      <c r="C577">
        <v>250</v>
      </c>
      <c r="D577">
        <v>750</v>
      </c>
      <c r="E577">
        <v>50</v>
      </c>
      <c r="F577" s="60">
        <v>44805</v>
      </c>
    </row>
    <row r="578" spans="1:6">
      <c r="A578">
        <v>577</v>
      </c>
      <c r="B578" t="s">
        <v>2005</v>
      </c>
      <c r="C578">
        <v>250</v>
      </c>
      <c r="D578">
        <v>750</v>
      </c>
      <c r="E578">
        <v>50</v>
      </c>
      <c r="F578" s="75">
        <v>44849</v>
      </c>
    </row>
    <row r="579" spans="1:6">
      <c r="A579">
        <v>578</v>
      </c>
      <c r="B579" t="s">
        <v>2008</v>
      </c>
      <c r="C579">
        <v>250</v>
      </c>
      <c r="D579">
        <v>750</v>
      </c>
      <c r="E579">
        <v>50</v>
      </c>
      <c r="F579" s="75">
        <v>44866</v>
      </c>
    </row>
    <row r="580" spans="1:6">
      <c r="A580">
        <v>579</v>
      </c>
      <c r="B580" t="s">
        <v>2012</v>
      </c>
      <c r="C580">
        <v>10000</v>
      </c>
      <c r="D580">
        <v>0</v>
      </c>
      <c r="E580">
        <v>500</v>
      </c>
      <c r="F580" s="91" t="s">
        <v>16692</v>
      </c>
    </row>
    <row r="581" spans="1:6">
      <c r="A581">
        <v>580</v>
      </c>
      <c r="B581" t="s">
        <v>2012</v>
      </c>
      <c r="C581">
        <v>100000</v>
      </c>
      <c r="D581">
        <v>0</v>
      </c>
      <c r="E581" t="s">
        <v>16642</v>
      </c>
      <c r="F581" s="96">
        <v>44938</v>
      </c>
    </row>
    <row r="582" spans="1:6">
      <c r="A582">
        <v>581</v>
      </c>
      <c r="B582" t="s">
        <v>2016</v>
      </c>
      <c r="C582">
        <v>250</v>
      </c>
      <c r="D582">
        <v>750</v>
      </c>
      <c r="E582">
        <v>50</v>
      </c>
      <c r="F582" s="61">
        <v>44949</v>
      </c>
    </row>
    <row r="583" spans="1:6">
      <c r="A583">
        <v>582</v>
      </c>
      <c r="B583" t="s">
        <v>2019</v>
      </c>
      <c r="C583">
        <v>250</v>
      </c>
      <c r="D583">
        <v>750</v>
      </c>
      <c r="E583">
        <v>50</v>
      </c>
      <c r="F583" s="60">
        <v>44883</v>
      </c>
    </row>
    <row r="584" spans="1:6">
      <c r="A584">
        <v>583</v>
      </c>
      <c r="B584" t="s">
        <v>2023</v>
      </c>
      <c r="C584">
        <v>250</v>
      </c>
      <c r="D584">
        <v>750</v>
      </c>
      <c r="E584">
        <v>50</v>
      </c>
      <c r="F584" s="60">
        <v>44929</v>
      </c>
    </row>
    <row r="585" spans="1:6">
      <c r="A585">
        <v>584</v>
      </c>
      <c r="B585" t="s">
        <v>2026</v>
      </c>
      <c r="C585">
        <v>15000</v>
      </c>
      <c r="D585">
        <v>0</v>
      </c>
      <c r="E585">
        <v>500</v>
      </c>
      <c r="F585" s="65">
        <v>44602</v>
      </c>
    </row>
    <row r="586" spans="1:6">
      <c r="A586">
        <v>585</v>
      </c>
      <c r="B586" t="s">
        <v>2030</v>
      </c>
      <c r="C586">
        <v>250</v>
      </c>
      <c r="D586">
        <v>750</v>
      </c>
      <c r="E586">
        <v>50</v>
      </c>
      <c r="F586" s="60">
        <v>44925</v>
      </c>
    </row>
    <row r="587" spans="1:6">
      <c r="A587">
        <v>586</v>
      </c>
      <c r="B587" t="s">
        <v>2034</v>
      </c>
      <c r="C587">
        <v>250</v>
      </c>
      <c r="D587">
        <v>750</v>
      </c>
      <c r="E587">
        <v>50</v>
      </c>
      <c r="F587" s="61">
        <v>44875</v>
      </c>
    </row>
    <row r="588" spans="1:6">
      <c r="A588">
        <v>587</v>
      </c>
      <c r="B588" t="s">
        <v>2037</v>
      </c>
      <c r="C588">
        <v>1000</v>
      </c>
      <c r="D588">
        <v>0</v>
      </c>
      <c r="E588">
        <v>50</v>
      </c>
      <c r="F588" s="64" t="s">
        <v>16693</v>
      </c>
    </row>
    <row r="589" spans="1:6">
      <c r="A589">
        <v>588</v>
      </c>
      <c r="B589" t="s">
        <v>2041</v>
      </c>
      <c r="C589">
        <v>250</v>
      </c>
      <c r="D589">
        <v>750</v>
      </c>
      <c r="E589">
        <v>50</v>
      </c>
      <c r="F589" s="60">
        <v>44840</v>
      </c>
    </row>
    <row r="590" spans="1:6">
      <c r="A590">
        <v>589</v>
      </c>
      <c r="B590" t="s">
        <v>2045</v>
      </c>
      <c r="C590">
        <v>2500</v>
      </c>
      <c r="D590">
        <v>7500</v>
      </c>
      <c r="E590">
        <v>500</v>
      </c>
      <c r="F590" s="60">
        <v>44853</v>
      </c>
    </row>
    <row r="591" spans="1:6">
      <c r="A591">
        <v>590</v>
      </c>
      <c r="B591" t="s">
        <v>2049</v>
      </c>
      <c r="C591">
        <v>10000</v>
      </c>
      <c r="D591">
        <v>0</v>
      </c>
      <c r="E591">
        <v>50</v>
      </c>
      <c r="F591" s="74">
        <v>45071</v>
      </c>
    </row>
    <row r="592" spans="1:6">
      <c r="A592">
        <v>591</v>
      </c>
      <c r="B592" t="s">
        <v>2052</v>
      </c>
      <c r="C592">
        <v>250</v>
      </c>
      <c r="D592">
        <v>750</v>
      </c>
      <c r="E592">
        <v>50</v>
      </c>
      <c r="F592" s="71">
        <v>44909</v>
      </c>
    </row>
    <row r="593" spans="1:6">
      <c r="A593">
        <v>592</v>
      </c>
      <c r="B593" t="s">
        <v>2055</v>
      </c>
      <c r="C593">
        <v>500</v>
      </c>
      <c r="D593">
        <v>1500</v>
      </c>
      <c r="E593">
        <v>100</v>
      </c>
      <c r="F593" s="60">
        <v>44845</v>
      </c>
    </row>
    <row r="594" spans="1:6">
      <c r="A594">
        <v>593</v>
      </c>
      <c r="B594" t="s">
        <v>2059</v>
      </c>
      <c r="C594">
        <v>4000</v>
      </c>
      <c r="D594">
        <v>0</v>
      </c>
      <c r="E594">
        <v>200</v>
      </c>
      <c r="F594" s="65">
        <v>44483</v>
      </c>
    </row>
    <row r="595" spans="1:6">
      <c r="A595">
        <v>594</v>
      </c>
      <c r="B595" t="s">
        <v>2063</v>
      </c>
      <c r="C595">
        <v>100000</v>
      </c>
      <c r="D595">
        <v>0</v>
      </c>
      <c r="E595">
        <v>5000</v>
      </c>
      <c r="F595" s="83">
        <v>44536</v>
      </c>
    </row>
    <row r="596" spans="1:6">
      <c r="A596">
        <v>595</v>
      </c>
      <c r="B596" t="s">
        <v>2063</v>
      </c>
      <c r="C596">
        <v>100000</v>
      </c>
      <c r="D596">
        <v>0</v>
      </c>
      <c r="E596" t="s">
        <v>16642</v>
      </c>
      <c r="F596" s="105">
        <v>44839</v>
      </c>
    </row>
    <row r="597" spans="1:6">
      <c r="A597">
        <v>596</v>
      </c>
      <c r="B597" t="s">
        <v>2069</v>
      </c>
      <c r="C597">
        <v>250</v>
      </c>
      <c r="D597">
        <v>750</v>
      </c>
      <c r="E597">
        <v>50</v>
      </c>
      <c r="F597" s="61">
        <v>44807</v>
      </c>
    </row>
    <row r="598" spans="1:6">
      <c r="A598">
        <v>597</v>
      </c>
      <c r="B598" t="s">
        <v>2072</v>
      </c>
      <c r="C598">
        <v>250</v>
      </c>
      <c r="D598">
        <v>750</v>
      </c>
      <c r="E598">
        <v>50</v>
      </c>
      <c r="F598" s="73">
        <v>44883</v>
      </c>
    </row>
    <row r="599" spans="1:6">
      <c r="A599">
        <v>598</v>
      </c>
      <c r="B599" t="s">
        <v>2075</v>
      </c>
      <c r="C599">
        <v>250</v>
      </c>
      <c r="D599">
        <v>750</v>
      </c>
      <c r="E599">
        <v>50</v>
      </c>
      <c r="F599" s="61">
        <v>44813</v>
      </c>
    </row>
    <row r="600" spans="1:6">
      <c r="A600">
        <v>599</v>
      </c>
      <c r="B600" t="s">
        <v>2079</v>
      </c>
      <c r="C600">
        <v>1000000</v>
      </c>
      <c r="D600">
        <v>500000</v>
      </c>
      <c r="E600" t="s">
        <v>16642</v>
      </c>
      <c r="F600" s="80">
        <f>IFERROR(__xludf.DUMMYFUNCTION("""COMPUTED_VALUE"""),45080)</f>
        <v>45080</v>
      </c>
    </row>
    <row r="601" spans="1:6">
      <c r="A601">
        <v>600</v>
      </c>
      <c r="B601" t="s">
        <v>2080</v>
      </c>
      <c r="C601">
        <v>250</v>
      </c>
      <c r="D601">
        <v>750</v>
      </c>
      <c r="E601">
        <v>50</v>
      </c>
      <c r="F601" s="72">
        <v>44985</v>
      </c>
    </row>
    <row r="602" spans="1:6">
      <c r="A602">
        <v>601</v>
      </c>
      <c r="B602" t="s">
        <v>2084</v>
      </c>
      <c r="C602">
        <v>2000</v>
      </c>
      <c r="D602">
        <v>0</v>
      </c>
      <c r="E602">
        <v>100</v>
      </c>
      <c r="F602" s="72">
        <v>44848</v>
      </c>
    </row>
    <row r="603" spans="1:6">
      <c r="A603">
        <v>602</v>
      </c>
      <c r="B603" t="s">
        <v>2088</v>
      </c>
      <c r="C603">
        <v>250</v>
      </c>
      <c r="D603">
        <v>750</v>
      </c>
      <c r="E603">
        <v>50</v>
      </c>
      <c r="F603" s="61">
        <v>44807</v>
      </c>
    </row>
    <row r="604" spans="1:6">
      <c r="A604">
        <v>603</v>
      </c>
      <c r="B604" t="s">
        <v>2091</v>
      </c>
      <c r="C604">
        <v>250</v>
      </c>
      <c r="D604">
        <v>750</v>
      </c>
      <c r="E604">
        <v>50</v>
      </c>
      <c r="F604" s="60">
        <v>44807</v>
      </c>
    </row>
    <row r="605" spans="1:6">
      <c r="A605">
        <v>604</v>
      </c>
      <c r="B605" t="s">
        <v>2094</v>
      </c>
      <c r="C605">
        <v>250</v>
      </c>
      <c r="D605">
        <v>750</v>
      </c>
      <c r="E605">
        <v>50</v>
      </c>
      <c r="F605" s="61">
        <v>45262</v>
      </c>
    </row>
    <row r="606" spans="1:6">
      <c r="A606">
        <v>605</v>
      </c>
      <c r="B606" t="s">
        <v>2097</v>
      </c>
      <c r="C606">
        <v>250</v>
      </c>
      <c r="D606">
        <v>750</v>
      </c>
      <c r="E606">
        <v>50</v>
      </c>
      <c r="F606" s="60">
        <v>44840</v>
      </c>
    </row>
    <row r="607" spans="1:6">
      <c r="A607">
        <v>606</v>
      </c>
      <c r="B607" t="s">
        <v>2101</v>
      </c>
      <c r="C607">
        <v>250</v>
      </c>
      <c r="D607">
        <v>750</v>
      </c>
      <c r="E607">
        <v>50</v>
      </c>
      <c r="F607" s="61">
        <v>44919</v>
      </c>
    </row>
    <row r="608" spans="1:6">
      <c r="A608">
        <v>607</v>
      </c>
      <c r="B608" t="s">
        <v>2104</v>
      </c>
      <c r="C608">
        <v>100000</v>
      </c>
      <c r="D608">
        <v>0</v>
      </c>
      <c r="E608">
        <v>5000</v>
      </c>
      <c r="F608" s="65">
        <v>44466</v>
      </c>
    </row>
    <row r="609" spans="1:6">
      <c r="A609">
        <v>608</v>
      </c>
      <c r="B609" t="s">
        <v>2109</v>
      </c>
      <c r="C609">
        <v>250</v>
      </c>
      <c r="D609">
        <v>750</v>
      </c>
      <c r="E609">
        <v>50</v>
      </c>
      <c r="F609" s="61">
        <v>44840</v>
      </c>
    </row>
    <row r="610" spans="1:6">
      <c r="A610">
        <v>609</v>
      </c>
      <c r="B610" t="s">
        <v>2112</v>
      </c>
      <c r="C610">
        <v>250</v>
      </c>
      <c r="D610">
        <v>750</v>
      </c>
      <c r="E610">
        <v>50</v>
      </c>
      <c r="F610" s="60">
        <v>44925</v>
      </c>
    </row>
    <row r="611" spans="1:6">
      <c r="A611">
        <v>610</v>
      </c>
      <c r="B611" t="s">
        <v>2115</v>
      </c>
      <c r="C611">
        <v>250</v>
      </c>
      <c r="D611">
        <v>750</v>
      </c>
      <c r="E611">
        <v>50</v>
      </c>
      <c r="F611" s="61">
        <v>44860</v>
      </c>
    </row>
    <row r="612" spans="1:6">
      <c r="A612">
        <v>611</v>
      </c>
      <c r="B612" t="s">
        <v>2119</v>
      </c>
      <c r="C612">
        <v>250</v>
      </c>
      <c r="D612">
        <v>750</v>
      </c>
      <c r="E612">
        <v>50</v>
      </c>
      <c r="F612" s="77">
        <v>44781</v>
      </c>
    </row>
    <row r="613" spans="1:6">
      <c r="A613">
        <v>612</v>
      </c>
      <c r="B613" t="s">
        <v>2122</v>
      </c>
      <c r="C613">
        <v>250</v>
      </c>
      <c r="D613">
        <v>750</v>
      </c>
      <c r="E613">
        <v>50</v>
      </c>
      <c r="F613" s="75">
        <v>44841</v>
      </c>
    </row>
    <row r="614" spans="1:6">
      <c r="A614">
        <v>613</v>
      </c>
      <c r="B614" t="s">
        <v>2125</v>
      </c>
      <c r="C614">
        <v>10000</v>
      </c>
      <c r="D614">
        <v>0</v>
      </c>
      <c r="E614">
        <v>500</v>
      </c>
      <c r="F614" s="74">
        <v>44926</v>
      </c>
    </row>
    <row r="615" spans="1:6">
      <c r="A615">
        <v>614</v>
      </c>
      <c r="B615" t="s">
        <v>2128</v>
      </c>
      <c r="C615">
        <v>250</v>
      </c>
      <c r="D615">
        <v>750</v>
      </c>
      <c r="E615">
        <v>50</v>
      </c>
      <c r="F615" s="60">
        <v>44932</v>
      </c>
    </row>
    <row r="616" spans="1:6">
      <c r="A616">
        <v>615</v>
      </c>
      <c r="B616" t="s">
        <v>2131</v>
      </c>
      <c r="C616">
        <v>100000</v>
      </c>
      <c r="D616">
        <v>0</v>
      </c>
      <c r="E616" t="s">
        <v>16642</v>
      </c>
      <c r="F616" s="66"/>
    </row>
    <row r="617" spans="1:6">
      <c r="A617">
        <v>616</v>
      </c>
      <c r="B617" t="s">
        <v>2136</v>
      </c>
      <c r="C617">
        <v>5000</v>
      </c>
      <c r="D617">
        <v>0</v>
      </c>
      <c r="E617">
        <v>250</v>
      </c>
      <c r="F617" s="64" t="s">
        <v>16694</v>
      </c>
    </row>
    <row r="618" spans="1:6">
      <c r="A618">
        <v>617</v>
      </c>
      <c r="B618" t="s">
        <v>2141</v>
      </c>
      <c r="C618">
        <v>250</v>
      </c>
      <c r="D618">
        <v>750</v>
      </c>
      <c r="E618">
        <v>50</v>
      </c>
      <c r="F618" s="78">
        <v>44922</v>
      </c>
    </row>
    <row r="619" spans="1:6">
      <c r="A619">
        <v>618</v>
      </c>
      <c r="B619" t="s">
        <v>2144</v>
      </c>
      <c r="C619">
        <v>250</v>
      </c>
      <c r="D619">
        <v>750</v>
      </c>
      <c r="E619">
        <v>50</v>
      </c>
      <c r="F619" s="60">
        <v>44873</v>
      </c>
    </row>
    <row r="620" ht="15" spans="1:6">
      <c r="A620">
        <v>619</v>
      </c>
      <c r="B620" t="s">
        <v>2148</v>
      </c>
      <c r="C620">
        <v>1500000</v>
      </c>
      <c r="D620">
        <v>0</v>
      </c>
      <c r="E620" t="s">
        <v>16642</v>
      </c>
      <c r="F620" s="81">
        <f>IFERROR(__xludf.DUMMYFUNCTION("""COMPUTED_VALUE"""),45083)</f>
        <v>45083</v>
      </c>
    </row>
    <row r="621" spans="1:6">
      <c r="A621">
        <v>620</v>
      </c>
      <c r="B621" t="s">
        <v>2149</v>
      </c>
      <c r="C621">
        <v>250</v>
      </c>
      <c r="D621">
        <v>750</v>
      </c>
      <c r="E621">
        <v>50</v>
      </c>
      <c r="F621" s="61">
        <v>44862</v>
      </c>
    </row>
    <row r="622" spans="1:6">
      <c r="A622">
        <v>621</v>
      </c>
      <c r="B622" t="s">
        <v>2152</v>
      </c>
      <c r="C622">
        <v>250</v>
      </c>
      <c r="D622">
        <v>750</v>
      </c>
      <c r="E622">
        <v>50</v>
      </c>
      <c r="F622" s="61">
        <v>44903</v>
      </c>
    </row>
    <row r="623" spans="1:6">
      <c r="A623">
        <v>622</v>
      </c>
      <c r="B623" t="s">
        <v>2156</v>
      </c>
      <c r="C623">
        <v>250</v>
      </c>
      <c r="D623">
        <v>750</v>
      </c>
      <c r="E623">
        <v>50</v>
      </c>
      <c r="F623" s="60">
        <v>44855</v>
      </c>
    </row>
    <row r="624" spans="1:6">
      <c r="A624">
        <v>623</v>
      </c>
      <c r="B624" t="s">
        <v>2160</v>
      </c>
      <c r="C624">
        <v>250</v>
      </c>
      <c r="D624">
        <v>750</v>
      </c>
      <c r="E624">
        <v>50</v>
      </c>
      <c r="F624" s="60">
        <v>44931</v>
      </c>
    </row>
    <row r="625" spans="1:6">
      <c r="A625">
        <v>624</v>
      </c>
      <c r="B625" t="s">
        <v>2163</v>
      </c>
      <c r="C625">
        <v>250</v>
      </c>
      <c r="D625">
        <v>750</v>
      </c>
      <c r="E625">
        <v>50</v>
      </c>
      <c r="F625" s="61">
        <v>44859</v>
      </c>
    </row>
    <row r="626" spans="1:6">
      <c r="A626">
        <v>625</v>
      </c>
      <c r="B626" t="s">
        <v>2166</v>
      </c>
      <c r="C626">
        <v>250</v>
      </c>
      <c r="D626">
        <v>750</v>
      </c>
      <c r="E626">
        <v>50</v>
      </c>
      <c r="F626" s="61">
        <v>44868</v>
      </c>
    </row>
    <row r="627" spans="1:6">
      <c r="A627">
        <v>626</v>
      </c>
      <c r="B627" t="s">
        <v>2170</v>
      </c>
      <c r="C627">
        <v>250</v>
      </c>
      <c r="D627">
        <v>750</v>
      </c>
      <c r="E627">
        <v>50</v>
      </c>
      <c r="F627" s="71">
        <v>44853</v>
      </c>
    </row>
    <row r="628" spans="1:6">
      <c r="A628">
        <v>627</v>
      </c>
      <c r="B628" t="s">
        <v>2173</v>
      </c>
      <c r="C628">
        <v>250</v>
      </c>
      <c r="D628">
        <v>750</v>
      </c>
      <c r="E628">
        <v>50</v>
      </c>
      <c r="F628" s="60">
        <v>44872</v>
      </c>
    </row>
    <row r="629" spans="1:6">
      <c r="A629">
        <v>628</v>
      </c>
      <c r="B629" t="s">
        <v>2176</v>
      </c>
      <c r="C629">
        <v>250</v>
      </c>
      <c r="D629">
        <v>750</v>
      </c>
      <c r="E629">
        <v>50</v>
      </c>
      <c r="F629" s="60">
        <v>44876</v>
      </c>
    </row>
    <row r="630" spans="1:6">
      <c r="A630">
        <v>629</v>
      </c>
      <c r="B630" t="s">
        <v>2179</v>
      </c>
      <c r="C630">
        <v>250</v>
      </c>
      <c r="D630">
        <v>750</v>
      </c>
      <c r="E630">
        <v>50</v>
      </c>
      <c r="F630" s="61">
        <v>44897</v>
      </c>
    </row>
    <row r="631" spans="1:6">
      <c r="A631">
        <v>630</v>
      </c>
      <c r="B631" t="s">
        <v>2182</v>
      </c>
      <c r="C631">
        <v>250</v>
      </c>
      <c r="D631">
        <v>750</v>
      </c>
      <c r="E631">
        <v>50</v>
      </c>
      <c r="F631" s="73">
        <v>44968</v>
      </c>
    </row>
    <row r="632" spans="1:6">
      <c r="A632">
        <v>631</v>
      </c>
      <c r="B632" t="s">
        <v>2186</v>
      </c>
      <c r="D632">
        <v>1000</v>
      </c>
      <c r="E632">
        <v>50</v>
      </c>
      <c r="F632" s="73">
        <v>44891</v>
      </c>
    </row>
    <row r="633" spans="1:6">
      <c r="A633">
        <v>632</v>
      </c>
      <c r="B633" t="s">
        <v>2189</v>
      </c>
      <c r="C633">
        <v>250</v>
      </c>
      <c r="D633">
        <v>750</v>
      </c>
      <c r="E633">
        <v>50</v>
      </c>
      <c r="F633" s="75">
        <v>44910</v>
      </c>
    </row>
    <row r="634" spans="1:6">
      <c r="A634">
        <v>633</v>
      </c>
      <c r="B634" t="s">
        <v>2192</v>
      </c>
      <c r="C634">
        <v>250</v>
      </c>
      <c r="D634">
        <v>750</v>
      </c>
      <c r="E634">
        <v>50</v>
      </c>
      <c r="F634" s="69">
        <v>44916</v>
      </c>
    </row>
    <row r="635" spans="1:6">
      <c r="A635">
        <v>634</v>
      </c>
      <c r="B635" t="s">
        <v>2196</v>
      </c>
      <c r="C635">
        <v>250</v>
      </c>
      <c r="D635">
        <v>750</v>
      </c>
      <c r="E635">
        <v>50</v>
      </c>
      <c r="F635" s="73">
        <v>45008</v>
      </c>
    </row>
    <row r="636" spans="1:6">
      <c r="A636">
        <v>635</v>
      </c>
      <c r="B636" t="s">
        <v>2199</v>
      </c>
      <c r="C636">
        <v>250</v>
      </c>
      <c r="D636">
        <v>750</v>
      </c>
      <c r="E636">
        <v>50</v>
      </c>
      <c r="F636" s="69">
        <v>44891</v>
      </c>
    </row>
    <row r="637" spans="1:6">
      <c r="A637">
        <v>636</v>
      </c>
      <c r="B637" t="s">
        <v>2202</v>
      </c>
      <c r="C637">
        <v>750</v>
      </c>
      <c r="D637">
        <v>2250</v>
      </c>
      <c r="E637">
        <v>150</v>
      </c>
      <c r="F637" s="77">
        <v>44785</v>
      </c>
    </row>
    <row r="638" spans="1:6">
      <c r="A638">
        <v>637</v>
      </c>
      <c r="B638" t="s">
        <v>2205</v>
      </c>
      <c r="C638">
        <v>250</v>
      </c>
      <c r="D638">
        <v>750</v>
      </c>
      <c r="E638">
        <v>50</v>
      </c>
      <c r="F638" s="61">
        <v>44869</v>
      </c>
    </row>
    <row r="639" spans="1:6">
      <c r="A639">
        <v>638</v>
      </c>
      <c r="B639" t="s">
        <v>2208</v>
      </c>
      <c r="C639">
        <v>20000</v>
      </c>
      <c r="D639">
        <v>0</v>
      </c>
      <c r="E639">
        <v>1000</v>
      </c>
      <c r="F639" s="74">
        <v>45049</v>
      </c>
    </row>
    <row r="640" spans="1:6">
      <c r="A640">
        <v>639</v>
      </c>
      <c r="B640" t="s">
        <v>2211</v>
      </c>
      <c r="C640">
        <v>1250</v>
      </c>
      <c r="D640">
        <v>3750</v>
      </c>
      <c r="E640">
        <v>250</v>
      </c>
      <c r="F640" s="67">
        <v>45044</v>
      </c>
    </row>
    <row r="641" spans="1:6">
      <c r="A641">
        <v>640</v>
      </c>
      <c r="B641" t="s">
        <v>2214</v>
      </c>
      <c r="C641">
        <v>250</v>
      </c>
      <c r="D641">
        <v>750</v>
      </c>
      <c r="E641">
        <v>50</v>
      </c>
      <c r="F641" s="60">
        <v>44897</v>
      </c>
    </row>
    <row r="642" ht="15" spans="1:6">
      <c r="A642">
        <v>641</v>
      </c>
      <c r="B642" t="s">
        <v>2218</v>
      </c>
      <c r="C642">
        <v>1000000</v>
      </c>
      <c r="D642">
        <v>500000</v>
      </c>
      <c r="E642" t="s">
        <v>16642</v>
      </c>
      <c r="F642" s="81">
        <f>IFERROR(__xludf.DUMMYFUNCTION("""COMPUTED_VALUE"""),45084)</f>
        <v>45084</v>
      </c>
    </row>
    <row r="643" spans="1:6">
      <c r="A643">
        <v>642</v>
      </c>
      <c r="B643" t="s">
        <v>2219</v>
      </c>
      <c r="C643">
        <v>100000</v>
      </c>
      <c r="D643">
        <v>0</v>
      </c>
      <c r="E643" t="s">
        <v>16642</v>
      </c>
      <c r="F643" s="76">
        <v>44966</v>
      </c>
    </row>
    <row r="644" spans="1:6">
      <c r="A644">
        <v>643</v>
      </c>
      <c r="B644" t="s">
        <v>2224</v>
      </c>
      <c r="C644">
        <v>250</v>
      </c>
      <c r="D644">
        <v>750</v>
      </c>
      <c r="E644">
        <v>50</v>
      </c>
      <c r="F644" s="69">
        <v>45005</v>
      </c>
    </row>
    <row r="645" spans="1:6">
      <c r="A645">
        <v>644</v>
      </c>
      <c r="B645" t="s">
        <v>2227</v>
      </c>
      <c r="C645">
        <v>250</v>
      </c>
      <c r="D645">
        <v>750</v>
      </c>
      <c r="E645">
        <v>500</v>
      </c>
      <c r="F645" s="60">
        <v>44925</v>
      </c>
    </row>
    <row r="646" spans="1:6">
      <c r="A646">
        <v>645</v>
      </c>
      <c r="B646" t="s">
        <v>2230</v>
      </c>
      <c r="C646">
        <v>10000</v>
      </c>
      <c r="D646">
        <v>0</v>
      </c>
      <c r="E646">
        <v>500</v>
      </c>
      <c r="F646" s="65">
        <v>44609</v>
      </c>
    </row>
    <row r="647" spans="1:6">
      <c r="A647">
        <v>646</v>
      </c>
      <c r="B647" t="s">
        <v>2235</v>
      </c>
      <c r="C647">
        <v>7500</v>
      </c>
      <c r="D647">
        <v>2500</v>
      </c>
      <c r="E647">
        <v>500</v>
      </c>
      <c r="F647" s="67">
        <v>44931</v>
      </c>
    </row>
    <row r="648" spans="1:6">
      <c r="A648">
        <v>647</v>
      </c>
      <c r="B648" t="s">
        <v>2237</v>
      </c>
      <c r="C648">
        <v>1000</v>
      </c>
      <c r="D648">
        <v>0</v>
      </c>
      <c r="E648">
        <v>50</v>
      </c>
      <c r="F648" s="75">
        <v>44865</v>
      </c>
    </row>
    <row r="649" spans="1:6">
      <c r="A649">
        <v>648</v>
      </c>
      <c r="B649" t="s">
        <v>2241</v>
      </c>
      <c r="C649">
        <v>250</v>
      </c>
      <c r="D649">
        <v>750</v>
      </c>
      <c r="E649">
        <v>50</v>
      </c>
      <c r="F649" s="69">
        <v>44947</v>
      </c>
    </row>
    <row r="650" spans="1:6">
      <c r="A650">
        <v>649</v>
      </c>
      <c r="B650" t="s">
        <v>2244</v>
      </c>
      <c r="C650">
        <v>1000</v>
      </c>
      <c r="D650">
        <v>0</v>
      </c>
      <c r="E650">
        <v>50</v>
      </c>
      <c r="F650" s="65">
        <v>44706</v>
      </c>
    </row>
    <row r="651" spans="1:6">
      <c r="A651">
        <v>650</v>
      </c>
      <c r="B651" t="s">
        <v>2248</v>
      </c>
      <c r="C651">
        <v>1000</v>
      </c>
      <c r="D651">
        <v>0</v>
      </c>
      <c r="E651">
        <v>50</v>
      </c>
      <c r="F651" s="75">
        <v>44880</v>
      </c>
    </row>
    <row r="652" spans="1:6">
      <c r="A652">
        <v>651</v>
      </c>
      <c r="B652" t="s">
        <v>2252</v>
      </c>
      <c r="C652">
        <v>100000</v>
      </c>
      <c r="D652">
        <v>0</v>
      </c>
      <c r="E652" t="s">
        <v>16642</v>
      </c>
      <c r="F652" s="104"/>
    </row>
    <row r="653" spans="1:6">
      <c r="A653">
        <v>652</v>
      </c>
      <c r="B653" t="s">
        <v>2256</v>
      </c>
      <c r="C653">
        <v>250</v>
      </c>
      <c r="D653">
        <v>750</v>
      </c>
      <c r="E653">
        <v>50</v>
      </c>
      <c r="F653" s="73">
        <v>45000</v>
      </c>
    </row>
    <row r="654" spans="1:6">
      <c r="A654">
        <v>653</v>
      </c>
      <c r="B654" t="s">
        <v>2259</v>
      </c>
      <c r="C654">
        <v>250</v>
      </c>
      <c r="D654">
        <v>750</v>
      </c>
      <c r="E654">
        <v>50</v>
      </c>
      <c r="F654" s="61">
        <v>44873</v>
      </c>
    </row>
    <row r="655" spans="1:6">
      <c r="A655">
        <v>654</v>
      </c>
      <c r="B655" t="s">
        <v>2262</v>
      </c>
      <c r="C655">
        <v>250</v>
      </c>
      <c r="D655">
        <v>750</v>
      </c>
      <c r="E655">
        <v>50</v>
      </c>
      <c r="F655" s="70">
        <v>44897</v>
      </c>
    </row>
    <row r="656" spans="1:6">
      <c r="A656">
        <v>655</v>
      </c>
      <c r="B656" t="s">
        <v>2265</v>
      </c>
      <c r="C656">
        <v>250</v>
      </c>
      <c r="D656">
        <v>750</v>
      </c>
      <c r="E656">
        <v>50</v>
      </c>
      <c r="F656" s="73">
        <v>44981</v>
      </c>
    </row>
    <row r="657" spans="1:6">
      <c r="A657">
        <v>656</v>
      </c>
      <c r="B657" t="s">
        <v>2268</v>
      </c>
      <c r="C657">
        <v>250</v>
      </c>
      <c r="D657">
        <v>750</v>
      </c>
      <c r="E657">
        <v>50</v>
      </c>
      <c r="F657" s="60">
        <v>45013</v>
      </c>
    </row>
    <row r="658" spans="1:6">
      <c r="A658">
        <v>657</v>
      </c>
      <c r="B658" t="s">
        <v>2271</v>
      </c>
      <c r="C658">
        <v>250</v>
      </c>
      <c r="D658">
        <v>750</v>
      </c>
      <c r="E658">
        <v>50</v>
      </c>
      <c r="F658" s="60">
        <v>45000</v>
      </c>
    </row>
    <row r="659" spans="1:6">
      <c r="A659">
        <v>658</v>
      </c>
      <c r="B659" t="s">
        <v>2274</v>
      </c>
      <c r="C659">
        <v>1000</v>
      </c>
      <c r="D659">
        <v>0</v>
      </c>
      <c r="E659">
        <v>50</v>
      </c>
      <c r="F659" s="67">
        <v>45014</v>
      </c>
    </row>
    <row r="660" spans="1:6">
      <c r="A660">
        <v>659</v>
      </c>
      <c r="B660" t="s">
        <v>2277</v>
      </c>
      <c r="C660">
        <v>250</v>
      </c>
      <c r="D660">
        <v>750</v>
      </c>
      <c r="E660">
        <v>50</v>
      </c>
      <c r="F660" s="61">
        <v>44889</v>
      </c>
    </row>
    <row r="661" spans="1:6">
      <c r="A661">
        <v>660</v>
      </c>
      <c r="B661" t="s">
        <v>2281</v>
      </c>
      <c r="C661">
        <v>250</v>
      </c>
      <c r="D661">
        <v>750</v>
      </c>
      <c r="E661">
        <v>50</v>
      </c>
      <c r="F661" s="73">
        <v>44845</v>
      </c>
    </row>
    <row r="662" spans="1:6">
      <c r="A662">
        <v>661</v>
      </c>
      <c r="B662" t="s">
        <v>2285</v>
      </c>
      <c r="C662">
        <v>250</v>
      </c>
      <c r="D662">
        <v>750</v>
      </c>
      <c r="E662">
        <v>50</v>
      </c>
      <c r="F662" s="61">
        <v>44925</v>
      </c>
    </row>
    <row r="663" spans="1:6">
      <c r="A663">
        <v>662</v>
      </c>
      <c r="B663" t="s">
        <v>2288</v>
      </c>
      <c r="C663">
        <v>250</v>
      </c>
      <c r="D663">
        <v>750</v>
      </c>
      <c r="E663">
        <v>50</v>
      </c>
      <c r="F663" s="61">
        <v>45045</v>
      </c>
    </row>
    <row r="664" spans="1:6">
      <c r="A664">
        <v>663</v>
      </c>
      <c r="B664" t="s">
        <v>2291</v>
      </c>
      <c r="C664">
        <v>250</v>
      </c>
      <c r="D664">
        <v>750</v>
      </c>
      <c r="E664">
        <v>50</v>
      </c>
      <c r="F664" s="61">
        <v>44858</v>
      </c>
    </row>
    <row r="665" spans="1:6">
      <c r="A665">
        <v>664</v>
      </c>
      <c r="B665" t="s">
        <v>2294</v>
      </c>
      <c r="C665">
        <v>250</v>
      </c>
      <c r="D665">
        <v>750</v>
      </c>
      <c r="E665">
        <v>50</v>
      </c>
      <c r="F665" s="61">
        <v>44866</v>
      </c>
    </row>
    <row r="666" spans="1:6">
      <c r="A666">
        <v>665</v>
      </c>
      <c r="B666" t="s">
        <v>2297</v>
      </c>
      <c r="C666">
        <v>250</v>
      </c>
      <c r="D666">
        <v>750</v>
      </c>
      <c r="E666">
        <v>50</v>
      </c>
      <c r="F666" s="61">
        <v>44879</v>
      </c>
    </row>
    <row r="667" spans="1:6">
      <c r="A667">
        <v>666</v>
      </c>
      <c r="B667" t="s">
        <v>2301</v>
      </c>
      <c r="C667">
        <v>250</v>
      </c>
      <c r="D667">
        <v>750</v>
      </c>
      <c r="E667">
        <v>50</v>
      </c>
      <c r="F667" s="69">
        <v>44937</v>
      </c>
    </row>
    <row r="668" spans="1:6">
      <c r="A668">
        <v>667</v>
      </c>
      <c r="B668" t="s">
        <v>2305</v>
      </c>
      <c r="C668">
        <v>250</v>
      </c>
      <c r="D668">
        <v>750</v>
      </c>
      <c r="E668">
        <v>50</v>
      </c>
      <c r="F668" s="61">
        <v>44865</v>
      </c>
    </row>
    <row r="669" spans="1:6">
      <c r="A669">
        <v>668</v>
      </c>
      <c r="B669" t="s">
        <v>2308</v>
      </c>
      <c r="C669">
        <v>250</v>
      </c>
      <c r="D669">
        <v>750</v>
      </c>
      <c r="E669">
        <v>50</v>
      </c>
      <c r="F669" s="61">
        <v>44866</v>
      </c>
    </row>
    <row r="670" spans="1:6">
      <c r="A670">
        <v>669</v>
      </c>
      <c r="B670" t="s">
        <v>2311</v>
      </c>
      <c r="C670">
        <v>250</v>
      </c>
      <c r="D670">
        <v>750</v>
      </c>
      <c r="E670">
        <v>50</v>
      </c>
      <c r="F670" s="73">
        <v>44936</v>
      </c>
    </row>
    <row r="671" spans="1:6">
      <c r="A671">
        <v>670</v>
      </c>
      <c r="B671" t="s">
        <v>2314</v>
      </c>
      <c r="C671">
        <v>250</v>
      </c>
      <c r="D671">
        <v>750</v>
      </c>
      <c r="E671">
        <v>50</v>
      </c>
      <c r="F671" s="69">
        <v>45131</v>
      </c>
    </row>
    <row r="672" spans="1:6">
      <c r="A672">
        <v>671</v>
      </c>
      <c r="B672" t="s">
        <v>2317</v>
      </c>
      <c r="C672">
        <v>250</v>
      </c>
      <c r="D672">
        <v>750</v>
      </c>
      <c r="E672">
        <v>50</v>
      </c>
      <c r="F672" s="60">
        <v>44930</v>
      </c>
    </row>
    <row r="673" spans="1:6">
      <c r="A673">
        <v>672</v>
      </c>
      <c r="B673" t="s">
        <v>2320</v>
      </c>
      <c r="C673">
        <v>250</v>
      </c>
      <c r="D673">
        <v>750</v>
      </c>
      <c r="E673">
        <v>50</v>
      </c>
      <c r="F673" s="65">
        <v>44510</v>
      </c>
    </row>
    <row r="674" ht="15" spans="1:6">
      <c r="A674">
        <v>673</v>
      </c>
      <c r="B674" t="s">
        <v>2324</v>
      </c>
      <c r="C674">
        <v>1000000</v>
      </c>
      <c r="D674">
        <v>500000</v>
      </c>
      <c r="E674" t="s">
        <v>16642</v>
      </c>
      <c r="F674" s="81">
        <f>IFERROR(__xludf.DUMMYFUNCTION("""COMPUTED_VALUE"""),45083)</f>
        <v>45083</v>
      </c>
    </row>
    <row r="675" spans="1:6">
      <c r="A675">
        <v>674</v>
      </c>
      <c r="B675" t="s">
        <v>2325</v>
      </c>
      <c r="C675">
        <v>250</v>
      </c>
      <c r="D675">
        <v>750</v>
      </c>
      <c r="E675">
        <v>50</v>
      </c>
      <c r="F675" s="60">
        <v>44865</v>
      </c>
    </row>
    <row r="676" spans="1:6">
      <c r="A676">
        <v>675</v>
      </c>
      <c r="B676" t="s">
        <v>2328</v>
      </c>
      <c r="C676">
        <v>3000</v>
      </c>
      <c r="D676">
        <v>0</v>
      </c>
      <c r="E676">
        <v>150</v>
      </c>
      <c r="F676" s="77">
        <v>44776</v>
      </c>
    </row>
    <row r="677" ht="15" spans="1:6">
      <c r="A677">
        <v>676</v>
      </c>
      <c r="B677" t="s">
        <v>2332</v>
      </c>
      <c r="C677">
        <v>1500000</v>
      </c>
      <c r="E677" t="s">
        <v>16642</v>
      </c>
      <c r="F677" s="81">
        <f>IFERROR(__xludf.DUMMYFUNCTION("""COMPUTED_VALUE"""),45084)</f>
        <v>45084</v>
      </c>
    </row>
    <row r="678" spans="1:6">
      <c r="A678">
        <v>677</v>
      </c>
      <c r="B678" t="s">
        <v>2333</v>
      </c>
      <c r="C678">
        <v>10000</v>
      </c>
      <c r="D678">
        <v>20000</v>
      </c>
      <c r="E678">
        <v>1500</v>
      </c>
      <c r="F678" s="64" t="s">
        <v>16695</v>
      </c>
    </row>
    <row r="679" spans="1:6">
      <c r="A679">
        <v>678</v>
      </c>
      <c r="B679" t="s">
        <v>2337</v>
      </c>
      <c r="C679">
        <v>2000</v>
      </c>
      <c r="D679">
        <v>0</v>
      </c>
      <c r="E679">
        <v>100</v>
      </c>
      <c r="F679" s="77">
        <v>44715</v>
      </c>
    </row>
    <row r="680" spans="1:6">
      <c r="A680">
        <v>679</v>
      </c>
      <c r="B680" t="s">
        <v>2340</v>
      </c>
      <c r="C680">
        <v>500</v>
      </c>
      <c r="D680">
        <v>500</v>
      </c>
      <c r="E680">
        <v>50</v>
      </c>
      <c r="F680" s="64" t="s">
        <v>16687</v>
      </c>
    </row>
    <row r="681" spans="1:6">
      <c r="A681">
        <v>680</v>
      </c>
      <c r="B681" t="s">
        <v>2344</v>
      </c>
      <c r="C681">
        <v>100000</v>
      </c>
      <c r="D681">
        <v>0</v>
      </c>
      <c r="E681" t="s">
        <v>16642</v>
      </c>
      <c r="F681" s="76">
        <v>44890</v>
      </c>
    </row>
    <row r="682" spans="1:6">
      <c r="A682">
        <v>681</v>
      </c>
      <c r="B682" t="s">
        <v>2349</v>
      </c>
      <c r="C682">
        <v>100000</v>
      </c>
      <c r="D682">
        <v>0</v>
      </c>
      <c r="E682" t="s">
        <v>16642</v>
      </c>
      <c r="F682" s="100"/>
    </row>
    <row r="683" spans="1:6">
      <c r="A683">
        <v>682</v>
      </c>
      <c r="B683" t="s">
        <v>2351</v>
      </c>
      <c r="C683">
        <v>250</v>
      </c>
      <c r="D683">
        <v>750</v>
      </c>
      <c r="E683">
        <v>50</v>
      </c>
      <c r="F683" s="75">
        <v>44926</v>
      </c>
    </row>
    <row r="684" spans="1:6">
      <c r="A684">
        <v>683</v>
      </c>
      <c r="B684" t="s">
        <v>2354</v>
      </c>
      <c r="C684">
        <v>5000</v>
      </c>
      <c r="D684">
        <v>15000</v>
      </c>
      <c r="E684">
        <v>1000</v>
      </c>
      <c r="F684" s="64" t="s">
        <v>16696</v>
      </c>
    </row>
    <row r="685" ht="15" spans="1:6">
      <c r="A685">
        <v>684</v>
      </c>
      <c r="B685" t="s">
        <v>2358</v>
      </c>
      <c r="C685">
        <v>1500000</v>
      </c>
      <c r="D685">
        <v>0</v>
      </c>
      <c r="E685" t="s">
        <v>16642</v>
      </c>
      <c r="F685" s="81">
        <f>IFERROR(__xludf.DUMMYFUNCTION("""COMPUTED_VALUE"""),45083)</f>
        <v>45083</v>
      </c>
    </row>
    <row r="686" spans="1:6">
      <c r="A686">
        <v>685</v>
      </c>
      <c r="B686" t="s">
        <v>2359</v>
      </c>
      <c r="C686">
        <v>1000</v>
      </c>
      <c r="D686">
        <v>0</v>
      </c>
      <c r="E686">
        <v>50</v>
      </c>
      <c r="F686" s="77">
        <v>44860</v>
      </c>
    </row>
    <row r="687" spans="1:6">
      <c r="A687">
        <v>686</v>
      </c>
      <c r="B687" t="s">
        <v>2362</v>
      </c>
      <c r="C687">
        <v>250</v>
      </c>
      <c r="D687">
        <v>750</v>
      </c>
      <c r="E687">
        <v>50</v>
      </c>
      <c r="F687" s="61">
        <v>44880</v>
      </c>
    </row>
    <row r="688" spans="1:6">
      <c r="A688">
        <v>687</v>
      </c>
      <c r="B688" t="s">
        <v>2365</v>
      </c>
      <c r="C688">
        <v>250</v>
      </c>
      <c r="D688">
        <v>750</v>
      </c>
      <c r="E688">
        <v>50</v>
      </c>
      <c r="F688" s="61">
        <v>44847</v>
      </c>
    </row>
    <row r="689" spans="1:6">
      <c r="A689">
        <v>688</v>
      </c>
      <c r="B689" t="s">
        <v>2369</v>
      </c>
      <c r="C689">
        <v>250</v>
      </c>
      <c r="D689">
        <v>750</v>
      </c>
      <c r="E689">
        <v>50</v>
      </c>
      <c r="F689" s="60">
        <v>45105</v>
      </c>
    </row>
    <row r="690" spans="1:6">
      <c r="A690">
        <v>689</v>
      </c>
      <c r="B690" t="s">
        <v>2372</v>
      </c>
      <c r="C690">
        <v>1000</v>
      </c>
      <c r="D690">
        <v>0</v>
      </c>
      <c r="E690">
        <v>50</v>
      </c>
      <c r="F690" s="69">
        <v>44985</v>
      </c>
    </row>
    <row r="691" spans="1:6">
      <c r="A691">
        <v>690</v>
      </c>
      <c r="B691" t="s">
        <v>2376</v>
      </c>
      <c r="C691">
        <v>1000</v>
      </c>
      <c r="D691">
        <v>0</v>
      </c>
      <c r="E691">
        <v>50</v>
      </c>
      <c r="F691" s="61">
        <v>44877</v>
      </c>
    </row>
    <row r="692" spans="1:6">
      <c r="A692">
        <v>691</v>
      </c>
      <c r="B692" t="s">
        <v>2379</v>
      </c>
      <c r="C692">
        <v>250</v>
      </c>
      <c r="D692">
        <v>750</v>
      </c>
      <c r="E692">
        <v>50</v>
      </c>
      <c r="F692" s="61">
        <v>44883</v>
      </c>
    </row>
    <row r="693" spans="1:6">
      <c r="A693">
        <v>692</v>
      </c>
      <c r="B693" t="s">
        <v>2383</v>
      </c>
      <c r="C693">
        <v>250</v>
      </c>
      <c r="D693">
        <v>750</v>
      </c>
      <c r="E693">
        <v>50</v>
      </c>
      <c r="F693" s="60">
        <v>44896</v>
      </c>
    </row>
    <row r="694" spans="1:6">
      <c r="A694">
        <v>693</v>
      </c>
      <c r="B694" t="s">
        <v>2387</v>
      </c>
      <c r="C694">
        <v>250</v>
      </c>
      <c r="D694">
        <v>750</v>
      </c>
      <c r="E694">
        <v>50</v>
      </c>
      <c r="F694" s="61">
        <v>44849</v>
      </c>
    </row>
    <row r="695" spans="1:6">
      <c r="A695">
        <v>694</v>
      </c>
      <c r="B695" t="s">
        <v>2390</v>
      </c>
      <c r="C695">
        <v>500</v>
      </c>
      <c r="D695">
        <v>500</v>
      </c>
      <c r="E695">
        <v>50</v>
      </c>
      <c r="F695" s="70">
        <v>44898</v>
      </c>
    </row>
    <row r="696" spans="1:6">
      <c r="A696">
        <v>695</v>
      </c>
      <c r="B696" t="s">
        <v>2393</v>
      </c>
      <c r="C696">
        <v>1000</v>
      </c>
      <c r="D696">
        <v>0</v>
      </c>
      <c r="E696">
        <v>50</v>
      </c>
      <c r="F696" s="69">
        <v>44996</v>
      </c>
    </row>
    <row r="697" spans="1:6">
      <c r="A697">
        <v>696</v>
      </c>
      <c r="B697" t="s">
        <v>2397</v>
      </c>
      <c r="C697">
        <v>250</v>
      </c>
      <c r="D697">
        <v>750</v>
      </c>
      <c r="E697">
        <v>50</v>
      </c>
      <c r="F697" s="61">
        <v>44922</v>
      </c>
    </row>
    <row r="698" spans="1:6">
      <c r="A698">
        <v>697</v>
      </c>
      <c r="B698" t="s">
        <v>2401</v>
      </c>
      <c r="C698">
        <v>250</v>
      </c>
      <c r="D698">
        <v>750</v>
      </c>
      <c r="E698">
        <v>50</v>
      </c>
      <c r="F698" s="60">
        <v>44862</v>
      </c>
    </row>
    <row r="699" spans="1:6">
      <c r="A699">
        <v>698</v>
      </c>
      <c r="B699" t="s">
        <v>2404</v>
      </c>
      <c r="C699">
        <v>250</v>
      </c>
      <c r="D699">
        <v>750</v>
      </c>
      <c r="E699">
        <v>50</v>
      </c>
      <c r="F699" s="60">
        <v>45043</v>
      </c>
    </row>
    <row r="700" spans="1:6">
      <c r="A700">
        <v>699</v>
      </c>
      <c r="B700" t="s">
        <v>2408</v>
      </c>
      <c r="C700">
        <v>250</v>
      </c>
      <c r="D700">
        <v>750</v>
      </c>
      <c r="E700">
        <v>50</v>
      </c>
      <c r="F700" s="60">
        <v>44876</v>
      </c>
    </row>
    <row r="701" spans="1:6">
      <c r="A701">
        <v>700</v>
      </c>
      <c r="B701" t="s">
        <v>2411</v>
      </c>
      <c r="C701">
        <v>250</v>
      </c>
      <c r="D701">
        <v>750</v>
      </c>
      <c r="E701">
        <v>50</v>
      </c>
      <c r="F701" s="60">
        <v>44896</v>
      </c>
    </row>
    <row r="702" spans="1:6">
      <c r="A702">
        <v>701</v>
      </c>
      <c r="B702" t="s">
        <v>2415</v>
      </c>
      <c r="C702">
        <v>250</v>
      </c>
      <c r="D702">
        <v>750</v>
      </c>
      <c r="E702">
        <v>50</v>
      </c>
      <c r="F702" s="73">
        <v>44961</v>
      </c>
    </row>
    <row r="703" spans="1:6">
      <c r="A703">
        <v>702</v>
      </c>
      <c r="B703" t="s">
        <v>2418</v>
      </c>
      <c r="C703">
        <v>250</v>
      </c>
      <c r="D703">
        <v>750</v>
      </c>
      <c r="E703">
        <v>50</v>
      </c>
      <c r="F703" s="60">
        <v>44873</v>
      </c>
    </row>
    <row r="704" spans="1:6">
      <c r="A704">
        <v>703</v>
      </c>
      <c r="B704" t="s">
        <v>2422</v>
      </c>
      <c r="C704">
        <v>250</v>
      </c>
      <c r="D704">
        <v>750</v>
      </c>
      <c r="E704">
        <v>50</v>
      </c>
      <c r="F704" s="61">
        <v>45054</v>
      </c>
    </row>
    <row r="705" spans="1:6">
      <c r="A705">
        <v>704</v>
      </c>
      <c r="B705" t="s">
        <v>2425</v>
      </c>
      <c r="C705">
        <v>250</v>
      </c>
      <c r="D705">
        <v>750</v>
      </c>
      <c r="E705">
        <v>50</v>
      </c>
      <c r="F705" s="69">
        <v>44928</v>
      </c>
    </row>
    <row r="706" spans="1:6">
      <c r="A706">
        <v>705</v>
      </c>
      <c r="B706" t="s">
        <v>2429</v>
      </c>
      <c r="C706">
        <v>250</v>
      </c>
      <c r="D706">
        <v>750</v>
      </c>
      <c r="E706">
        <v>50</v>
      </c>
      <c r="F706" s="61">
        <v>44859</v>
      </c>
    </row>
    <row r="707" spans="1:6">
      <c r="A707">
        <v>706</v>
      </c>
      <c r="B707" t="s">
        <v>2432</v>
      </c>
      <c r="C707">
        <v>2500</v>
      </c>
      <c r="D707">
        <v>7500</v>
      </c>
      <c r="E707">
        <v>500</v>
      </c>
      <c r="F707" s="61">
        <v>44880</v>
      </c>
    </row>
    <row r="708" spans="1:6">
      <c r="A708">
        <v>707</v>
      </c>
      <c r="B708" t="s">
        <v>2435</v>
      </c>
      <c r="C708">
        <v>5000</v>
      </c>
      <c r="D708">
        <v>0</v>
      </c>
      <c r="E708">
        <v>250</v>
      </c>
      <c r="F708" s="77">
        <v>44615</v>
      </c>
    </row>
    <row r="709" spans="1:6">
      <c r="A709">
        <v>708</v>
      </c>
      <c r="B709" t="s">
        <v>2438</v>
      </c>
      <c r="C709">
        <v>1000</v>
      </c>
      <c r="D709">
        <v>0</v>
      </c>
      <c r="E709">
        <v>50</v>
      </c>
      <c r="F709" s="60">
        <v>44844</v>
      </c>
    </row>
    <row r="710" spans="1:6">
      <c r="A710">
        <v>709</v>
      </c>
      <c r="B710" t="s">
        <v>2441</v>
      </c>
      <c r="C710">
        <v>250</v>
      </c>
      <c r="D710">
        <v>750</v>
      </c>
      <c r="E710">
        <v>50</v>
      </c>
      <c r="F710" s="61">
        <v>44869</v>
      </c>
    </row>
    <row r="711" spans="1:6">
      <c r="A711">
        <v>710</v>
      </c>
      <c r="B711" t="s">
        <v>2444</v>
      </c>
      <c r="C711">
        <v>250</v>
      </c>
      <c r="D711">
        <v>750</v>
      </c>
      <c r="E711">
        <v>50</v>
      </c>
      <c r="F711" s="61">
        <v>44929</v>
      </c>
    </row>
    <row r="712" spans="1:6">
      <c r="A712">
        <v>711</v>
      </c>
      <c r="B712" t="s">
        <v>2448</v>
      </c>
      <c r="C712">
        <v>250</v>
      </c>
      <c r="D712">
        <v>750</v>
      </c>
      <c r="E712">
        <v>50</v>
      </c>
      <c r="F712" s="60">
        <v>44925</v>
      </c>
    </row>
    <row r="713" spans="1:6">
      <c r="A713">
        <v>712</v>
      </c>
      <c r="B713" t="s">
        <v>2451</v>
      </c>
      <c r="C713">
        <v>250</v>
      </c>
      <c r="D713">
        <v>750</v>
      </c>
      <c r="E713">
        <v>50</v>
      </c>
      <c r="F713" s="60">
        <v>44960</v>
      </c>
    </row>
    <row r="714" spans="1:6">
      <c r="A714">
        <v>713</v>
      </c>
      <c r="B714" t="s">
        <v>2454</v>
      </c>
      <c r="C714">
        <v>1000</v>
      </c>
      <c r="D714">
        <v>0</v>
      </c>
      <c r="E714">
        <v>50</v>
      </c>
      <c r="F714" s="60">
        <v>44898</v>
      </c>
    </row>
    <row r="715" spans="1:6">
      <c r="A715">
        <v>714</v>
      </c>
      <c r="B715" t="s">
        <v>2457</v>
      </c>
      <c r="C715">
        <v>250</v>
      </c>
      <c r="D715">
        <v>750</v>
      </c>
      <c r="E715">
        <v>50</v>
      </c>
      <c r="F715" s="71">
        <v>44905</v>
      </c>
    </row>
    <row r="716" spans="1:6">
      <c r="A716">
        <v>715</v>
      </c>
      <c r="B716" t="s">
        <v>2460</v>
      </c>
      <c r="C716">
        <v>250</v>
      </c>
      <c r="D716">
        <v>750</v>
      </c>
      <c r="E716">
        <v>50</v>
      </c>
      <c r="F716" s="61">
        <v>44897</v>
      </c>
    </row>
    <row r="717" spans="1:6">
      <c r="A717">
        <v>716</v>
      </c>
      <c r="B717" t="s">
        <v>2464</v>
      </c>
      <c r="C717">
        <v>250</v>
      </c>
      <c r="D717">
        <v>750</v>
      </c>
      <c r="E717">
        <v>50</v>
      </c>
      <c r="F717" s="60">
        <v>44861</v>
      </c>
    </row>
    <row r="718" spans="1:6">
      <c r="A718">
        <v>717</v>
      </c>
      <c r="B718" t="s">
        <v>2468</v>
      </c>
      <c r="C718">
        <v>1000</v>
      </c>
      <c r="D718">
        <v>0</v>
      </c>
      <c r="E718">
        <v>50</v>
      </c>
      <c r="F718" s="61">
        <v>44852</v>
      </c>
    </row>
    <row r="719" spans="1:6">
      <c r="A719">
        <v>718</v>
      </c>
      <c r="B719" t="s">
        <v>2472</v>
      </c>
      <c r="C719">
        <v>12500</v>
      </c>
      <c r="D719">
        <v>37500</v>
      </c>
      <c r="E719">
        <v>2500</v>
      </c>
      <c r="F719" s="77">
        <v>44789</v>
      </c>
    </row>
    <row r="720" spans="1:6">
      <c r="A720">
        <v>719</v>
      </c>
      <c r="B720" t="s">
        <v>2475</v>
      </c>
      <c r="C720">
        <v>5000</v>
      </c>
      <c r="D720">
        <v>5000</v>
      </c>
      <c r="E720">
        <v>500</v>
      </c>
      <c r="F720" s="106">
        <v>44967</v>
      </c>
    </row>
    <row r="721" spans="1:6">
      <c r="A721">
        <v>720</v>
      </c>
      <c r="B721" t="s">
        <v>2478</v>
      </c>
      <c r="C721">
        <v>100000</v>
      </c>
      <c r="D721">
        <v>0</v>
      </c>
      <c r="E721" t="s">
        <v>16642</v>
      </c>
      <c r="F721" s="100"/>
    </row>
    <row r="722" spans="1:6">
      <c r="A722">
        <v>721</v>
      </c>
      <c r="B722" t="s">
        <v>2483</v>
      </c>
      <c r="C722">
        <v>5000</v>
      </c>
      <c r="D722">
        <v>0</v>
      </c>
      <c r="E722">
        <v>175</v>
      </c>
      <c r="F722" s="64" t="s">
        <v>16697</v>
      </c>
    </row>
    <row r="723" spans="1:6">
      <c r="A723">
        <v>722</v>
      </c>
      <c r="B723" t="s">
        <v>2487</v>
      </c>
      <c r="C723">
        <v>500</v>
      </c>
      <c r="D723">
        <v>1500</v>
      </c>
      <c r="E723">
        <v>100</v>
      </c>
      <c r="F723" s="65">
        <v>44460</v>
      </c>
    </row>
    <row r="724" spans="1:6">
      <c r="A724">
        <v>723</v>
      </c>
      <c r="B724" t="s">
        <v>2492</v>
      </c>
      <c r="C724">
        <v>2000</v>
      </c>
      <c r="D724">
        <v>0</v>
      </c>
      <c r="E724">
        <v>100</v>
      </c>
      <c r="F724" s="77">
        <v>44768</v>
      </c>
    </row>
    <row r="725" spans="1:6">
      <c r="A725">
        <v>724</v>
      </c>
      <c r="B725" t="s">
        <v>2495</v>
      </c>
      <c r="C725">
        <v>10000</v>
      </c>
      <c r="D725">
        <v>0</v>
      </c>
      <c r="E725">
        <v>500</v>
      </c>
      <c r="F725" s="65">
        <v>44749</v>
      </c>
    </row>
    <row r="726" spans="1:6">
      <c r="A726">
        <v>725</v>
      </c>
      <c r="B726" t="s">
        <v>2499</v>
      </c>
      <c r="C726">
        <v>10000</v>
      </c>
      <c r="D726">
        <v>0</v>
      </c>
      <c r="E726">
        <v>500</v>
      </c>
      <c r="F726" s="65">
        <v>44441</v>
      </c>
    </row>
    <row r="727" spans="1:6">
      <c r="A727">
        <v>726</v>
      </c>
      <c r="B727" t="s">
        <v>2504</v>
      </c>
      <c r="C727">
        <v>1000000</v>
      </c>
      <c r="D727">
        <v>500000</v>
      </c>
      <c r="E727" t="s">
        <v>16642</v>
      </c>
      <c r="F727" s="90">
        <f>IFERROR(__xludf.DUMMYFUNCTION("""COMPUTED_VALUE"""),45080)</f>
        <v>45080</v>
      </c>
    </row>
    <row r="728" ht="15" spans="1:6">
      <c r="A728">
        <v>727</v>
      </c>
      <c r="B728" t="s">
        <v>2504</v>
      </c>
      <c r="C728">
        <v>1000000</v>
      </c>
      <c r="D728">
        <v>500000</v>
      </c>
      <c r="E728" t="s">
        <v>16642</v>
      </c>
      <c r="F728" s="98">
        <f>IFERROR(__xludf.DUMMYFUNCTION("""COMPUTED_VALUE"""),45084)</f>
        <v>45084</v>
      </c>
    </row>
    <row r="729" spans="1:6">
      <c r="A729">
        <v>728</v>
      </c>
      <c r="B729" t="s">
        <v>2505</v>
      </c>
      <c r="C729">
        <v>800000</v>
      </c>
      <c r="D729">
        <v>0</v>
      </c>
      <c r="E729" t="s">
        <v>16642</v>
      </c>
      <c r="F729" s="107">
        <v>44774</v>
      </c>
    </row>
    <row r="730" spans="1:6">
      <c r="A730">
        <v>729</v>
      </c>
      <c r="B730" t="s">
        <v>2505</v>
      </c>
      <c r="C730">
        <v>200000</v>
      </c>
      <c r="D730">
        <v>0</v>
      </c>
      <c r="E730" t="s">
        <v>16642</v>
      </c>
      <c r="F730" s="85"/>
    </row>
    <row r="731" spans="1:6">
      <c r="A731">
        <v>730</v>
      </c>
      <c r="B731" t="s">
        <v>2510</v>
      </c>
      <c r="C731">
        <v>5000</v>
      </c>
      <c r="D731">
        <v>5000</v>
      </c>
      <c r="E731">
        <v>500</v>
      </c>
      <c r="F731" s="67">
        <v>44975</v>
      </c>
    </row>
    <row r="732" ht="15" spans="1:6">
      <c r="A732">
        <v>731</v>
      </c>
      <c r="B732" t="s">
        <v>2513</v>
      </c>
      <c r="C732">
        <v>1000000</v>
      </c>
      <c r="D732">
        <v>500000</v>
      </c>
      <c r="E732" t="s">
        <v>16642</v>
      </c>
      <c r="F732" s="81">
        <f>IFERROR(__xludf.DUMMYFUNCTION("""COMPUTED_VALUE"""),45083)</f>
        <v>45083</v>
      </c>
    </row>
    <row r="733" spans="1:6">
      <c r="A733">
        <v>732</v>
      </c>
      <c r="B733" t="s">
        <v>2514</v>
      </c>
      <c r="C733">
        <v>100000</v>
      </c>
      <c r="D733">
        <v>0</v>
      </c>
      <c r="E733" t="s">
        <v>16642</v>
      </c>
      <c r="F733" s="76">
        <v>45054</v>
      </c>
    </row>
    <row r="734" spans="1:6">
      <c r="A734">
        <v>733</v>
      </c>
      <c r="B734" t="s">
        <v>2518</v>
      </c>
      <c r="C734">
        <v>100000</v>
      </c>
      <c r="D734">
        <v>0</v>
      </c>
      <c r="E734" t="s">
        <v>16642</v>
      </c>
      <c r="F734" s="84"/>
    </row>
    <row r="735" spans="1:6">
      <c r="A735">
        <v>734</v>
      </c>
      <c r="B735" t="s">
        <v>2518</v>
      </c>
      <c r="C735">
        <v>200000</v>
      </c>
      <c r="D735">
        <v>0</v>
      </c>
      <c r="E735" t="s">
        <v>16642</v>
      </c>
      <c r="F735" s="89"/>
    </row>
    <row r="736" spans="1:6">
      <c r="A736">
        <v>735</v>
      </c>
      <c r="B736" t="s">
        <v>2523</v>
      </c>
      <c r="C736">
        <v>250</v>
      </c>
      <c r="D736">
        <v>750</v>
      </c>
      <c r="E736">
        <v>50</v>
      </c>
      <c r="F736" s="60">
        <v>45055</v>
      </c>
    </row>
    <row r="737" ht="15" spans="1:6">
      <c r="A737">
        <v>736</v>
      </c>
      <c r="B737" t="s">
        <v>2526</v>
      </c>
      <c r="C737">
        <v>1000000</v>
      </c>
      <c r="D737">
        <v>500000</v>
      </c>
      <c r="E737" t="s">
        <v>16642</v>
      </c>
      <c r="F737" s="108">
        <f>IFERROR(__xludf.DUMMYFUNCTION("""COMPUTED_VALUE"""),45084)</f>
        <v>45084</v>
      </c>
    </row>
    <row r="738" ht="15" spans="1:6">
      <c r="A738">
        <v>737</v>
      </c>
      <c r="B738" t="s">
        <v>2526</v>
      </c>
      <c r="C738">
        <v>1000000</v>
      </c>
      <c r="D738">
        <v>500000</v>
      </c>
      <c r="E738" t="s">
        <v>16642</v>
      </c>
      <c r="F738" s="108">
        <f>IFERROR(__xludf.DUMMYFUNCTION("""COMPUTED_VALUE"""),45084)</f>
        <v>45084</v>
      </c>
    </row>
    <row r="739" spans="1:6">
      <c r="A739">
        <v>738</v>
      </c>
      <c r="B739" t="s">
        <v>2527</v>
      </c>
      <c r="C739">
        <v>3750</v>
      </c>
      <c r="D739">
        <v>11250</v>
      </c>
      <c r="E739">
        <v>750</v>
      </c>
      <c r="F739" s="67">
        <v>44858</v>
      </c>
    </row>
    <row r="740" spans="1:6">
      <c r="A740">
        <v>739</v>
      </c>
      <c r="B740" t="s">
        <v>2530</v>
      </c>
      <c r="C740">
        <v>100000</v>
      </c>
      <c r="D740">
        <v>0</v>
      </c>
      <c r="E740" t="s">
        <v>16642</v>
      </c>
      <c r="F740" s="82">
        <v>44770</v>
      </c>
    </row>
    <row r="741" spans="1:6">
      <c r="A741">
        <v>740</v>
      </c>
      <c r="B741" t="s">
        <v>2535</v>
      </c>
      <c r="C741">
        <v>20000</v>
      </c>
      <c r="D741">
        <v>0</v>
      </c>
      <c r="E741">
        <v>1000</v>
      </c>
      <c r="F741" s="65">
        <v>44518</v>
      </c>
    </row>
    <row r="742" spans="1:6">
      <c r="A742">
        <v>741</v>
      </c>
      <c r="B742" t="s">
        <v>2540</v>
      </c>
      <c r="C742">
        <v>250</v>
      </c>
      <c r="D742">
        <v>750</v>
      </c>
      <c r="E742">
        <v>50</v>
      </c>
      <c r="F742" s="60">
        <v>45020</v>
      </c>
    </row>
    <row r="743" spans="1:6">
      <c r="A743">
        <v>742</v>
      </c>
      <c r="B743" t="s">
        <v>2543</v>
      </c>
      <c r="C743">
        <v>1000</v>
      </c>
      <c r="D743">
        <v>0</v>
      </c>
      <c r="E743">
        <v>50</v>
      </c>
      <c r="F743" s="77">
        <v>44826</v>
      </c>
    </row>
    <row r="744" spans="1:6">
      <c r="A744">
        <v>743</v>
      </c>
      <c r="B744" t="s">
        <v>2546</v>
      </c>
      <c r="C744">
        <v>250</v>
      </c>
      <c r="D744">
        <v>750</v>
      </c>
      <c r="E744">
        <v>50</v>
      </c>
      <c r="F744" s="69">
        <v>45000</v>
      </c>
    </row>
    <row r="745" spans="1:6">
      <c r="A745">
        <v>744</v>
      </c>
      <c r="B745" t="s">
        <v>2549</v>
      </c>
      <c r="C745">
        <v>500</v>
      </c>
      <c r="D745">
        <v>500</v>
      </c>
      <c r="E745">
        <v>50</v>
      </c>
      <c r="F745" s="61">
        <v>44875</v>
      </c>
    </row>
    <row r="746" spans="1:6">
      <c r="A746">
        <v>745</v>
      </c>
      <c r="B746" t="s">
        <v>2552</v>
      </c>
      <c r="C746">
        <v>5000</v>
      </c>
      <c r="D746">
        <v>15000</v>
      </c>
      <c r="E746">
        <v>1000</v>
      </c>
      <c r="F746" s="74">
        <v>44932</v>
      </c>
    </row>
    <row r="747" spans="1:6">
      <c r="A747">
        <v>746</v>
      </c>
      <c r="B747" t="s">
        <v>2555</v>
      </c>
      <c r="C747">
        <v>250</v>
      </c>
      <c r="D747">
        <v>750</v>
      </c>
      <c r="E747">
        <v>50</v>
      </c>
      <c r="F747" s="61">
        <v>44852</v>
      </c>
    </row>
    <row r="748" spans="1:6">
      <c r="A748">
        <v>747</v>
      </c>
      <c r="B748" t="s">
        <v>2558</v>
      </c>
      <c r="C748">
        <v>250</v>
      </c>
      <c r="D748">
        <v>750</v>
      </c>
      <c r="E748">
        <v>50</v>
      </c>
      <c r="F748" s="60">
        <v>44873</v>
      </c>
    </row>
    <row r="749" spans="1:6">
      <c r="A749">
        <v>748</v>
      </c>
      <c r="B749" t="s">
        <v>2561</v>
      </c>
      <c r="C749">
        <v>250</v>
      </c>
      <c r="D749">
        <v>750</v>
      </c>
      <c r="E749">
        <v>50</v>
      </c>
      <c r="F749" s="61">
        <v>45249</v>
      </c>
    </row>
    <row r="750" spans="1:6">
      <c r="A750">
        <v>749</v>
      </c>
      <c r="B750" t="s">
        <v>2564</v>
      </c>
      <c r="C750">
        <v>250</v>
      </c>
      <c r="D750">
        <v>750</v>
      </c>
      <c r="E750">
        <v>50</v>
      </c>
      <c r="F750" s="61">
        <v>44923</v>
      </c>
    </row>
    <row r="751" spans="1:6">
      <c r="A751">
        <v>750</v>
      </c>
      <c r="B751" t="s">
        <v>2567</v>
      </c>
      <c r="C751">
        <v>250</v>
      </c>
      <c r="D751">
        <v>750</v>
      </c>
      <c r="E751">
        <v>50</v>
      </c>
      <c r="F751" s="73">
        <v>44845</v>
      </c>
    </row>
    <row r="752" spans="1:6">
      <c r="A752">
        <v>751</v>
      </c>
      <c r="B752" t="s">
        <v>2570</v>
      </c>
      <c r="C752">
        <v>1500</v>
      </c>
      <c r="D752">
        <v>4500</v>
      </c>
      <c r="E752">
        <v>300</v>
      </c>
      <c r="F752" s="73">
        <v>44935</v>
      </c>
    </row>
    <row r="753" spans="1:6">
      <c r="A753">
        <v>752</v>
      </c>
      <c r="B753" t="s">
        <v>2574</v>
      </c>
      <c r="C753">
        <v>250</v>
      </c>
      <c r="D753">
        <v>750</v>
      </c>
      <c r="E753">
        <v>50</v>
      </c>
      <c r="F753" s="61">
        <v>44861</v>
      </c>
    </row>
    <row r="754" spans="1:6">
      <c r="A754">
        <v>753</v>
      </c>
      <c r="B754" t="s">
        <v>2578</v>
      </c>
      <c r="C754">
        <v>250</v>
      </c>
      <c r="D754">
        <v>750</v>
      </c>
      <c r="E754">
        <v>50</v>
      </c>
      <c r="F754" s="69">
        <v>44845</v>
      </c>
    </row>
    <row r="755" spans="1:6">
      <c r="A755">
        <v>754</v>
      </c>
      <c r="B755" t="s">
        <v>2581</v>
      </c>
      <c r="C755">
        <v>250</v>
      </c>
      <c r="D755">
        <v>750</v>
      </c>
      <c r="E755">
        <v>50</v>
      </c>
      <c r="F755" s="75">
        <v>44918</v>
      </c>
    </row>
    <row r="756" spans="1:6">
      <c r="A756">
        <v>755</v>
      </c>
      <c r="B756" t="s">
        <v>2584</v>
      </c>
      <c r="C756">
        <v>250</v>
      </c>
      <c r="D756">
        <v>750</v>
      </c>
      <c r="E756">
        <v>50</v>
      </c>
      <c r="F756" s="60">
        <v>44876</v>
      </c>
    </row>
    <row r="757" spans="1:6">
      <c r="A757">
        <v>756</v>
      </c>
      <c r="B757" t="s">
        <v>2587</v>
      </c>
      <c r="C757">
        <v>1000</v>
      </c>
      <c r="D757">
        <v>0</v>
      </c>
      <c r="E757">
        <v>50</v>
      </c>
      <c r="F757" s="72">
        <v>44877</v>
      </c>
    </row>
    <row r="758" spans="1:6">
      <c r="A758">
        <v>757</v>
      </c>
      <c r="B758" t="s">
        <v>2591</v>
      </c>
      <c r="C758">
        <v>1000</v>
      </c>
      <c r="D758">
        <v>0</v>
      </c>
      <c r="E758">
        <v>50</v>
      </c>
      <c r="F758" s="61">
        <v>44869</v>
      </c>
    </row>
    <row r="759" spans="1:6">
      <c r="A759">
        <v>758</v>
      </c>
      <c r="B759" t="s">
        <v>2595</v>
      </c>
      <c r="C759">
        <v>250</v>
      </c>
      <c r="D759">
        <v>750</v>
      </c>
      <c r="E759">
        <v>50</v>
      </c>
      <c r="F759" s="60">
        <v>44904</v>
      </c>
    </row>
    <row r="760" spans="1:6">
      <c r="A760">
        <v>759</v>
      </c>
      <c r="B760" t="s">
        <v>2599</v>
      </c>
      <c r="C760">
        <v>10000</v>
      </c>
      <c r="D760">
        <v>0</v>
      </c>
      <c r="E760">
        <v>500</v>
      </c>
      <c r="F760" s="60">
        <v>44929</v>
      </c>
    </row>
    <row r="761" spans="1:6">
      <c r="A761">
        <v>760</v>
      </c>
      <c r="B761" t="s">
        <v>2603</v>
      </c>
      <c r="C761">
        <v>1000</v>
      </c>
      <c r="D761">
        <v>0</v>
      </c>
      <c r="E761">
        <v>50</v>
      </c>
      <c r="F761" s="61">
        <v>44865</v>
      </c>
    </row>
    <row r="762" spans="1:6">
      <c r="A762">
        <v>761</v>
      </c>
      <c r="B762" t="s">
        <v>2606</v>
      </c>
      <c r="C762">
        <v>250</v>
      </c>
      <c r="D762">
        <v>750</v>
      </c>
      <c r="E762">
        <v>50</v>
      </c>
      <c r="F762" s="60">
        <v>44883</v>
      </c>
    </row>
    <row r="763" spans="1:6">
      <c r="A763">
        <v>762</v>
      </c>
      <c r="B763" t="s">
        <v>2610</v>
      </c>
      <c r="C763">
        <v>250</v>
      </c>
      <c r="D763">
        <v>750</v>
      </c>
      <c r="E763">
        <v>50</v>
      </c>
      <c r="F763" s="61">
        <v>44924</v>
      </c>
    </row>
    <row r="764" spans="1:6">
      <c r="A764">
        <v>763</v>
      </c>
      <c r="B764" t="s">
        <v>2614</v>
      </c>
      <c r="C764">
        <v>250</v>
      </c>
      <c r="D764">
        <v>750</v>
      </c>
      <c r="E764">
        <v>50</v>
      </c>
      <c r="F764" s="69">
        <v>44960</v>
      </c>
    </row>
    <row r="765" spans="1:6">
      <c r="A765">
        <v>764</v>
      </c>
      <c r="B765" t="s">
        <v>2617</v>
      </c>
      <c r="C765">
        <v>300000</v>
      </c>
      <c r="D765">
        <v>0</v>
      </c>
      <c r="E765" t="s">
        <v>16642</v>
      </c>
      <c r="F765" s="104"/>
    </row>
    <row r="766" spans="1:6">
      <c r="A766">
        <v>765</v>
      </c>
      <c r="B766" t="s">
        <v>2621</v>
      </c>
      <c r="C766">
        <v>250</v>
      </c>
      <c r="D766">
        <v>750</v>
      </c>
      <c r="E766">
        <v>50</v>
      </c>
      <c r="F766" s="60">
        <v>44872</v>
      </c>
    </row>
    <row r="767" spans="1:6">
      <c r="A767">
        <v>766</v>
      </c>
      <c r="B767" t="s">
        <v>2624</v>
      </c>
      <c r="C767">
        <v>250</v>
      </c>
      <c r="D767">
        <v>750</v>
      </c>
      <c r="E767">
        <v>50</v>
      </c>
      <c r="F767" s="75">
        <v>44917</v>
      </c>
    </row>
    <row r="768" spans="1:6">
      <c r="A768">
        <v>767</v>
      </c>
      <c r="B768" t="s">
        <v>2627</v>
      </c>
      <c r="C768">
        <v>20000</v>
      </c>
      <c r="D768">
        <v>0</v>
      </c>
      <c r="E768">
        <v>1000</v>
      </c>
      <c r="F768" s="64" t="s">
        <v>16698</v>
      </c>
    </row>
    <row r="769" spans="1:6">
      <c r="A769">
        <v>768</v>
      </c>
      <c r="B769" t="s">
        <v>2631</v>
      </c>
      <c r="C769">
        <v>100000</v>
      </c>
      <c r="D769">
        <v>0</v>
      </c>
      <c r="E769" t="s">
        <v>16642</v>
      </c>
      <c r="F769" s="66"/>
    </row>
    <row r="770" spans="1:6">
      <c r="A770">
        <v>769</v>
      </c>
      <c r="B770" t="s">
        <v>2636</v>
      </c>
      <c r="C770">
        <v>2100</v>
      </c>
      <c r="D770">
        <v>0</v>
      </c>
      <c r="E770">
        <v>105</v>
      </c>
      <c r="F770" s="79">
        <v>44534</v>
      </c>
    </row>
    <row r="771" ht="15" spans="1:6">
      <c r="A771">
        <v>770</v>
      </c>
      <c r="B771" t="s">
        <v>2639</v>
      </c>
      <c r="C771">
        <v>1000000</v>
      </c>
      <c r="D771">
        <v>2500000</v>
      </c>
      <c r="E771" t="s">
        <v>16642</v>
      </c>
      <c r="F771" s="92">
        <v>45150</v>
      </c>
    </row>
    <row r="772" spans="1:6">
      <c r="A772">
        <v>771</v>
      </c>
      <c r="B772" t="s">
        <v>2643</v>
      </c>
      <c r="C772">
        <v>1000</v>
      </c>
      <c r="D772">
        <v>0</v>
      </c>
      <c r="E772">
        <v>50</v>
      </c>
      <c r="F772" s="69">
        <v>45262</v>
      </c>
    </row>
    <row r="773" spans="1:6">
      <c r="A773">
        <v>772</v>
      </c>
      <c r="B773" t="s">
        <v>2646</v>
      </c>
      <c r="C773">
        <v>15000</v>
      </c>
      <c r="D773">
        <v>4000</v>
      </c>
      <c r="E773">
        <v>100</v>
      </c>
      <c r="F773" s="77">
        <v>44918</v>
      </c>
    </row>
    <row r="774" spans="1:6">
      <c r="A774">
        <v>773</v>
      </c>
      <c r="B774" t="s">
        <v>2649</v>
      </c>
      <c r="C774">
        <v>250</v>
      </c>
      <c r="D774">
        <v>750</v>
      </c>
      <c r="E774">
        <v>50</v>
      </c>
      <c r="F774" s="61">
        <v>44811</v>
      </c>
    </row>
    <row r="775" spans="1:6">
      <c r="A775">
        <v>774</v>
      </c>
      <c r="B775" t="s">
        <v>2653</v>
      </c>
      <c r="C775">
        <v>500</v>
      </c>
      <c r="D775">
        <v>500</v>
      </c>
      <c r="E775">
        <v>50</v>
      </c>
      <c r="F775" s="61">
        <v>44904</v>
      </c>
    </row>
    <row r="776" spans="1:6">
      <c r="A776">
        <v>775</v>
      </c>
      <c r="B776" t="s">
        <v>2657</v>
      </c>
      <c r="C776">
        <v>1000</v>
      </c>
      <c r="D776">
        <v>0</v>
      </c>
      <c r="E776">
        <v>50</v>
      </c>
      <c r="F776" s="64" t="s">
        <v>16699</v>
      </c>
    </row>
    <row r="777" spans="1:6">
      <c r="A777">
        <v>776</v>
      </c>
      <c r="B777" t="s">
        <v>2661</v>
      </c>
      <c r="C777">
        <v>250</v>
      </c>
      <c r="D777">
        <v>750</v>
      </c>
      <c r="E777">
        <v>50</v>
      </c>
      <c r="F777" s="60">
        <v>44828</v>
      </c>
    </row>
    <row r="778" spans="1:6">
      <c r="A778">
        <v>777</v>
      </c>
      <c r="B778" t="s">
        <v>2665</v>
      </c>
      <c r="C778">
        <v>100000</v>
      </c>
      <c r="D778">
        <v>0</v>
      </c>
      <c r="E778" t="s">
        <v>16642</v>
      </c>
      <c r="F778" s="66"/>
    </row>
    <row r="779" ht="15" spans="1:6">
      <c r="A779">
        <v>778</v>
      </c>
      <c r="B779" t="s">
        <v>2669</v>
      </c>
      <c r="C779">
        <v>1000000</v>
      </c>
      <c r="D779">
        <v>500000</v>
      </c>
      <c r="E779" t="s">
        <v>16642</v>
      </c>
      <c r="F779" s="88">
        <f>IFERROR(__xludf.DUMMYFUNCTION("""COMPUTED_VALUE"""),45084)</f>
        <v>45084</v>
      </c>
    </row>
    <row r="780" spans="1:6">
      <c r="A780">
        <v>779</v>
      </c>
      <c r="B780" t="s">
        <v>2670</v>
      </c>
      <c r="C780">
        <v>2500</v>
      </c>
      <c r="D780">
        <v>2500</v>
      </c>
      <c r="E780">
        <v>250</v>
      </c>
      <c r="F780" s="77">
        <v>44819</v>
      </c>
    </row>
    <row r="781" spans="1:6">
      <c r="A781">
        <v>780</v>
      </c>
      <c r="B781" t="s">
        <v>2673</v>
      </c>
      <c r="C781">
        <v>250</v>
      </c>
      <c r="D781">
        <v>750</v>
      </c>
      <c r="E781">
        <v>50</v>
      </c>
      <c r="F781" s="60">
        <v>44849</v>
      </c>
    </row>
    <row r="782" spans="1:6">
      <c r="A782">
        <v>781</v>
      </c>
      <c r="B782" t="s">
        <v>2677</v>
      </c>
      <c r="C782">
        <v>500</v>
      </c>
      <c r="D782">
        <v>500</v>
      </c>
      <c r="E782">
        <v>50</v>
      </c>
      <c r="F782" s="60">
        <v>44849</v>
      </c>
    </row>
    <row r="783" spans="1:6">
      <c r="A783">
        <v>782</v>
      </c>
      <c r="B783" t="s">
        <v>2681</v>
      </c>
      <c r="C783">
        <v>500</v>
      </c>
      <c r="D783">
        <v>500</v>
      </c>
      <c r="E783">
        <v>50</v>
      </c>
      <c r="F783" s="73">
        <v>44904</v>
      </c>
    </row>
    <row r="784" spans="1:6">
      <c r="A784">
        <v>783</v>
      </c>
      <c r="B784" t="s">
        <v>2685</v>
      </c>
      <c r="C784">
        <v>100000</v>
      </c>
      <c r="D784">
        <v>0</v>
      </c>
      <c r="E784" t="s">
        <v>16642</v>
      </c>
      <c r="F784" s="66"/>
    </row>
    <row r="785" spans="1:6">
      <c r="A785">
        <v>784</v>
      </c>
      <c r="B785" t="s">
        <v>2689</v>
      </c>
      <c r="C785">
        <v>100000</v>
      </c>
      <c r="D785">
        <v>0</v>
      </c>
      <c r="E785" t="s">
        <v>16642</v>
      </c>
      <c r="F785" s="100"/>
    </row>
    <row r="786" spans="1:6">
      <c r="A786">
        <v>785</v>
      </c>
      <c r="B786" t="s">
        <v>2694</v>
      </c>
      <c r="C786">
        <v>250</v>
      </c>
      <c r="D786">
        <v>750</v>
      </c>
      <c r="E786">
        <v>50</v>
      </c>
      <c r="F786" s="61">
        <v>44805</v>
      </c>
    </row>
    <row r="787" spans="1:6">
      <c r="A787">
        <v>786</v>
      </c>
      <c r="B787" t="s">
        <v>2698</v>
      </c>
      <c r="C787">
        <v>1000</v>
      </c>
      <c r="D787">
        <v>0</v>
      </c>
      <c r="E787">
        <v>50</v>
      </c>
      <c r="F787" s="65">
        <v>44603</v>
      </c>
    </row>
    <row r="788" spans="1:6">
      <c r="A788">
        <v>787</v>
      </c>
      <c r="B788" t="s">
        <v>2702</v>
      </c>
      <c r="C788">
        <v>25000</v>
      </c>
      <c r="D788">
        <v>75000</v>
      </c>
      <c r="E788">
        <v>5000</v>
      </c>
      <c r="F788" s="109">
        <v>45027</v>
      </c>
    </row>
    <row r="789" spans="1:6">
      <c r="A789">
        <v>788</v>
      </c>
      <c r="B789" t="s">
        <v>2705</v>
      </c>
      <c r="C789">
        <v>50000</v>
      </c>
      <c r="D789">
        <v>0</v>
      </c>
      <c r="E789">
        <v>2500</v>
      </c>
      <c r="F789" s="77">
        <v>44791</v>
      </c>
    </row>
    <row r="790" spans="1:6">
      <c r="A790">
        <v>789</v>
      </c>
      <c r="B790" t="s">
        <v>2708</v>
      </c>
      <c r="C790">
        <v>200000</v>
      </c>
      <c r="D790">
        <v>0</v>
      </c>
      <c r="E790" t="s">
        <v>16642</v>
      </c>
      <c r="F790" s="66"/>
    </row>
    <row r="791" spans="1:6">
      <c r="A791">
        <v>790</v>
      </c>
      <c r="B791" t="s">
        <v>2713</v>
      </c>
      <c r="C791">
        <v>250</v>
      </c>
      <c r="D791">
        <v>750</v>
      </c>
      <c r="E791">
        <v>50</v>
      </c>
      <c r="F791" s="60">
        <v>44950</v>
      </c>
    </row>
    <row r="792" spans="1:6">
      <c r="A792">
        <v>791</v>
      </c>
      <c r="B792" t="s">
        <v>2716</v>
      </c>
      <c r="C792">
        <v>250</v>
      </c>
      <c r="D792">
        <v>750</v>
      </c>
      <c r="E792">
        <v>50</v>
      </c>
      <c r="F792" s="60">
        <v>44588</v>
      </c>
    </row>
    <row r="793" spans="1:6">
      <c r="A793">
        <v>792</v>
      </c>
      <c r="B793" t="s">
        <v>2720</v>
      </c>
      <c r="C793">
        <v>3000</v>
      </c>
      <c r="D793">
        <v>0</v>
      </c>
      <c r="E793">
        <v>150</v>
      </c>
      <c r="F793" s="67">
        <v>44928</v>
      </c>
    </row>
    <row r="794" spans="1:6">
      <c r="A794">
        <v>793</v>
      </c>
      <c r="B794" t="s">
        <v>2723</v>
      </c>
      <c r="C794">
        <v>100000</v>
      </c>
      <c r="D794">
        <v>0</v>
      </c>
      <c r="E794" t="s">
        <v>16642</v>
      </c>
      <c r="F794" s="66"/>
    </row>
    <row r="795" spans="1:6">
      <c r="A795">
        <v>794</v>
      </c>
      <c r="B795" t="s">
        <v>2728</v>
      </c>
      <c r="C795">
        <v>10000</v>
      </c>
      <c r="D795">
        <v>0</v>
      </c>
      <c r="E795">
        <v>500</v>
      </c>
      <c r="F795" s="65">
        <v>44469</v>
      </c>
    </row>
    <row r="796" spans="1:6">
      <c r="A796">
        <v>795</v>
      </c>
      <c r="B796" t="s">
        <v>2734</v>
      </c>
      <c r="C796">
        <v>250</v>
      </c>
      <c r="D796">
        <v>750</v>
      </c>
      <c r="E796">
        <v>50</v>
      </c>
      <c r="F796" s="61">
        <v>44841</v>
      </c>
    </row>
    <row r="797" spans="1:6">
      <c r="A797">
        <v>796</v>
      </c>
      <c r="B797" t="s">
        <v>2738</v>
      </c>
      <c r="C797">
        <v>100000</v>
      </c>
      <c r="D797">
        <v>0</v>
      </c>
      <c r="E797">
        <v>5000</v>
      </c>
      <c r="F797" s="77">
        <v>44887</v>
      </c>
    </row>
    <row r="798" spans="1:6">
      <c r="A798">
        <v>797</v>
      </c>
      <c r="B798" t="s">
        <v>2741</v>
      </c>
      <c r="C798">
        <v>200000</v>
      </c>
      <c r="D798">
        <v>0</v>
      </c>
      <c r="E798" t="s">
        <v>16642</v>
      </c>
      <c r="F798" s="66"/>
    </row>
    <row r="799" ht="15" spans="1:6">
      <c r="A799">
        <v>798</v>
      </c>
      <c r="B799" t="s">
        <v>2746</v>
      </c>
      <c r="C799">
        <v>1000000</v>
      </c>
      <c r="D799">
        <v>500000</v>
      </c>
      <c r="E799" t="s">
        <v>16642</v>
      </c>
      <c r="F799" s="81">
        <f>IFERROR(__xludf.DUMMYFUNCTION("""COMPUTED_VALUE"""),45082)</f>
        <v>45082</v>
      </c>
    </row>
    <row r="800" spans="1:6">
      <c r="A800">
        <v>799</v>
      </c>
      <c r="B800" t="s">
        <v>2747</v>
      </c>
      <c r="C800">
        <v>250</v>
      </c>
      <c r="D800">
        <v>750</v>
      </c>
      <c r="E800">
        <v>50</v>
      </c>
      <c r="F800" s="61">
        <v>44887</v>
      </c>
    </row>
    <row r="801" spans="1:6">
      <c r="A801">
        <v>800</v>
      </c>
      <c r="B801" t="s">
        <v>2750</v>
      </c>
      <c r="C801">
        <v>100000</v>
      </c>
      <c r="D801">
        <v>0</v>
      </c>
      <c r="E801" t="s">
        <v>16642</v>
      </c>
      <c r="F801" s="66"/>
    </row>
    <row r="802" spans="1:6">
      <c r="A802">
        <v>801</v>
      </c>
      <c r="B802" t="s">
        <v>2755</v>
      </c>
      <c r="C802">
        <v>250</v>
      </c>
      <c r="D802">
        <v>750</v>
      </c>
      <c r="E802">
        <v>50</v>
      </c>
      <c r="F802" s="60">
        <v>44866</v>
      </c>
    </row>
    <row r="803" spans="1:6">
      <c r="A803">
        <v>802</v>
      </c>
      <c r="B803" t="s">
        <v>2758</v>
      </c>
      <c r="C803">
        <v>250</v>
      </c>
      <c r="D803">
        <v>750</v>
      </c>
      <c r="E803">
        <v>50</v>
      </c>
      <c r="F803" s="60">
        <v>45007</v>
      </c>
    </row>
    <row r="804" spans="1:6">
      <c r="A804">
        <v>803</v>
      </c>
      <c r="B804" t="s">
        <v>2761</v>
      </c>
      <c r="C804">
        <v>250</v>
      </c>
      <c r="D804">
        <v>750</v>
      </c>
      <c r="E804">
        <v>50</v>
      </c>
      <c r="F804" s="61">
        <v>45044</v>
      </c>
    </row>
    <row r="805" spans="1:6">
      <c r="A805">
        <v>804</v>
      </c>
      <c r="B805" t="s">
        <v>2764</v>
      </c>
      <c r="C805">
        <v>250</v>
      </c>
      <c r="D805">
        <v>750</v>
      </c>
      <c r="E805">
        <v>50</v>
      </c>
      <c r="F805" s="60">
        <v>44951</v>
      </c>
    </row>
    <row r="806" spans="1:6">
      <c r="A806">
        <v>805</v>
      </c>
      <c r="B806" t="s">
        <v>2767</v>
      </c>
      <c r="C806">
        <v>250</v>
      </c>
      <c r="D806">
        <v>750</v>
      </c>
      <c r="E806">
        <v>50</v>
      </c>
      <c r="F806" s="60">
        <v>44849</v>
      </c>
    </row>
    <row r="807" spans="1:6">
      <c r="A807">
        <v>806</v>
      </c>
      <c r="B807" t="s">
        <v>2770</v>
      </c>
      <c r="C807">
        <v>250</v>
      </c>
      <c r="D807">
        <v>750</v>
      </c>
      <c r="E807">
        <v>50</v>
      </c>
      <c r="F807" s="61">
        <v>44926</v>
      </c>
    </row>
    <row r="808" spans="1:6">
      <c r="A808">
        <v>807</v>
      </c>
      <c r="B808" t="s">
        <v>2773</v>
      </c>
      <c r="C808">
        <v>250</v>
      </c>
      <c r="D808">
        <v>750</v>
      </c>
      <c r="E808">
        <v>50</v>
      </c>
      <c r="F808" s="60">
        <v>45013</v>
      </c>
    </row>
    <row r="809" spans="1:6">
      <c r="A809">
        <v>808</v>
      </c>
      <c r="B809" t="s">
        <v>2776</v>
      </c>
      <c r="C809">
        <v>250</v>
      </c>
      <c r="D809">
        <v>750</v>
      </c>
      <c r="E809">
        <v>50</v>
      </c>
      <c r="F809" s="74">
        <v>45023</v>
      </c>
    </row>
    <row r="810" spans="1:6">
      <c r="A810">
        <v>809</v>
      </c>
      <c r="B810" t="s">
        <v>2779</v>
      </c>
      <c r="C810">
        <v>250</v>
      </c>
      <c r="D810">
        <v>750</v>
      </c>
      <c r="E810">
        <v>50</v>
      </c>
      <c r="F810" s="73">
        <v>44984</v>
      </c>
    </row>
    <row r="811" spans="1:6">
      <c r="A811">
        <v>810</v>
      </c>
      <c r="B811" t="s">
        <v>2784</v>
      </c>
      <c r="C811">
        <v>250</v>
      </c>
      <c r="D811">
        <v>750</v>
      </c>
      <c r="E811">
        <v>50</v>
      </c>
      <c r="F811" s="100" t="s">
        <v>16669</v>
      </c>
    </row>
    <row r="812" spans="1:6">
      <c r="A812">
        <v>811</v>
      </c>
      <c r="B812" t="s">
        <v>2787</v>
      </c>
      <c r="C812">
        <v>100000</v>
      </c>
      <c r="D812">
        <v>0</v>
      </c>
      <c r="E812" t="s">
        <v>16642</v>
      </c>
      <c r="F812" s="66"/>
    </row>
    <row r="813" spans="1:6">
      <c r="A813">
        <v>812</v>
      </c>
      <c r="B813" t="s">
        <v>2791</v>
      </c>
      <c r="C813">
        <v>100000</v>
      </c>
      <c r="D813">
        <v>0</v>
      </c>
      <c r="E813">
        <v>5000</v>
      </c>
      <c r="F813" s="64" t="s">
        <v>16700</v>
      </c>
    </row>
    <row r="814" spans="1:6">
      <c r="A814">
        <v>813</v>
      </c>
      <c r="B814" t="s">
        <v>2795</v>
      </c>
      <c r="C814">
        <v>200000</v>
      </c>
      <c r="D814">
        <v>0</v>
      </c>
      <c r="E814" t="s">
        <v>16642</v>
      </c>
      <c r="F814" s="96">
        <v>44901</v>
      </c>
    </row>
    <row r="815" spans="1:6">
      <c r="A815">
        <v>814</v>
      </c>
      <c r="B815" t="s">
        <v>2795</v>
      </c>
      <c r="C815">
        <v>100000</v>
      </c>
      <c r="D815">
        <v>0</v>
      </c>
      <c r="E815" t="s">
        <v>16642</v>
      </c>
      <c r="F815" s="85"/>
    </row>
    <row r="816" spans="1:6">
      <c r="A816">
        <v>815</v>
      </c>
      <c r="B816" t="s">
        <v>2800</v>
      </c>
      <c r="C816">
        <v>250</v>
      </c>
      <c r="D816">
        <v>750</v>
      </c>
      <c r="E816">
        <v>50</v>
      </c>
      <c r="F816" s="60">
        <v>44825</v>
      </c>
    </row>
    <row r="817" spans="1:6">
      <c r="A817">
        <v>816</v>
      </c>
      <c r="B817" t="s">
        <v>2804</v>
      </c>
      <c r="C817">
        <v>1000</v>
      </c>
      <c r="D817">
        <v>0</v>
      </c>
      <c r="E817">
        <v>50</v>
      </c>
      <c r="F817" s="74">
        <v>44939</v>
      </c>
    </row>
    <row r="818" spans="1:6">
      <c r="A818">
        <v>817</v>
      </c>
      <c r="B818" t="s">
        <v>2807</v>
      </c>
      <c r="C818">
        <v>100000</v>
      </c>
      <c r="D818">
        <v>0</v>
      </c>
      <c r="E818">
        <v>5000</v>
      </c>
      <c r="F818" s="64" t="s">
        <v>16701</v>
      </c>
    </row>
    <row r="819" spans="1:6">
      <c r="A819">
        <v>818</v>
      </c>
      <c r="B819" t="s">
        <v>2811</v>
      </c>
      <c r="C819">
        <v>1000</v>
      </c>
      <c r="D819">
        <v>0</v>
      </c>
      <c r="E819">
        <v>50</v>
      </c>
      <c r="F819" s="73">
        <v>44858</v>
      </c>
    </row>
    <row r="820" spans="1:6">
      <c r="A820">
        <v>819</v>
      </c>
      <c r="B820" t="s">
        <v>2814</v>
      </c>
      <c r="C820">
        <v>250</v>
      </c>
      <c r="D820">
        <v>750</v>
      </c>
      <c r="E820">
        <v>50</v>
      </c>
      <c r="F820" s="60">
        <v>45102</v>
      </c>
    </row>
    <row r="821" spans="1:6">
      <c r="A821">
        <v>820</v>
      </c>
      <c r="B821" t="s">
        <v>2817</v>
      </c>
      <c r="C821">
        <v>250</v>
      </c>
      <c r="D821">
        <v>750</v>
      </c>
      <c r="E821">
        <v>50</v>
      </c>
      <c r="F821" s="61">
        <v>44926</v>
      </c>
    </row>
    <row r="822" spans="1:6">
      <c r="A822">
        <v>821</v>
      </c>
      <c r="B822" t="s">
        <v>2821</v>
      </c>
      <c r="C822">
        <v>200000</v>
      </c>
      <c r="D822">
        <v>0</v>
      </c>
      <c r="E822" t="s">
        <v>16642</v>
      </c>
      <c r="F822" s="66"/>
    </row>
    <row r="823" spans="1:6">
      <c r="A823">
        <v>822</v>
      </c>
      <c r="B823" t="s">
        <v>2826</v>
      </c>
      <c r="C823">
        <v>1000</v>
      </c>
      <c r="D823">
        <v>0</v>
      </c>
      <c r="E823">
        <v>50</v>
      </c>
      <c r="F823" s="69">
        <v>44993</v>
      </c>
    </row>
    <row r="824" spans="1:6">
      <c r="A824">
        <v>823</v>
      </c>
      <c r="B824" t="s">
        <v>2830</v>
      </c>
      <c r="C824">
        <v>100000</v>
      </c>
      <c r="D824">
        <v>0</v>
      </c>
      <c r="E824" t="s">
        <v>16642</v>
      </c>
      <c r="F824" s="66"/>
    </row>
    <row r="825" spans="1:6">
      <c r="A825">
        <v>824</v>
      </c>
      <c r="B825" t="s">
        <v>2834</v>
      </c>
      <c r="C825">
        <v>50000</v>
      </c>
      <c r="D825">
        <v>150000</v>
      </c>
      <c r="E825">
        <v>10000</v>
      </c>
      <c r="F825" s="64" t="s">
        <v>16662</v>
      </c>
    </row>
    <row r="826" spans="1:6">
      <c r="A826">
        <v>825</v>
      </c>
      <c r="B826" t="s">
        <v>2838</v>
      </c>
      <c r="C826">
        <v>1000</v>
      </c>
      <c r="D826">
        <v>0</v>
      </c>
      <c r="E826">
        <v>50</v>
      </c>
      <c r="F826" s="79">
        <v>44960</v>
      </c>
    </row>
    <row r="827" spans="1:6">
      <c r="A827">
        <v>826</v>
      </c>
      <c r="B827" t="s">
        <v>2841</v>
      </c>
      <c r="C827">
        <v>25000</v>
      </c>
      <c r="D827">
        <v>0</v>
      </c>
      <c r="E827">
        <v>1250</v>
      </c>
      <c r="F827" s="77">
        <v>37562</v>
      </c>
    </row>
    <row r="828" spans="1:6">
      <c r="A828">
        <v>827</v>
      </c>
      <c r="B828" t="s">
        <v>2844</v>
      </c>
      <c r="C828">
        <v>250</v>
      </c>
      <c r="D828">
        <v>750</v>
      </c>
      <c r="E828">
        <v>50</v>
      </c>
      <c r="F828" s="61">
        <v>44812</v>
      </c>
    </row>
    <row r="829" spans="1:6">
      <c r="A829">
        <v>828</v>
      </c>
      <c r="B829" t="s">
        <v>2848</v>
      </c>
      <c r="C829">
        <v>2000</v>
      </c>
      <c r="D829">
        <v>0</v>
      </c>
      <c r="E829">
        <v>100</v>
      </c>
      <c r="F829" s="77">
        <v>44768</v>
      </c>
    </row>
    <row r="830" spans="1:6">
      <c r="A830">
        <v>829</v>
      </c>
      <c r="B830" t="s">
        <v>2852</v>
      </c>
      <c r="C830">
        <v>250</v>
      </c>
      <c r="D830">
        <v>750</v>
      </c>
      <c r="E830">
        <v>50</v>
      </c>
      <c r="F830" s="60">
        <v>44965</v>
      </c>
    </row>
    <row r="831" spans="1:6">
      <c r="A831">
        <v>830</v>
      </c>
      <c r="B831" t="s">
        <v>2855</v>
      </c>
      <c r="C831">
        <v>5000</v>
      </c>
      <c r="D831">
        <v>15000</v>
      </c>
      <c r="E831">
        <v>1000</v>
      </c>
      <c r="F831" s="110">
        <v>44926</v>
      </c>
    </row>
    <row r="832" spans="1:6">
      <c r="A832">
        <v>831</v>
      </c>
      <c r="B832" t="s">
        <v>2858</v>
      </c>
      <c r="C832">
        <v>100000</v>
      </c>
      <c r="D832">
        <v>0</v>
      </c>
      <c r="E832" t="s">
        <v>16642</v>
      </c>
      <c r="F832" s="66"/>
    </row>
    <row r="833" spans="1:6">
      <c r="A833">
        <v>832</v>
      </c>
      <c r="B833" t="s">
        <v>2862</v>
      </c>
      <c r="C833">
        <v>250</v>
      </c>
      <c r="D833">
        <v>750</v>
      </c>
      <c r="E833">
        <v>50</v>
      </c>
      <c r="F833" s="60">
        <v>44810</v>
      </c>
    </row>
    <row r="834" spans="1:6">
      <c r="A834">
        <v>833</v>
      </c>
      <c r="B834" t="s">
        <v>2866</v>
      </c>
      <c r="C834">
        <v>250</v>
      </c>
      <c r="D834">
        <v>750</v>
      </c>
      <c r="E834">
        <v>50</v>
      </c>
      <c r="F834" s="60">
        <v>44855</v>
      </c>
    </row>
    <row r="835" spans="1:6">
      <c r="A835">
        <v>834</v>
      </c>
      <c r="B835" t="s">
        <v>2869</v>
      </c>
      <c r="C835">
        <v>250</v>
      </c>
      <c r="D835">
        <v>750</v>
      </c>
      <c r="E835">
        <v>50</v>
      </c>
      <c r="F835" s="60">
        <v>44854</v>
      </c>
    </row>
    <row r="836" spans="1:6">
      <c r="A836">
        <v>835</v>
      </c>
      <c r="B836" t="s">
        <v>2873</v>
      </c>
      <c r="C836">
        <v>10000</v>
      </c>
      <c r="D836">
        <v>0</v>
      </c>
      <c r="E836">
        <v>500</v>
      </c>
      <c r="F836" s="64" t="s">
        <v>16702</v>
      </c>
    </row>
    <row r="837" spans="1:6">
      <c r="A837">
        <v>836</v>
      </c>
      <c r="B837" t="s">
        <v>2877</v>
      </c>
      <c r="C837">
        <v>250</v>
      </c>
      <c r="D837">
        <v>750</v>
      </c>
      <c r="E837">
        <v>50</v>
      </c>
      <c r="F837" s="60">
        <v>44827</v>
      </c>
    </row>
    <row r="838" spans="1:6">
      <c r="A838">
        <v>837</v>
      </c>
      <c r="B838" t="s">
        <v>2881</v>
      </c>
      <c r="C838">
        <v>100000</v>
      </c>
      <c r="D838">
        <v>0</v>
      </c>
      <c r="E838" t="s">
        <v>16642</v>
      </c>
      <c r="F838" s="76">
        <v>44854</v>
      </c>
    </row>
    <row r="839" spans="1:6">
      <c r="A839">
        <v>838</v>
      </c>
      <c r="B839" t="s">
        <v>2885</v>
      </c>
      <c r="C839">
        <v>2500</v>
      </c>
      <c r="D839">
        <v>7500</v>
      </c>
      <c r="E839">
        <v>500</v>
      </c>
      <c r="F839" s="67">
        <v>44985</v>
      </c>
    </row>
    <row r="840" spans="1:6">
      <c r="A840">
        <v>839</v>
      </c>
      <c r="B840" t="s">
        <v>2888</v>
      </c>
      <c r="C840">
        <v>14500</v>
      </c>
      <c r="D840">
        <v>0</v>
      </c>
      <c r="E840">
        <v>725</v>
      </c>
      <c r="F840" s="65">
        <v>44538</v>
      </c>
    </row>
    <row r="841" spans="1:6">
      <c r="A841">
        <v>840</v>
      </c>
      <c r="B841" t="s">
        <v>2893</v>
      </c>
      <c r="C841">
        <v>2000</v>
      </c>
      <c r="D841">
        <v>0</v>
      </c>
      <c r="E841">
        <v>100</v>
      </c>
      <c r="F841" s="64" t="s">
        <v>16703</v>
      </c>
    </row>
    <row r="842" spans="1:6">
      <c r="A842">
        <v>841</v>
      </c>
      <c r="B842" t="s">
        <v>2897</v>
      </c>
      <c r="C842">
        <v>100000</v>
      </c>
      <c r="D842">
        <v>0</v>
      </c>
      <c r="E842" t="s">
        <v>16642</v>
      </c>
      <c r="F842" s="96">
        <v>44985</v>
      </c>
    </row>
    <row r="843" spans="1:6">
      <c r="A843">
        <v>842</v>
      </c>
      <c r="B843" t="s">
        <v>2897</v>
      </c>
      <c r="C843">
        <v>100000</v>
      </c>
      <c r="D843">
        <v>0</v>
      </c>
      <c r="E843" t="s">
        <v>16642</v>
      </c>
      <c r="F843" s="85"/>
    </row>
    <row r="844" spans="1:6">
      <c r="A844">
        <v>843</v>
      </c>
      <c r="B844" t="s">
        <v>2901</v>
      </c>
      <c r="C844">
        <v>1000</v>
      </c>
      <c r="D844">
        <v>0</v>
      </c>
      <c r="E844">
        <v>50</v>
      </c>
      <c r="F844" s="67">
        <v>44965</v>
      </c>
    </row>
    <row r="845" ht="15" spans="1:6">
      <c r="A845">
        <v>844</v>
      </c>
      <c r="B845" t="s">
        <v>2904</v>
      </c>
      <c r="C845">
        <v>1000000</v>
      </c>
      <c r="D845">
        <v>500000</v>
      </c>
      <c r="E845" t="s">
        <v>16642</v>
      </c>
      <c r="F845" s="81">
        <f>IFERROR(__xludf.DUMMYFUNCTION("""COMPUTED_VALUE"""),45078)</f>
        <v>45078</v>
      </c>
    </row>
    <row r="846" spans="1:6">
      <c r="A846">
        <v>845</v>
      </c>
      <c r="B846" t="s">
        <v>2905</v>
      </c>
      <c r="C846">
        <v>1250</v>
      </c>
      <c r="D846">
        <v>3750</v>
      </c>
      <c r="E846">
        <v>250</v>
      </c>
      <c r="F846" s="60">
        <v>44845</v>
      </c>
    </row>
    <row r="847" spans="1:6">
      <c r="A847">
        <v>846</v>
      </c>
      <c r="B847" t="s">
        <v>2908</v>
      </c>
      <c r="C847">
        <v>10000</v>
      </c>
      <c r="D847">
        <v>0</v>
      </c>
      <c r="E847">
        <v>500</v>
      </c>
      <c r="F847" s="65">
        <v>44712</v>
      </c>
    </row>
    <row r="848" spans="1:6">
      <c r="A848">
        <v>847</v>
      </c>
      <c r="B848" t="s">
        <v>2912</v>
      </c>
      <c r="C848">
        <v>250</v>
      </c>
      <c r="D848">
        <v>750</v>
      </c>
      <c r="E848">
        <v>50</v>
      </c>
      <c r="F848" s="60">
        <v>44928</v>
      </c>
    </row>
    <row r="849" spans="1:6">
      <c r="A849">
        <v>848</v>
      </c>
      <c r="B849" t="s">
        <v>2915</v>
      </c>
      <c r="C849">
        <v>10000</v>
      </c>
      <c r="D849">
        <v>0</v>
      </c>
      <c r="E849">
        <v>500</v>
      </c>
      <c r="F849" s="64" t="s">
        <v>16704</v>
      </c>
    </row>
    <row r="850" spans="1:6">
      <c r="A850">
        <v>849</v>
      </c>
      <c r="B850" t="s">
        <v>2919</v>
      </c>
      <c r="C850">
        <v>100000</v>
      </c>
      <c r="D850">
        <v>0</v>
      </c>
      <c r="E850" t="s">
        <v>16642</v>
      </c>
      <c r="F850" s="66"/>
    </row>
    <row r="851" ht="15" spans="1:6">
      <c r="A851">
        <v>850</v>
      </c>
      <c r="B851" t="s">
        <v>2923</v>
      </c>
      <c r="C851">
        <v>1000000</v>
      </c>
      <c r="D851">
        <v>500000</v>
      </c>
      <c r="E851" t="s">
        <v>16642</v>
      </c>
      <c r="F851" s="81">
        <f>IFERROR(__xludf.DUMMYFUNCTION("""COMPUTED_VALUE"""),45082)</f>
        <v>45082</v>
      </c>
    </row>
    <row r="852" spans="1:6">
      <c r="A852">
        <v>851</v>
      </c>
      <c r="B852" t="s">
        <v>2924</v>
      </c>
      <c r="C852">
        <v>11900</v>
      </c>
      <c r="D852">
        <v>9000</v>
      </c>
      <c r="E852">
        <v>100</v>
      </c>
      <c r="F852" s="77">
        <v>44819</v>
      </c>
    </row>
    <row r="853" spans="1:6">
      <c r="A853">
        <v>852</v>
      </c>
      <c r="B853" t="s">
        <v>2927</v>
      </c>
      <c r="C853">
        <v>250</v>
      </c>
      <c r="D853">
        <v>750</v>
      </c>
      <c r="E853">
        <v>50</v>
      </c>
      <c r="F853" s="60">
        <v>44931</v>
      </c>
    </row>
    <row r="854" spans="1:6">
      <c r="A854">
        <v>853</v>
      </c>
      <c r="B854" t="s">
        <v>2930</v>
      </c>
      <c r="C854">
        <v>250</v>
      </c>
      <c r="D854">
        <v>750</v>
      </c>
      <c r="E854">
        <v>50</v>
      </c>
      <c r="F854" s="73">
        <v>44944</v>
      </c>
    </row>
    <row r="855" spans="1:6">
      <c r="A855">
        <v>854</v>
      </c>
      <c r="B855" t="s">
        <v>2934</v>
      </c>
      <c r="C855">
        <v>100000</v>
      </c>
      <c r="D855">
        <v>0</v>
      </c>
      <c r="E855" t="s">
        <v>16642</v>
      </c>
      <c r="F855" s="76">
        <v>44910</v>
      </c>
    </row>
    <row r="856" ht="15" spans="1:6">
      <c r="A856">
        <v>855</v>
      </c>
      <c r="B856" t="s">
        <v>2938</v>
      </c>
      <c r="C856">
        <v>1000000</v>
      </c>
      <c r="D856">
        <v>500000</v>
      </c>
      <c r="E856" t="s">
        <v>16642</v>
      </c>
      <c r="F856" s="81">
        <f>IFERROR(__xludf.DUMMYFUNCTION("""COMPUTED_VALUE"""),45083)</f>
        <v>45083</v>
      </c>
    </row>
    <row r="857" spans="1:6">
      <c r="A857">
        <v>856</v>
      </c>
      <c r="B857" t="s">
        <v>2939</v>
      </c>
      <c r="C857">
        <v>1000</v>
      </c>
      <c r="D857">
        <v>0</v>
      </c>
      <c r="E857">
        <v>50</v>
      </c>
      <c r="F857" s="67">
        <v>44550</v>
      </c>
    </row>
    <row r="858" spans="1:6">
      <c r="A858">
        <v>857</v>
      </c>
      <c r="B858" t="s">
        <v>2942</v>
      </c>
      <c r="C858">
        <v>250</v>
      </c>
      <c r="D858">
        <v>750</v>
      </c>
      <c r="E858">
        <v>50</v>
      </c>
      <c r="F858" s="61">
        <v>44840</v>
      </c>
    </row>
    <row r="859" spans="1:6">
      <c r="A859">
        <v>858</v>
      </c>
      <c r="B859" t="s">
        <v>2945</v>
      </c>
      <c r="C859">
        <v>5000</v>
      </c>
      <c r="D859">
        <v>15000</v>
      </c>
      <c r="E859">
        <v>1000</v>
      </c>
      <c r="F859" s="64" t="s">
        <v>16705</v>
      </c>
    </row>
    <row r="860" spans="1:6">
      <c r="A860">
        <v>859</v>
      </c>
      <c r="B860" t="s">
        <v>2949</v>
      </c>
      <c r="C860">
        <v>95000</v>
      </c>
      <c r="D860">
        <v>5000</v>
      </c>
      <c r="E860">
        <v>5000</v>
      </c>
      <c r="F860" s="109">
        <v>44628</v>
      </c>
    </row>
    <row r="861" spans="1:6">
      <c r="A861">
        <v>860</v>
      </c>
      <c r="B861" t="s">
        <v>2952</v>
      </c>
      <c r="C861">
        <v>200000</v>
      </c>
      <c r="D861">
        <v>0</v>
      </c>
      <c r="E861" t="s">
        <v>16642</v>
      </c>
      <c r="F861" s="100"/>
    </row>
    <row r="862" spans="1:6">
      <c r="A862">
        <v>861</v>
      </c>
      <c r="B862" t="s">
        <v>2953</v>
      </c>
      <c r="C862">
        <v>5000</v>
      </c>
      <c r="D862">
        <v>5000</v>
      </c>
      <c r="E862">
        <v>500</v>
      </c>
      <c r="F862" s="64" t="s">
        <v>16706</v>
      </c>
    </row>
    <row r="863" spans="1:6">
      <c r="A863">
        <v>862</v>
      </c>
      <c r="B863" t="s">
        <v>2957</v>
      </c>
      <c r="C863">
        <v>9000</v>
      </c>
      <c r="D863">
        <v>1000</v>
      </c>
      <c r="E863">
        <v>250</v>
      </c>
      <c r="F863" s="64" t="s">
        <v>16707</v>
      </c>
    </row>
    <row r="864" spans="1:6">
      <c r="A864">
        <v>863</v>
      </c>
      <c r="B864" t="s">
        <v>2961</v>
      </c>
      <c r="C864">
        <v>1000000</v>
      </c>
      <c r="D864">
        <v>500000</v>
      </c>
      <c r="E864" t="s">
        <v>16642</v>
      </c>
      <c r="F864" s="80">
        <f>IFERROR(__xludf.DUMMYFUNCTION("""COMPUTED_VALUE"""),45080)</f>
        <v>45080</v>
      </c>
    </row>
    <row r="865" spans="1:6">
      <c r="A865">
        <v>864</v>
      </c>
      <c r="B865" t="s">
        <v>2962</v>
      </c>
      <c r="C865">
        <v>500</v>
      </c>
      <c r="D865">
        <v>500</v>
      </c>
      <c r="E865">
        <v>50</v>
      </c>
      <c r="F865" s="61">
        <v>45041</v>
      </c>
    </row>
    <row r="866" spans="1:6">
      <c r="A866">
        <v>865</v>
      </c>
      <c r="B866" t="s">
        <v>2965</v>
      </c>
      <c r="C866">
        <v>2500</v>
      </c>
      <c r="D866">
        <v>7500</v>
      </c>
      <c r="E866">
        <v>500</v>
      </c>
      <c r="F866" s="65">
        <v>44746</v>
      </c>
    </row>
    <row r="867" spans="1:6">
      <c r="A867">
        <v>866</v>
      </c>
      <c r="B867" t="s">
        <v>2969</v>
      </c>
      <c r="C867">
        <v>4700</v>
      </c>
      <c r="D867">
        <v>0</v>
      </c>
      <c r="E867">
        <v>235</v>
      </c>
      <c r="F867" s="77">
        <v>44912</v>
      </c>
    </row>
    <row r="868" spans="1:6">
      <c r="A868">
        <v>867</v>
      </c>
      <c r="B868" t="s">
        <v>2972</v>
      </c>
      <c r="C868">
        <v>10000</v>
      </c>
      <c r="D868">
        <v>0</v>
      </c>
      <c r="E868">
        <v>500</v>
      </c>
      <c r="F868" s="79">
        <v>44939</v>
      </c>
    </row>
    <row r="869" spans="1:6">
      <c r="A869">
        <v>868</v>
      </c>
      <c r="B869" t="s">
        <v>2975</v>
      </c>
      <c r="C869">
        <v>2000</v>
      </c>
      <c r="D869">
        <v>0</v>
      </c>
      <c r="E869">
        <v>100</v>
      </c>
      <c r="F869" s="64" t="s">
        <v>16708</v>
      </c>
    </row>
    <row r="870" spans="1:6">
      <c r="A870">
        <v>869</v>
      </c>
      <c r="B870" t="s">
        <v>2979</v>
      </c>
      <c r="C870">
        <v>200000</v>
      </c>
      <c r="D870">
        <v>0</v>
      </c>
      <c r="E870" t="s">
        <v>16642</v>
      </c>
      <c r="F870" s="96">
        <v>44938</v>
      </c>
    </row>
    <row r="871" spans="1:6">
      <c r="A871">
        <v>870</v>
      </c>
      <c r="B871" t="s">
        <v>2979</v>
      </c>
      <c r="C871">
        <v>300000</v>
      </c>
      <c r="D871">
        <v>0</v>
      </c>
      <c r="E871" t="s">
        <v>16642</v>
      </c>
      <c r="F871" s="85"/>
    </row>
    <row r="872" spans="1:6">
      <c r="A872">
        <v>871</v>
      </c>
      <c r="B872" t="s">
        <v>2983</v>
      </c>
      <c r="C872">
        <v>100000</v>
      </c>
      <c r="D872">
        <v>0</v>
      </c>
      <c r="E872" t="s">
        <v>16642</v>
      </c>
      <c r="F872" s="66"/>
    </row>
    <row r="873" spans="1:6">
      <c r="A873">
        <v>872</v>
      </c>
      <c r="B873" t="s">
        <v>2988</v>
      </c>
      <c r="C873">
        <v>250</v>
      </c>
      <c r="D873">
        <v>750</v>
      </c>
      <c r="E873">
        <v>50</v>
      </c>
      <c r="F873" s="60">
        <v>44840</v>
      </c>
    </row>
    <row r="874" spans="1:6">
      <c r="A874">
        <v>873</v>
      </c>
      <c r="B874" t="s">
        <v>2991</v>
      </c>
      <c r="C874">
        <v>5000</v>
      </c>
      <c r="D874">
        <v>15000</v>
      </c>
      <c r="E874">
        <v>1000</v>
      </c>
      <c r="F874" s="64" t="s">
        <v>16709</v>
      </c>
    </row>
    <row r="875" spans="1:6">
      <c r="A875">
        <v>874</v>
      </c>
      <c r="B875" t="s">
        <v>2995</v>
      </c>
      <c r="C875">
        <v>250</v>
      </c>
      <c r="D875">
        <v>750</v>
      </c>
      <c r="E875">
        <v>50</v>
      </c>
      <c r="F875" s="60">
        <v>44953</v>
      </c>
    </row>
    <row r="876" spans="1:6">
      <c r="A876">
        <v>875</v>
      </c>
      <c r="B876" t="s">
        <v>2999</v>
      </c>
      <c r="C876">
        <v>2500</v>
      </c>
      <c r="D876">
        <v>7500</v>
      </c>
      <c r="E876">
        <v>500</v>
      </c>
      <c r="F876" s="67">
        <v>45146</v>
      </c>
    </row>
    <row r="877" spans="1:6">
      <c r="A877">
        <v>876</v>
      </c>
      <c r="B877" t="s">
        <v>3002</v>
      </c>
      <c r="C877">
        <v>250</v>
      </c>
      <c r="D877">
        <v>750</v>
      </c>
      <c r="E877">
        <v>50</v>
      </c>
      <c r="F877" s="61">
        <v>44873</v>
      </c>
    </row>
    <row r="878" spans="1:6">
      <c r="A878">
        <v>877</v>
      </c>
      <c r="B878" t="s">
        <v>3005</v>
      </c>
      <c r="C878">
        <v>250</v>
      </c>
      <c r="D878">
        <v>750</v>
      </c>
      <c r="E878">
        <v>50</v>
      </c>
      <c r="F878" s="72">
        <v>44854</v>
      </c>
    </row>
    <row r="879" ht="15" spans="1:6">
      <c r="A879">
        <v>878</v>
      </c>
      <c r="B879" t="s">
        <v>3009</v>
      </c>
      <c r="C879">
        <v>1500000</v>
      </c>
      <c r="D879">
        <v>0</v>
      </c>
      <c r="E879" t="s">
        <v>16642</v>
      </c>
      <c r="F879" s="88">
        <f>IFERROR(__xludf.DUMMYFUNCTION("""COMPUTED_VALUE"""),45084)</f>
        <v>45084</v>
      </c>
    </row>
    <row r="880" spans="1:6">
      <c r="A880">
        <v>879</v>
      </c>
      <c r="B880" t="s">
        <v>3010</v>
      </c>
      <c r="C880">
        <v>250</v>
      </c>
      <c r="D880">
        <v>750</v>
      </c>
      <c r="E880">
        <v>50</v>
      </c>
      <c r="F880" s="61">
        <v>44844</v>
      </c>
    </row>
    <row r="881" spans="1:6">
      <c r="A881">
        <v>880</v>
      </c>
      <c r="B881" t="s">
        <v>3014</v>
      </c>
      <c r="C881">
        <v>250</v>
      </c>
      <c r="D881">
        <v>750</v>
      </c>
      <c r="E881">
        <v>50</v>
      </c>
      <c r="F881" s="60">
        <v>44840</v>
      </c>
    </row>
    <row r="882" spans="1:6">
      <c r="A882">
        <v>881</v>
      </c>
      <c r="B882" t="s">
        <v>3018</v>
      </c>
      <c r="C882">
        <v>250</v>
      </c>
      <c r="D882">
        <v>750</v>
      </c>
      <c r="E882">
        <v>50</v>
      </c>
      <c r="F882" s="61">
        <v>44911</v>
      </c>
    </row>
    <row r="883" spans="1:6">
      <c r="A883">
        <v>882</v>
      </c>
      <c r="B883" t="s">
        <v>3021</v>
      </c>
      <c r="C883">
        <v>250</v>
      </c>
      <c r="D883">
        <v>750</v>
      </c>
      <c r="E883">
        <v>50</v>
      </c>
      <c r="F883" s="75">
        <v>44867</v>
      </c>
    </row>
    <row r="884" spans="1:6">
      <c r="A884">
        <v>883</v>
      </c>
      <c r="B884" t="s">
        <v>3025</v>
      </c>
      <c r="C884">
        <v>250</v>
      </c>
      <c r="D884">
        <v>750</v>
      </c>
      <c r="E884">
        <v>50</v>
      </c>
      <c r="F884" s="71">
        <v>44887</v>
      </c>
    </row>
    <row r="885" spans="1:6">
      <c r="A885">
        <v>884</v>
      </c>
      <c r="B885" t="s">
        <v>3028</v>
      </c>
      <c r="C885">
        <v>2500</v>
      </c>
      <c r="D885">
        <v>7500</v>
      </c>
      <c r="E885">
        <v>500</v>
      </c>
      <c r="F885" s="77">
        <v>44923</v>
      </c>
    </row>
    <row r="886" spans="1:6">
      <c r="A886">
        <v>885</v>
      </c>
      <c r="B886" t="s">
        <v>3031</v>
      </c>
      <c r="C886">
        <v>250</v>
      </c>
      <c r="D886">
        <v>750</v>
      </c>
      <c r="E886">
        <v>50</v>
      </c>
      <c r="F886" s="60">
        <v>44991</v>
      </c>
    </row>
    <row r="887" spans="1:6">
      <c r="A887">
        <v>886</v>
      </c>
      <c r="B887" t="s">
        <v>3034</v>
      </c>
      <c r="C887">
        <v>250</v>
      </c>
      <c r="D887">
        <v>750</v>
      </c>
      <c r="E887">
        <v>50</v>
      </c>
      <c r="F887" s="60">
        <v>44864</v>
      </c>
    </row>
    <row r="888" spans="1:6">
      <c r="A888">
        <v>887</v>
      </c>
      <c r="B888" t="s">
        <v>3037</v>
      </c>
      <c r="C888">
        <v>250</v>
      </c>
      <c r="D888">
        <v>750</v>
      </c>
      <c r="E888">
        <v>50</v>
      </c>
      <c r="F888" s="61">
        <v>44886</v>
      </c>
    </row>
    <row r="889" spans="1:6">
      <c r="A889">
        <v>888</v>
      </c>
      <c r="B889" t="s">
        <v>3040</v>
      </c>
      <c r="C889">
        <v>250</v>
      </c>
      <c r="D889">
        <v>750</v>
      </c>
      <c r="E889">
        <v>50</v>
      </c>
      <c r="F889" s="74">
        <v>44978</v>
      </c>
    </row>
    <row r="890" spans="1:6">
      <c r="A890">
        <v>889</v>
      </c>
      <c r="B890" t="s">
        <v>3043</v>
      </c>
      <c r="C890">
        <v>10000</v>
      </c>
      <c r="D890">
        <v>0</v>
      </c>
      <c r="E890">
        <v>500</v>
      </c>
      <c r="F890" s="65">
        <v>44729</v>
      </c>
    </row>
    <row r="891" spans="1:6">
      <c r="A891">
        <v>890</v>
      </c>
      <c r="B891" t="s">
        <v>3047</v>
      </c>
      <c r="C891">
        <v>1000</v>
      </c>
      <c r="D891">
        <v>0</v>
      </c>
      <c r="E891">
        <v>50</v>
      </c>
      <c r="F891" s="64" t="s">
        <v>16710</v>
      </c>
    </row>
    <row r="892" spans="1:6">
      <c r="A892">
        <v>891</v>
      </c>
      <c r="B892" t="s">
        <v>3051</v>
      </c>
      <c r="C892">
        <v>20000</v>
      </c>
      <c r="D892">
        <v>0</v>
      </c>
      <c r="E892">
        <v>1000</v>
      </c>
      <c r="F892" s="65">
        <v>44677</v>
      </c>
    </row>
    <row r="893" spans="1:6">
      <c r="A893">
        <v>892</v>
      </c>
      <c r="B893" t="s">
        <v>3055</v>
      </c>
      <c r="C893">
        <v>9000</v>
      </c>
      <c r="D893">
        <v>0</v>
      </c>
      <c r="E893">
        <v>50</v>
      </c>
      <c r="F893" s="111">
        <v>44754</v>
      </c>
    </row>
    <row r="894" spans="1:6">
      <c r="A894">
        <v>893</v>
      </c>
      <c r="B894" t="s">
        <v>3059</v>
      </c>
      <c r="C894">
        <v>100000</v>
      </c>
      <c r="D894">
        <v>0</v>
      </c>
      <c r="E894" t="s">
        <v>16642</v>
      </c>
      <c r="F894" s="76">
        <v>44929</v>
      </c>
    </row>
    <row r="895" spans="1:6">
      <c r="A895">
        <v>894</v>
      </c>
      <c r="B895" t="s">
        <v>3063</v>
      </c>
      <c r="C895">
        <v>250</v>
      </c>
      <c r="D895">
        <v>750</v>
      </c>
      <c r="E895">
        <v>50</v>
      </c>
      <c r="F895" s="60">
        <v>44904</v>
      </c>
    </row>
    <row r="896" spans="1:6">
      <c r="A896">
        <v>895</v>
      </c>
      <c r="B896" t="s">
        <v>3066</v>
      </c>
      <c r="C896">
        <v>1000</v>
      </c>
      <c r="D896">
        <v>0</v>
      </c>
      <c r="E896">
        <v>50</v>
      </c>
      <c r="F896" s="60">
        <v>44935</v>
      </c>
    </row>
    <row r="897" spans="1:6">
      <c r="A897">
        <v>896</v>
      </c>
      <c r="B897" t="s">
        <v>3070</v>
      </c>
      <c r="C897">
        <v>250</v>
      </c>
      <c r="D897">
        <v>750</v>
      </c>
      <c r="E897">
        <v>50</v>
      </c>
      <c r="F897" s="72">
        <v>44844</v>
      </c>
    </row>
    <row r="898" spans="1:6">
      <c r="A898">
        <v>897</v>
      </c>
      <c r="B898" t="s">
        <v>3073</v>
      </c>
      <c r="C898">
        <v>500</v>
      </c>
      <c r="D898">
        <v>1500</v>
      </c>
      <c r="E898">
        <v>100</v>
      </c>
      <c r="F898" s="60">
        <v>44844</v>
      </c>
    </row>
    <row r="899" spans="1:6">
      <c r="A899">
        <v>898</v>
      </c>
      <c r="B899" t="s">
        <v>3077</v>
      </c>
      <c r="C899">
        <v>250</v>
      </c>
      <c r="D899">
        <v>750</v>
      </c>
      <c r="E899">
        <v>50</v>
      </c>
      <c r="F899" s="71">
        <v>44889</v>
      </c>
    </row>
    <row r="900" spans="1:6">
      <c r="A900">
        <v>899</v>
      </c>
      <c r="B900" t="s">
        <v>3080</v>
      </c>
      <c r="C900">
        <v>1000</v>
      </c>
      <c r="D900">
        <v>0</v>
      </c>
      <c r="E900">
        <v>50</v>
      </c>
      <c r="F900" s="61">
        <v>44904</v>
      </c>
    </row>
    <row r="901" spans="1:6">
      <c r="A901">
        <v>900</v>
      </c>
      <c r="B901" t="s">
        <v>3083</v>
      </c>
      <c r="C901">
        <v>250</v>
      </c>
      <c r="D901">
        <v>750</v>
      </c>
      <c r="E901">
        <v>50</v>
      </c>
      <c r="F901" s="61">
        <v>44931</v>
      </c>
    </row>
    <row r="902" spans="1:6">
      <c r="A902">
        <v>901</v>
      </c>
      <c r="B902" t="s">
        <v>3086</v>
      </c>
      <c r="C902">
        <v>12500</v>
      </c>
      <c r="D902">
        <v>37500</v>
      </c>
      <c r="E902">
        <v>2500</v>
      </c>
      <c r="F902" s="65">
        <v>44441</v>
      </c>
    </row>
    <row r="903" spans="1:6">
      <c r="A903">
        <v>902</v>
      </c>
      <c r="B903" t="s">
        <v>3091</v>
      </c>
      <c r="C903">
        <v>1000</v>
      </c>
      <c r="D903">
        <v>0</v>
      </c>
      <c r="E903">
        <v>50</v>
      </c>
      <c r="F903" s="77">
        <v>44907</v>
      </c>
    </row>
    <row r="904" spans="1:6">
      <c r="A904">
        <v>903</v>
      </c>
      <c r="B904" t="s">
        <v>3094</v>
      </c>
      <c r="C904">
        <v>750</v>
      </c>
      <c r="D904">
        <v>2250</v>
      </c>
      <c r="E904">
        <v>150</v>
      </c>
      <c r="F904" s="72">
        <v>44841</v>
      </c>
    </row>
    <row r="905" spans="1:6">
      <c r="A905">
        <v>904</v>
      </c>
      <c r="B905" t="s">
        <v>3098</v>
      </c>
      <c r="C905">
        <v>250</v>
      </c>
      <c r="D905">
        <v>750</v>
      </c>
      <c r="E905">
        <v>50</v>
      </c>
      <c r="F905" s="60">
        <v>44986</v>
      </c>
    </row>
    <row r="906" spans="1:6">
      <c r="A906">
        <v>905</v>
      </c>
      <c r="B906" t="s">
        <v>3101</v>
      </c>
      <c r="C906">
        <v>250</v>
      </c>
      <c r="D906">
        <v>750</v>
      </c>
      <c r="E906">
        <v>50</v>
      </c>
      <c r="F906" s="60">
        <v>44912</v>
      </c>
    </row>
    <row r="907" spans="1:6">
      <c r="A907">
        <v>906</v>
      </c>
      <c r="B907" t="s">
        <v>3105</v>
      </c>
      <c r="C907">
        <v>250</v>
      </c>
      <c r="D907">
        <v>750</v>
      </c>
      <c r="E907">
        <v>50</v>
      </c>
      <c r="F907" s="60">
        <v>45043</v>
      </c>
    </row>
    <row r="908" spans="1:6">
      <c r="A908">
        <v>907</v>
      </c>
      <c r="B908" t="s">
        <v>3109</v>
      </c>
      <c r="C908">
        <v>1000</v>
      </c>
      <c r="D908">
        <v>0</v>
      </c>
      <c r="E908">
        <v>50</v>
      </c>
      <c r="F908" s="60">
        <v>44893</v>
      </c>
    </row>
    <row r="909" spans="1:6">
      <c r="A909">
        <v>908</v>
      </c>
      <c r="B909" t="s">
        <v>3113</v>
      </c>
      <c r="C909">
        <v>1000</v>
      </c>
      <c r="D909">
        <v>0</v>
      </c>
      <c r="E909">
        <v>50</v>
      </c>
      <c r="F909" s="60">
        <v>45013</v>
      </c>
    </row>
    <row r="910" spans="1:6">
      <c r="A910">
        <v>909</v>
      </c>
      <c r="B910" t="s">
        <v>3116</v>
      </c>
      <c r="C910">
        <v>1000</v>
      </c>
      <c r="D910">
        <v>0</v>
      </c>
      <c r="E910">
        <v>50</v>
      </c>
      <c r="F910" s="73">
        <v>45058</v>
      </c>
    </row>
    <row r="911" spans="1:6">
      <c r="A911">
        <v>910</v>
      </c>
      <c r="B911" t="s">
        <v>3120</v>
      </c>
      <c r="C911">
        <v>500</v>
      </c>
      <c r="D911">
        <v>500</v>
      </c>
      <c r="E911">
        <v>50</v>
      </c>
      <c r="F911" s="61">
        <v>44928</v>
      </c>
    </row>
    <row r="912" spans="1:6">
      <c r="A912">
        <v>911</v>
      </c>
      <c r="B912" t="s">
        <v>3123</v>
      </c>
      <c r="C912">
        <v>250</v>
      </c>
      <c r="D912">
        <v>750</v>
      </c>
      <c r="E912">
        <v>50</v>
      </c>
      <c r="F912" s="61">
        <v>44926</v>
      </c>
    </row>
    <row r="913" spans="1:6">
      <c r="A913">
        <v>912</v>
      </c>
      <c r="B913" t="s">
        <v>3126</v>
      </c>
      <c r="C913">
        <v>250</v>
      </c>
      <c r="D913">
        <v>750</v>
      </c>
      <c r="E913">
        <v>50</v>
      </c>
      <c r="F913" s="75">
        <v>44925</v>
      </c>
    </row>
    <row r="914" spans="1:6">
      <c r="A914">
        <v>913</v>
      </c>
      <c r="B914" t="s">
        <v>3130</v>
      </c>
      <c r="C914">
        <v>2500</v>
      </c>
      <c r="D914">
        <v>7500</v>
      </c>
      <c r="E914">
        <v>500</v>
      </c>
      <c r="F914" s="67">
        <v>44826</v>
      </c>
    </row>
    <row r="915" spans="1:6">
      <c r="A915">
        <v>914</v>
      </c>
      <c r="B915" t="s">
        <v>3133</v>
      </c>
      <c r="C915">
        <v>250</v>
      </c>
      <c r="D915">
        <v>750</v>
      </c>
      <c r="E915">
        <v>50</v>
      </c>
      <c r="F915" s="61" t="s">
        <v>16711</v>
      </c>
    </row>
    <row r="916" spans="1:6">
      <c r="A916">
        <v>915</v>
      </c>
      <c r="B916" t="s">
        <v>3136</v>
      </c>
      <c r="C916">
        <v>250</v>
      </c>
      <c r="D916">
        <v>750</v>
      </c>
      <c r="E916">
        <v>50</v>
      </c>
      <c r="F916" s="60">
        <v>44820</v>
      </c>
    </row>
    <row r="917" spans="1:6">
      <c r="A917">
        <v>916</v>
      </c>
      <c r="B917" t="s">
        <v>3139</v>
      </c>
      <c r="C917">
        <v>250</v>
      </c>
      <c r="D917">
        <v>750</v>
      </c>
      <c r="E917">
        <v>50</v>
      </c>
      <c r="F917" s="60">
        <v>44897</v>
      </c>
    </row>
    <row r="918" spans="1:6">
      <c r="A918">
        <v>917</v>
      </c>
      <c r="B918" t="s">
        <v>3143</v>
      </c>
      <c r="C918">
        <v>250</v>
      </c>
      <c r="D918">
        <v>750</v>
      </c>
      <c r="E918">
        <v>50</v>
      </c>
      <c r="F918" s="60">
        <v>44861</v>
      </c>
    </row>
    <row r="919" ht="31.5" spans="1:6">
      <c r="A919">
        <v>918</v>
      </c>
      <c r="B919" t="s">
        <v>3146</v>
      </c>
      <c r="C919">
        <v>20000</v>
      </c>
      <c r="D919">
        <v>0</v>
      </c>
      <c r="E919">
        <v>1000</v>
      </c>
      <c r="F919" s="112" t="s">
        <v>16712</v>
      </c>
    </row>
    <row r="920" spans="1:6">
      <c r="A920">
        <v>919</v>
      </c>
      <c r="B920" t="s">
        <v>3150</v>
      </c>
      <c r="C920">
        <v>4800</v>
      </c>
      <c r="D920">
        <v>0</v>
      </c>
      <c r="E920">
        <v>240</v>
      </c>
      <c r="F920" s="64" t="s">
        <v>16707</v>
      </c>
    </row>
    <row r="921" spans="1:6">
      <c r="A921">
        <v>920</v>
      </c>
      <c r="B921" t="s">
        <v>3154</v>
      </c>
      <c r="C921">
        <v>25000</v>
      </c>
      <c r="D921">
        <v>0</v>
      </c>
      <c r="E921">
        <v>1250</v>
      </c>
      <c r="F921" s="65">
        <v>44747</v>
      </c>
    </row>
    <row r="922" spans="1:6">
      <c r="A922">
        <v>921</v>
      </c>
      <c r="B922" t="s">
        <v>3157</v>
      </c>
      <c r="C922">
        <v>250</v>
      </c>
      <c r="D922">
        <v>750</v>
      </c>
      <c r="E922">
        <v>50</v>
      </c>
      <c r="F922" s="60">
        <v>45045</v>
      </c>
    </row>
    <row r="923" spans="1:6">
      <c r="A923">
        <v>922</v>
      </c>
      <c r="B923" t="s">
        <v>3160</v>
      </c>
      <c r="C923">
        <v>250</v>
      </c>
      <c r="D923">
        <v>750</v>
      </c>
      <c r="E923">
        <v>50</v>
      </c>
      <c r="F923" s="72">
        <v>45015</v>
      </c>
    </row>
    <row r="924" spans="1:6">
      <c r="A924">
        <v>923</v>
      </c>
      <c r="B924" t="s">
        <v>3163</v>
      </c>
      <c r="C924">
        <v>250</v>
      </c>
      <c r="D924">
        <v>750</v>
      </c>
      <c r="E924">
        <v>50</v>
      </c>
      <c r="F924" s="60">
        <v>44880</v>
      </c>
    </row>
    <row r="925" spans="1:6">
      <c r="A925">
        <v>924</v>
      </c>
      <c r="B925" t="s">
        <v>3167</v>
      </c>
      <c r="C925">
        <v>250</v>
      </c>
      <c r="D925">
        <v>750</v>
      </c>
      <c r="E925">
        <v>50</v>
      </c>
      <c r="F925" s="60">
        <v>44942</v>
      </c>
    </row>
    <row r="926" spans="1:6">
      <c r="A926">
        <v>925</v>
      </c>
      <c r="B926" t="s">
        <v>3170</v>
      </c>
      <c r="C926">
        <v>250</v>
      </c>
      <c r="D926">
        <v>750</v>
      </c>
      <c r="E926">
        <v>50</v>
      </c>
      <c r="F926" s="60">
        <v>44866</v>
      </c>
    </row>
    <row r="927" spans="1:6">
      <c r="A927">
        <v>926</v>
      </c>
      <c r="B927" t="s">
        <v>3173</v>
      </c>
      <c r="C927">
        <v>250</v>
      </c>
      <c r="D927">
        <v>750</v>
      </c>
      <c r="E927">
        <v>50</v>
      </c>
      <c r="F927" s="60">
        <v>44870</v>
      </c>
    </row>
    <row r="928" spans="1:6">
      <c r="A928">
        <v>927</v>
      </c>
      <c r="B928" t="s">
        <v>3176</v>
      </c>
      <c r="C928">
        <v>250</v>
      </c>
      <c r="D928">
        <v>750</v>
      </c>
      <c r="E928">
        <v>50</v>
      </c>
      <c r="F928" s="60">
        <v>44807</v>
      </c>
    </row>
    <row r="929" spans="1:6">
      <c r="A929">
        <v>928</v>
      </c>
      <c r="B929" t="s">
        <v>3179</v>
      </c>
      <c r="C929">
        <v>250</v>
      </c>
      <c r="D929">
        <v>750</v>
      </c>
      <c r="E929">
        <v>50</v>
      </c>
      <c r="F929" s="73">
        <v>44929</v>
      </c>
    </row>
    <row r="930" spans="1:6">
      <c r="A930">
        <v>929</v>
      </c>
      <c r="B930" t="s">
        <v>3182</v>
      </c>
      <c r="C930">
        <v>1500000</v>
      </c>
      <c r="D930">
        <v>0</v>
      </c>
      <c r="E930" t="s">
        <v>16642</v>
      </c>
      <c r="F930" s="80">
        <f>IFERROR(__xludf.DUMMYFUNCTION("""COMPUTED_VALUE"""),45080)</f>
        <v>45080</v>
      </c>
    </row>
    <row r="931" spans="1:6">
      <c r="A931">
        <v>930</v>
      </c>
      <c r="B931" t="s">
        <v>3183</v>
      </c>
      <c r="C931">
        <v>100000</v>
      </c>
      <c r="D931">
        <v>0</v>
      </c>
      <c r="E931" t="s">
        <v>16642</v>
      </c>
      <c r="F931" s="84"/>
    </row>
    <row r="932" spans="1:6">
      <c r="A932">
        <v>931</v>
      </c>
      <c r="B932" t="s">
        <v>3183</v>
      </c>
      <c r="C932">
        <v>100000</v>
      </c>
      <c r="D932">
        <v>0</v>
      </c>
      <c r="E932" t="s">
        <v>16642</v>
      </c>
      <c r="F932" s="85"/>
    </row>
    <row r="933" ht="15" spans="1:6">
      <c r="A933">
        <v>932</v>
      </c>
      <c r="B933" t="s">
        <v>3183</v>
      </c>
      <c r="C933">
        <v>1000000</v>
      </c>
      <c r="D933">
        <v>2500000</v>
      </c>
      <c r="E933" t="s">
        <v>16642</v>
      </c>
      <c r="F933" s="97">
        <v>45148</v>
      </c>
    </row>
    <row r="934" spans="1:6">
      <c r="A934">
        <v>933</v>
      </c>
      <c r="B934" t="s">
        <v>3187</v>
      </c>
      <c r="C934">
        <v>250</v>
      </c>
      <c r="D934">
        <v>750</v>
      </c>
      <c r="E934">
        <v>50</v>
      </c>
      <c r="F934" s="60">
        <v>44867</v>
      </c>
    </row>
    <row r="935" spans="1:6">
      <c r="A935">
        <v>934</v>
      </c>
      <c r="B935" t="s">
        <v>3190</v>
      </c>
      <c r="C935">
        <v>1000</v>
      </c>
      <c r="D935">
        <v>0</v>
      </c>
      <c r="E935">
        <v>50</v>
      </c>
      <c r="F935" s="77">
        <v>44802</v>
      </c>
    </row>
    <row r="936" spans="1:6">
      <c r="A936">
        <v>935</v>
      </c>
      <c r="B936" t="s">
        <v>3193</v>
      </c>
      <c r="C936">
        <v>250</v>
      </c>
      <c r="D936">
        <v>750</v>
      </c>
      <c r="E936">
        <v>50</v>
      </c>
      <c r="F936" s="61">
        <v>44897</v>
      </c>
    </row>
    <row r="937" spans="1:6">
      <c r="A937">
        <v>936</v>
      </c>
      <c r="B937" t="s">
        <v>3196</v>
      </c>
      <c r="C937">
        <v>250</v>
      </c>
      <c r="D937">
        <v>750</v>
      </c>
      <c r="E937">
        <v>50</v>
      </c>
      <c r="F937" s="61">
        <v>44923</v>
      </c>
    </row>
    <row r="938" spans="1:6">
      <c r="A938">
        <v>937</v>
      </c>
      <c r="B938" t="s">
        <v>3199</v>
      </c>
      <c r="C938">
        <v>1000</v>
      </c>
      <c r="D938">
        <v>0</v>
      </c>
      <c r="E938">
        <v>50</v>
      </c>
      <c r="F938" s="69">
        <v>45058</v>
      </c>
    </row>
    <row r="939" spans="1:6">
      <c r="A939">
        <v>938</v>
      </c>
      <c r="B939" t="s">
        <v>3202</v>
      </c>
      <c r="C939">
        <v>250</v>
      </c>
      <c r="D939">
        <v>750</v>
      </c>
      <c r="E939">
        <v>50</v>
      </c>
      <c r="F939" s="69">
        <v>45014</v>
      </c>
    </row>
    <row r="940" spans="1:6">
      <c r="A940">
        <v>939</v>
      </c>
      <c r="B940" t="s">
        <v>3205</v>
      </c>
      <c r="C940">
        <v>1000</v>
      </c>
      <c r="D940">
        <v>0</v>
      </c>
      <c r="E940">
        <v>50</v>
      </c>
      <c r="F940" s="75">
        <v>44865</v>
      </c>
    </row>
    <row r="941" spans="1:6">
      <c r="A941">
        <v>940</v>
      </c>
      <c r="B941" t="s">
        <v>3209</v>
      </c>
      <c r="C941">
        <v>250</v>
      </c>
      <c r="D941">
        <v>750</v>
      </c>
      <c r="E941">
        <v>50</v>
      </c>
      <c r="F941" s="70">
        <v>44820</v>
      </c>
    </row>
    <row r="942" spans="1:6">
      <c r="A942">
        <v>941</v>
      </c>
      <c r="B942" t="s">
        <v>3212</v>
      </c>
      <c r="C942">
        <v>250</v>
      </c>
      <c r="D942">
        <v>750</v>
      </c>
      <c r="E942">
        <v>50</v>
      </c>
      <c r="F942" s="61">
        <v>44847</v>
      </c>
    </row>
    <row r="943" spans="1:6">
      <c r="A943">
        <v>942</v>
      </c>
      <c r="B943" t="s">
        <v>3216</v>
      </c>
      <c r="C943">
        <v>250</v>
      </c>
      <c r="D943">
        <v>750</v>
      </c>
      <c r="E943">
        <v>50</v>
      </c>
      <c r="F943" s="60">
        <v>44889</v>
      </c>
    </row>
    <row r="944" spans="1:6">
      <c r="A944">
        <v>943</v>
      </c>
      <c r="B944" t="s">
        <v>3219</v>
      </c>
      <c r="C944">
        <v>5000</v>
      </c>
      <c r="D944">
        <v>0</v>
      </c>
      <c r="E944">
        <v>250</v>
      </c>
      <c r="F944" s="67">
        <v>44937</v>
      </c>
    </row>
    <row r="945" spans="1:6">
      <c r="A945">
        <v>944</v>
      </c>
      <c r="B945" t="s">
        <v>3222</v>
      </c>
      <c r="C945">
        <v>40000</v>
      </c>
      <c r="D945">
        <v>0</v>
      </c>
      <c r="E945">
        <v>2000</v>
      </c>
      <c r="F945" s="83">
        <v>44441</v>
      </c>
    </row>
    <row r="946" spans="1:6">
      <c r="A946">
        <v>945</v>
      </c>
      <c r="B946" t="s">
        <v>3222</v>
      </c>
      <c r="C946">
        <v>100000</v>
      </c>
      <c r="D946">
        <v>0</v>
      </c>
      <c r="E946" t="s">
        <v>16642</v>
      </c>
      <c r="F946" s="84"/>
    </row>
    <row r="947" spans="1:6">
      <c r="A947">
        <v>946</v>
      </c>
      <c r="B947" t="s">
        <v>3227</v>
      </c>
      <c r="C947">
        <v>250</v>
      </c>
      <c r="D947">
        <v>750</v>
      </c>
      <c r="E947">
        <v>50</v>
      </c>
      <c r="F947" s="61">
        <v>44851</v>
      </c>
    </row>
    <row r="948" spans="1:6">
      <c r="A948">
        <v>947</v>
      </c>
      <c r="B948" t="s">
        <v>3230</v>
      </c>
      <c r="C948">
        <v>250</v>
      </c>
      <c r="D948">
        <v>750</v>
      </c>
      <c r="E948">
        <v>50</v>
      </c>
      <c r="F948" s="69">
        <v>45013</v>
      </c>
    </row>
    <row r="949" spans="1:6">
      <c r="A949">
        <v>948</v>
      </c>
      <c r="B949" t="s">
        <v>3233</v>
      </c>
      <c r="C949">
        <v>250</v>
      </c>
      <c r="D949">
        <v>750</v>
      </c>
      <c r="E949">
        <v>50</v>
      </c>
      <c r="F949" s="60">
        <v>45001</v>
      </c>
    </row>
    <row r="950" spans="1:6">
      <c r="A950">
        <v>949</v>
      </c>
      <c r="B950" t="s">
        <v>3236</v>
      </c>
      <c r="C950">
        <v>250</v>
      </c>
      <c r="D950">
        <v>750</v>
      </c>
      <c r="E950">
        <v>50</v>
      </c>
      <c r="F950" s="60">
        <v>44873</v>
      </c>
    </row>
    <row r="951" spans="1:6">
      <c r="A951">
        <v>950</v>
      </c>
      <c r="B951" t="s">
        <v>3239</v>
      </c>
      <c r="C951">
        <v>1000</v>
      </c>
      <c r="D951">
        <v>0</v>
      </c>
      <c r="E951">
        <v>50</v>
      </c>
      <c r="F951" s="73">
        <v>45058</v>
      </c>
    </row>
    <row r="952" spans="1:6">
      <c r="A952">
        <v>951</v>
      </c>
      <c r="B952" t="s">
        <v>3242</v>
      </c>
      <c r="C952">
        <v>250</v>
      </c>
      <c r="D952">
        <v>750</v>
      </c>
      <c r="E952">
        <v>50</v>
      </c>
      <c r="F952" s="69">
        <v>44859</v>
      </c>
    </row>
    <row r="953" spans="1:6">
      <c r="A953">
        <v>952</v>
      </c>
      <c r="B953" t="s">
        <v>3245</v>
      </c>
      <c r="C953">
        <v>100000</v>
      </c>
      <c r="D953">
        <v>0</v>
      </c>
      <c r="E953" t="s">
        <v>16642</v>
      </c>
      <c r="F953" s="76">
        <v>44935</v>
      </c>
    </row>
    <row r="954" spans="1:6">
      <c r="A954">
        <v>953</v>
      </c>
      <c r="B954" t="s">
        <v>3250</v>
      </c>
      <c r="C954">
        <v>1000</v>
      </c>
      <c r="D954">
        <v>0</v>
      </c>
      <c r="E954">
        <v>50</v>
      </c>
      <c r="F954" s="75">
        <v>44880</v>
      </c>
    </row>
    <row r="955" spans="1:6">
      <c r="A955">
        <v>954</v>
      </c>
      <c r="B955" t="s">
        <v>3254</v>
      </c>
      <c r="C955">
        <v>250</v>
      </c>
      <c r="D955">
        <v>750</v>
      </c>
      <c r="E955">
        <v>50</v>
      </c>
      <c r="F955" s="60">
        <v>44887</v>
      </c>
    </row>
    <row r="956" ht="31.5" spans="1:6">
      <c r="A956">
        <v>955</v>
      </c>
      <c r="B956" t="s">
        <v>3257</v>
      </c>
      <c r="C956">
        <v>200000</v>
      </c>
      <c r="D956">
        <v>0</v>
      </c>
      <c r="E956" t="s">
        <v>16642</v>
      </c>
      <c r="F956" s="76" t="s">
        <v>16713</v>
      </c>
    </row>
    <row r="957" spans="1:6">
      <c r="A957">
        <v>956</v>
      </c>
      <c r="B957" t="s">
        <v>3261</v>
      </c>
      <c r="C957">
        <v>250</v>
      </c>
      <c r="D957">
        <v>750</v>
      </c>
      <c r="E957">
        <v>50</v>
      </c>
      <c r="F957" s="60">
        <v>44865</v>
      </c>
    </row>
    <row r="958" spans="1:6">
      <c r="A958">
        <v>957</v>
      </c>
      <c r="B958" t="s">
        <v>3265</v>
      </c>
      <c r="C958">
        <v>250</v>
      </c>
      <c r="D958">
        <v>750</v>
      </c>
      <c r="E958">
        <v>50</v>
      </c>
      <c r="F958" s="70">
        <v>44901</v>
      </c>
    </row>
    <row r="959" spans="1:6">
      <c r="A959">
        <v>958</v>
      </c>
      <c r="B959" t="s">
        <v>3269</v>
      </c>
      <c r="C959">
        <v>250</v>
      </c>
      <c r="D959">
        <v>750</v>
      </c>
      <c r="E959">
        <v>50</v>
      </c>
      <c r="F959" s="61">
        <v>45057</v>
      </c>
    </row>
    <row r="960" spans="1:6">
      <c r="A960">
        <v>959</v>
      </c>
      <c r="B960" t="s">
        <v>3272</v>
      </c>
      <c r="C960">
        <v>250</v>
      </c>
      <c r="D960">
        <v>750</v>
      </c>
      <c r="E960">
        <v>50</v>
      </c>
      <c r="F960" s="60">
        <v>44866</v>
      </c>
    </row>
    <row r="961" spans="1:6">
      <c r="A961">
        <v>960</v>
      </c>
      <c r="B961" t="s">
        <v>3275</v>
      </c>
      <c r="C961">
        <v>1000</v>
      </c>
      <c r="D961">
        <v>0</v>
      </c>
      <c r="E961">
        <v>50</v>
      </c>
      <c r="F961" s="60">
        <v>44925</v>
      </c>
    </row>
    <row r="962" spans="1:6">
      <c r="A962">
        <v>961</v>
      </c>
      <c r="B962" t="s">
        <v>3278</v>
      </c>
      <c r="C962">
        <v>250</v>
      </c>
      <c r="D962">
        <v>750</v>
      </c>
      <c r="E962">
        <v>50</v>
      </c>
      <c r="F962" s="61">
        <v>44805</v>
      </c>
    </row>
    <row r="963" spans="1:6">
      <c r="A963">
        <v>962</v>
      </c>
      <c r="B963" t="s">
        <v>3282</v>
      </c>
      <c r="C963">
        <v>250</v>
      </c>
      <c r="D963">
        <v>750</v>
      </c>
      <c r="E963">
        <v>50</v>
      </c>
      <c r="F963" s="69">
        <v>44953</v>
      </c>
    </row>
    <row r="964" spans="1:6">
      <c r="A964">
        <v>963</v>
      </c>
      <c r="B964" t="s">
        <v>3285</v>
      </c>
      <c r="C964">
        <v>250</v>
      </c>
      <c r="D964">
        <v>750</v>
      </c>
      <c r="E964">
        <v>50</v>
      </c>
      <c r="F964" s="70">
        <v>44919</v>
      </c>
    </row>
    <row r="965" spans="1:6">
      <c r="A965">
        <v>964</v>
      </c>
      <c r="B965" t="s">
        <v>3289</v>
      </c>
      <c r="C965">
        <v>1000</v>
      </c>
      <c r="D965">
        <v>0</v>
      </c>
      <c r="E965">
        <v>50</v>
      </c>
      <c r="F965" s="61">
        <v>44918</v>
      </c>
    </row>
    <row r="966" spans="1:6">
      <c r="A966">
        <v>965</v>
      </c>
      <c r="B966" t="s">
        <v>3292</v>
      </c>
      <c r="C966">
        <v>250</v>
      </c>
      <c r="D966">
        <v>750</v>
      </c>
      <c r="E966">
        <v>50</v>
      </c>
      <c r="F966" s="71">
        <v>44887</v>
      </c>
    </row>
    <row r="967" spans="1:6">
      <c r="A967">
        <v>966</v>
      </c>
      <c r="B967" t="s">
        <v>3295</v>
      </c>
      <c r="C967">
        <v>250</v>
      </c>
      <c r="D967">
        <v>750</v>
      </c>
      <c r="E967">
        <v>50</v>
      </c>
      <c r="F967" s="61">
        <v>44880</v>
      </c>
    </row>
    <row r="968" spans="1:6">
      <c r="A968">
        <v>967</v>
      </c>
      <c r="B968" t="s">
        <v>3299</v>
      </c>
      <c r="C968">
        <v>250</v>
      </c>
      <c r="D968">
        <v>750</v>
      </c>
      <c r="E968">
        <v>50</v>
      </c>
      <c r="F968" s="60">
        <v>45248</v>
      </c>
    </row>
    <row r="969" ht="15" spans="1:6">
      <c r="A969">
        <v>968</v>
      </c>
      <c r="B969" t="s">
        <v>3303</v>
      </c>
      <c r="C969">
        <v>1000000</v>
      </c>
      <c r="D969">
        <v>500000</v>
      </c>
      <c r="E969" t="s">
        <v>16642</v>
      </c>
      <c r="F969" s="81">
        <f>IFERROR(__xludf.DUMMYFUNCTION("""COMPUTED_VALUE"""),45084)</f>
        <v>45084</v>
      </c>
    </row>
    <row r="970" spans="1:6">
      <c r="A970">
        <v>969</v>
      </c>
      <c r="B970" t="s">
        <v>3304</v>
      </c>
      <c r="C970">
        <v>100000</v>
      </c>
      <c r="D970">
        <v>0</v>
      </c>
      <c r="E970" t="s">
        <v>16642</v>
      </c>
      <c r="F970" s="113">
        <v>44939</v>
      </c>
    </row>
    <row r="971" spans="1:6">
      <c r="A971">
        <v>970</v>
      </c>
      <c r="B971" t="s">
        <v>3309</v>
      </c>
      <c r="C971">
        <v>250</v>
      </c>
      <c r="D971">
        <v>750</v>
      </c>
      <c r="E971">
        <v>50</v>
      </c>
      <c r="F971" s="71">
        <v>44925</v>
      </c>
    </row>
    <row r="972" spans="1:6">
      <c r="A972">
        <v>971</v>
      </c>
      <c r="B972" t="s">
        <v>3312</v>
      </c>
      <c r="C972">
        <v>1000</v>
      </c>
      <c r="D972">
        <v>0</v>
      </c>
      <c r="E972">
        <v>50</v>
      </c>
      <c r="F972" s="61">
        <v>44841</v>
      </c>
    </row>
    <row r="973" spans="1:6">
      <c r="A973">
        <v>972</v>
      </c>
      <c r="B973" t="s">
        <v>3316</v>
      </c>
      <c r="C973">
        <v>1000</v>
      </c>
      <c r="D973">
        <v>0</v>
      </c>
      <c r="E973">
        <v>50</v>
      </c>
      <c r="F973" s="60">
        <v>44882</v>
      </c>
    </row>
    <row r="974" spans="1:6">
      <c r="A974">
        <v>973</v>
      </c>
      <c r="B974" t="s">
        <v>3320</v>
      </c>
      <c r="C974">
        <v>250</v>
      </c>
      <c r="D974">
        <v>750</v>
      </c>
      <c r="E974">
        <v>50</v>
      </c>
      <c r="F974" s="61">
        <v>44866</v>
      </c>
    </row>
    <row r="975" spans="1:6">
      <c r="A975">
        <v>974</v>
      </c>
      <c r="B975" t="s">
        <v>3323</v>
      </c>
      <c r="C975">
        <v>750</v>
      </c>
      <c r="D975">
        <v>2250</v>
      </c>
      <c r="E975">
        <v>150</v>
      </c>
      <c r="F975" s="61">
        <v>44869</v>
      </c>
    </row>
    <row r="976" spans="1:6">
      <c r="A976">
        <v>975</v>
      </c>
      <c r="B976" t="s">
        <v>3327</v>
      </c>
      <c r="C976">
        <v>250</v>
      </c>
      <c r="D976">
        <v>750</v>
      </c>
      <c r="E976">
        <v>50</v>
      </c>
      <c r="F976" s="61">
        <v>44907</v>
      </c>
    </row>
    <row r="977" spans="1:6">
      <c r="A977">
        <v>976</v>
      </c>
      <c r="B977" t="s">
        <v>3330</v>
      </c>
      <c r="C977">
        <v>250</v>
      </c>
      <c r="D977">
        <v>750</v>
      </c>
      <c r="E977">
        <v>50</v>
      </c>
      <c r="F977" s="75">
        <v>44896</v>
      </c>
    </row>
    <row r="978" spans="1:6">
      <c r="A978">
        <v>977</v>
      </c>
      <c r="B978" t="s">
        <v>3334</v>
      </c>
      <c r="C978">
        <v>250</v>
      </c>
      <c r="D978">
        <v>750</v>
      </c>
      <c r="E978">
        <v>50</v>
      </c>
      <c r="F978" s="71">
        <v>44879</v>
      </c>
    </row>
    <row r="979" spans="1:6">
      <c r="A979">
        <v>978</v>
      </c>
      <c r="B979" t="s">
        <v>3337</v>
      </c>
      <c r="C979">
        <v>10000</v>
      </c>
      <c r="D979">
        <v>0</v>
      </c>
      <c r="E979">
        <v>500</v>
      </c>
      <c r="F979" s="64" t="s">
        <v>16665</v>
      </c>
    </row>
    <row r="980" spans="1:6">
      <c r="A980">
        <v>979</v>
      </c>
      <c r="B980" t="s">
        <v>3342</v>
      </c>
      <c r="C980">
        <v>250</v>
      </c>
      <c r="D980">
        <v>750</v>
      </c>
      <c r="E980">
        <v>50</v>
      </c>
      <c r="F980" s="61">
        <v>45067</v>
      </c>
    </row>
    <row r="981" spans="1:6">
      <c r="A981">
        <v>980</v>
      </c>
      <c r="B981" t="s">
        <v>3345</v>
      </c>
      <c r="C981">
        <v>250</v>
      </c>
      <c r="D981">
        <v>750</v>
      </c>
      <c r="E981">
        <v>50</v>
      </c>
      <c r="F981" s="61">
        <v>44886</v>
      </c>
    </row>
    <row r="982" spans="1:6">
      <c r="A982">
        <v>981</v>
      </c>
      <c r="B982" t="s">
        <v>3350</v>
      </c>
      <c r="C982">
        <v>250</v>
      </c>
      <c r="D982">
        <v>750</v>
      </c>
      <c r="E982">
        <v>50</v>
      </c>
      <c r="F982" s="61">
        <v>44854</v>
      </c>
    </row>
    <row r="983" spans="1:6">
      <c r="A983">
        <v>982</v>
      </c>
      <c r="B983" t="s">
        <v>3353</v>
      </c>
      <c r="C983">
        <v>250</v>
      </c>
      <c r="D983">
        <v>750</v>
      </c>
      <c r="E983">
        <v>50</v>
      </c>
      <c r="F983" s="61">
        <v>44939</v>
      </c>
    </row>
    <row r="984" spans="1:6">
      <c r="A984">
        <v>983</v>
      </c>
      <c r="B984" t="s">
        <v>3357</v>
      </c>
      <c r="C984">
        <v>40000</v>
      </c>
      <c r="D984">
        <v>0</v>
      </c>
      <c r="E984">
        <v>2000</v>
      </c>
      <c r="F984" s="65">
        <v>44690</v>
      </c>
    </row>
    <row r="985" spans="1:6">
      <c r="A985">
        <v>984</v>
      </c>
      <c r="B985" t="s">
        <v>3361</v>
      </c>
      <c r="C985">
        <v>250</v>
      </c>
      <c r="D985">
        <v>750</v>
      </c>
      <c r="E985">
        <v>50</v>
      </c>
      <c r="F985" s="61">
        <v>44867</v>
      </c>
    </row>
    <row r="986" spans="1:6">
      <c r="A986">
        <v>985</v>
      </c>
      <c r="B986" t="s">
        <v>3364</v>
      </c>
      <c r="C986">
        <v>250</v>
      </c>
      <c r="D986">
        <v>750</v>
      </c>
      <c r="E986">
        <v>50</v>
      </c>
      <c r="F986" s="61">
        <v>44926</v>
      </c>
    </row>
    <row r="987" spans="1:6">
      <c r="A987">
        <v>986</v>
      </c>
      <c r="B987" t="s">
        <v>3367</v>
      </c>
      <c r="C987">
        <v>250</v>
      </c>
      <c r="D987">
        <v>750</v>
      </c>
      <c r="E987">
        <v>50</v>
      </c>
      <c r="F987" s="61">
        <v>44849</v>
      </c>
    </row>
    <row r="988" spans="1:6">
      <c r="A988">
        <v>987</v>
      </c>
      <c r="B988" t="s">
        <v>3371</v>
      </c>
      <c r="C988">
        <v>100000</v>
      </c>
      <c r="D988">
        <v>0</v>
      </c>
      <c r="E988" t="s">
        <v>16642</v>
      </c>
      <c r="F988" s="76">
        <v>44938</v>
      </c>
    </row>
    <row r="989" spans="1:6">
      <c r="A989">
        <v>988</v>
      </c>
      <c r="B989" t="s">
        <v>3376</v>
      </c>
      <c r="C989">
        <v>250</v>
      </c>
      <c r="D989">
        <v>750</v>
      </c>
      <c r="E989">
        <v>50</v>
      </c>
      <c r="F989" s="70">
        <v>44965</v>
      </c>
    </row>
    <row r="990" ht="31.5" spans="1:6">
      <c r="A990">
        <v>989</v>
      </c>
      <c r="B990" t="s">
        <v>3379</v>
      </c>
      <c r="C990">
        <v>12500</v>
      </c>
      <c r="D990">
        <v>37500</v>
      </c>
      <c r="E990">
        <v>50</v>
      </c>
      <c r="F990" s="77" t="s">
        <v>16714</v>
      </c>
    </row>
    <row r="991" spans="1:6">
      <c r="A991">
        <v>990</v>
      </c>
      <c r="B991" t="s">
        <v>3382</v>
      </c>
      <c r="C991">
        <v>250</v>
      </c>
      <c r="D991">
        <v>750</v>
      </c>
      <c r="E991">
        <v>50</v>
      </c>
      <c r="F991" s="61">
        <v>44867</v>
      </c>
    </row>
    <row r="992" spans="1:6">
      <c r="A992">
        <v>991</v>
      </c>
      <c r="B992" t="s">
        <v>3385</v>
      </c>
      <c r="C992">
        <v>10000</v>
      </c>
      <c r="D992">
        <v>0</v>
      </c>
      <c r="E992">
        <v>500</v>
      </c>
      <c r="F992" s="67">
        <v>45049</v>
      </c>
    </row>
    <row r="993" spans="1:6">
      <c r="A993">
        <v>992</v>
      </c>
      <c r="B993" t="s">
        <v>3388</v>
      </c>
      <c r="C993">
        <v>300000</v>
      </c>
      <c r="D993">
        <v>0</v>
      </c>
      <c r="E993" t="s">
        <v>16642</v>
      </c>
      <c r="F993" s="104"/>
    </row>
    <row r="994" spans="1:6">
      <c r="A994">
        <v>993</v>
      </c>
      <c r="B994" t="s">
        <v>3393</v>
      </c>
      <c r="C994">
        <v>250</v>
      </c>
      <c r="D994">
        <v>750</v>
      </c>
      <c r="E994">
        <v>50</v>
      </c>
      <c r="F994" s="61">
        <v>44827</v>
      </c>
    </row>
    <row r="995" ht="15" spans="1:6">
      <c r="A995">
        <v>994</v>
      </c>
      <c r="B995" t="s">
        <v>3397</v>
      </c>
      <c r="C995">
        <v>1000000</v>
      </c>
      <c r="D995">
        <v>500000</v>
      </c>
      <c r="E995" t="s">
        <v>16642</v>
      </c>
      <c r="F995" s="81">
        <f>IFERROR(__xludf.DUMMYFUNCTION("""COMPUTED_VALUE"""),45083)</f>
        <v>45083</v>
      </c>
    </row>
    <row r="996" ht="15" spans="1:6">
      <c r="A996">
        <v>995</v>
      </c>
      <c r="B996" t="s">
        <v>3398</v>
      </c>
      <c r="C996">
        <v>1500000</v>
      </c>
      <c r="D996">
        <v>0</v>
      </c>
      <c r="E996" t="s">
        <v>16642</v>
      </c>
      <c r="F996" s="81">
        <f>IFERROR(__xludf.DUMMYFUNCTION("""COMPUTED_VALUE"""),45084)</f>
        <v>45084</v>
      </c>
    </row>
    <row r="997" spans="1:6">
      <c r="A997">
        <v>996</v>
      </c>
      <c r="B997" t="s">
        <v>3399</v>
      </c>
      <c r="C997">
        <v>3000</v>
      </c>
      <c r="D997">
        <v>0</v>
      </c>
      <c r="E997">
        <v>150</v>
      </c>
      <c r="F997" s="64" t="s">
        <v>16715</v>
      </c>
    </row>
    <row r="998" spans="1:6">
      <c r="A998">
        <v>997</v>
      </c>
      <c r="B998" t="s">
        <v>3404</v>
      </c>
      <c r="C998">
        <v>200000</v>
      </c>
      <c r="D998">
        <v>0</v>
      </c>
      <c r="E998" t="s">
        <v>16642</v>
      </c>
      <c r="F998" s="66"/>
    </row>
    <row r="999" spans="1:6">
      <c r="A999">
        <v>998</v>
      </c>
      <c r="B999" t="s">
        <v>3408</v>
      </c>
      <c r="C999">
        <v>100000</v>
      </c>
      <c r="D999">
        <v>0</v>
      </c>
      <c r="E999" t="s">
        <v>16642</v>
      </c>
      <c r="F999" s="76">
        <v>45050</v>
      </c>
    </row>
    <row r="1000" spans="1:6">
      <c r="A1000">
        <v>999</v>
      </c>
      <c r="B1000" t="s">
        <v>3412</v>
      </c>
      <c r="C1000">
        <v>20000</v>
      </c>
      <c r="D1000">
        <v>0</v>
      </c>
      <c r="E1000">
        <v>1000</v>
      </c>
      <c r="F1000" s="64" t="s">
        <v>16716</v>
      </c>
    </row>
    <row r="1001" spans="1:6">
      <c r="A1001">
        <v>1000</v>
      </c>
      <c r="B1001" t="s">
        <v>3417</v>
      </c>
      <c r="C1001">
        <v>250</v>
      </c>
      <c r="D1001">
        <v>750</v>
      </c>
      <c r="E1001">
        <v>50</v>
      </c>
      <c r="F1001" s="60">
        <v>44858</v>
      </c>
    </row>
    <row r="1002" spans="1:6">
      <c r="A1002">
        <v>1001</v>
      </c>
      <c r="B1002" t="s">
        <v>3421</v>
      </c>
      <c r="C1002">
        <v>250</v>
      </c>
      <c r="D1002">
        <v>750</v>
      </c>
      <c r="E1002">
        <v>50</v>
      </c>
      <c r="F1002" s="61">
        <v>44926</v>
      </c>
    </row>
    <row r="1003" spans="1:6">
      <c r="A1003">
        <v>1002</v>
      </c>
      <c r="B1003" t="s">
        <v>3424</v>
      </c>
      <c r="C1003">
        <v>250</v>
      </c>
      <c r="D1003">
        <v>750</v>
      </c>
      <c r="E1003">
        <v>50</v>
      </c>
      <c r="F1003" s="60">
        <v>44889</v>
      </c>
    </row>
    <row r="1004" spans="1:6">
      <c r="A1004">
        <v>1003</v>
      </c>
      <c r="B1004" t="s">
        <v>3427</v>
      </c>
      <c r="C1004">
        <v>250</v>
      </c>
      <c r="D1004">
        <v>750</v>
      </c>
      <c r="E1004">
        <v>50</v>
      </c>
      <c r="F1004" s="60">
        <v>44862</v>
      </c>
    </row>
    <row r="1005" spans="1:6">
      <c r="A1005">
        <v>1004</v>
      </c>
      <c r="B1005" t="s">
        <v>3431</v>
      </c>
      <c r="C1005">
        <v>250</v>
      </c>
      <c r="D1005">
        <v>750</v>
      </c>
      <c r="E1005">
        <v>50</v>
      </c>
      <c r="F1005" s="61">
        <v>44932</v>
      </c>
    </row>
    <row r="1006" spans="1:6">
      <c r="A1006">
        <v>1005</v>
      </c>
      <c r="B1006" t="s">
        <v>3435</v>
      </c>
      <c r="C1006">
        <v>250</v>
      </c>
      <c r="D1006">
        <v>750</v>
      </c>
      <c r="E1006">
        <v>50</v>
      </c>
      <c r="F1006" s="60">
        <v>44847</v>
      </c>
    </row>
    <row r="1007" spans="1:6">
      <c r="A1007">
        <v>1006</v>
      </c>
      <c r="B1007" t="s">
        <v>3438</v>
      </c>
      <c r="C1007">
        <v>1000</v>
      </c>
      <c r="D1007">
        <v>0</v>
      </c>
      <c r="E1007">
        <v>50</v>
      </c>
      <c r="F1007" s="73">
        <v>45016</v>
      </c>
    </row>
    <row r="1008" spans="1:6">
      <c r="A1008">
        <v>1007</v>
      </c>
      <c r="B1008" t="s">
        <v>3441</v>
      </c>
      <c r="C1008">
        <v>250</v>
      </c>
      <c r="D1008">
        <v>750</v>
      </c>
      <c r="E1008">
        <v>50</v>
      </c>
      <c r="F1008" s="60">
        <v>44855</v>
      </c>
    </row>
    <row r="1009" spans="1:6">
      <c r="A1009">
        <v>1008</v>
      </c>
      <c r="B1009" t="s">
        <v>3444</v>
      </c>
      <c r="C1009">
        <v>250</v>
      </c>
      <c r="D1009">
        <v>750</v>
      </c>
      <c r="E1009">
        <v>50</v>
      </c>
      <c r="F1009" s="61">
        <v>45054</v>
      </c>
    </row>
    <row r="1010" spans="1:6">
      <c r="A1010">
        <v>1009</v>
      </c>
      <c r="B1010" t="s">
        <v>3447</v>
      </c>
      <c r="C1010">
        <v>1000</v>
      </c>
      <c r="D1010">
        <v>0</v>
      </c>
      <c r="E1010">
        <v>50</v>
      </c>
      <c r="F1010" s="61">
        <v>44868</v>
      </c>
    </row>
    <row r="1011" spans="1:6">
      <c r="A1011">
        <v>1010</v>
      </c>
      <c r="B1011" t="s">
        <v>3450</v>
      </c>
      <c r="C1011">
        <v>250</v>
      </c>
      <c r="D1011">
        <v>750</v>
      </c>
      <c r="E1011">
        <v>50</v>
      </c>
      <c r="F1011" s="60">
        <v>44915</v>
      </c>
    </row>
    <row r="1012" spans="1:6">
      <c r="A1012">
        <v>1011</v>
      </c>
      <c r="B1012" t="s">
        <v>3453</v>
      </c>
      <c r="C1012">
        <v>23000</v>
      </c>
      <c r="D1012">
        <v>0</v>
      </c>
      <c r="E1012">
        <v>750</v>
      </c>
      <c r="F1012" s="64" t="s">
        <v>16717</v>
      </c>
    </row>
    <row r="1013" spans="1:6">
      <c r="A1013">
        <v>1012</v>
      </c>
      <c r="B1013" t="s">
        <v>3457</v>
      </c>
      <c r="C1013">
        <v>10000</v>
      </c>
      <c r="D1013">
        <v>0</v>
      </c>
      <c r="E1013">
        <v>500</v>
      </c>
      <c r="F1013" s="64" t="s">
        <v>16718</v>
      </c>
    </row>
    <row r="1014" spans="1:6">
      <c r="A1014">
        <v>1013</v>
      </c>
      <c r="B1014" t="s">
        <v>3461</v>
      </c>
      <c r="C1014">
        <v>250</v>
      </c>
      <c r="D1014">
        <v>750</v>
      </c>
      <c r="E1014">
        <v>50</v>
      </c>
      <c r="F1014" s="61">
        <v>45005</v>
      </c>
    </row>
    <row r="1015" spans="1:6">
      <c r="A1015">
        <v>1014</v>
      </c>
      <c r="B1015" t="s">
        <v>3465</v>
      </c>
      <c r="C1015">
        <v>2500</v>
      </c>
      <c r="D1015">
        <v>7500</v>
      </c>
      <c r="E1015">
        <v>500</v>
      </c>
      <c r="F1015" s="65">
        <v>44690</v>
      </c>
    </row>
    <row r="1016" spans="1:6">
      <c r="A1016">
        <v>1015</v>
      </c>
      <c r="B1016" t="s">
        <v>3468</v>
      </c>
      <c r="C1016">
        <v>250</v>
      </c>
      <c r="D1016">
        <v>750</v>
      </c>
      <c r="E1016">
        <v>50</v>
      </c>
      <c r="F1016" s="73">
        <v>44921</v>
      </c>
    </row>
    <row r="1017" spans="1:6">
      <c r="A1017">
        <v>1016</v>
      </c>
      <c r="B1017" t="s">
        <v>3472</v>
      </c>
      <c r="C1017">
        <v>250</v>
      </c>
      <c r="D1017">
        <v>750</v>
      </c>
      <c r="E1017">
        <v>50</v>
      </c>
      <c r="F1017" s="60">
        <v>44852</v>
      </c>
    </row>
    <row r="1018" spans="1:6">
      <c r="A1018">
        <v>1017</v>
      </c>
      <c r="B1018" t="s">
        <v>3476</v>
      </c>
      <c r="C1018">
        <v>250</v>
      </c>
      <c r="D1018">
        <v>750</v>
      </c>
      <c r="E1018">
        <v>50</v>
      </c>
      <c r="F1018" s="61">
        <v>45061</v>
      </c>
    </row>
    <row r="1019" spans="1:6">
      <c r="A1019">
        <v>1018</v>
      </c>
      <c r="B1019" t="s">
        <v>3479</v>
      </c>
      <c r="C1019">
        <v>2500</v>
      </c>
      <c r="D1019">
        <v>7500</v>
      </c>
      <c r="E1019">
        <v>500</v>
      </c>
      <c r="F1019" s="65">
        <v>44694</v>
      </c>
    </row>
    <row r="1020" ht="15" spans="1:6">
      <c r="A1020">
        <v>1019</v>
      </c>
      <c r="B1020" t="s">
        <v>3483</v>
      </c>
      <c r="C1020">
        <v>1000000</v>
      </c>
      <c r="D1020">
        <v>500000</v>
      </c>
      <c r="E1020" t="s">
        <v>16642</v>
      </c>
      <c r="F1020" s="81">
        <f>IFERROR(__xludf.DUMMYFUNCTION("""COMPUTED_VALUE"""),45082)</f>
        <v>45082</v>
      </c>
    </row>
    <row r="1021" spans="1:6">
      <c r="A1021">
        <v>1020</v>
      </c>
      <c r="B1021" t="s">
        <v>3484</v>
      </c>
      <c r="C1021">
        <v>100000</v>
      </c>
      <c r="D1021">
        <v>0</v>
      </c>
      <c r="E1021" t="s">
        <v>16642</v>
      </c>
      <c r="F1021" s="66"/>
    </row>
    <row r="1022" spans="1:6">
      <c r="A1022">
        <v>1021</v>
      </c>
      <c r="B1022" t="s">
        <v>3488</v>
      </c>
      <c r="C1022">
        <v>250</v>
      </c>
      <c r="D1022">
        <v>750</v>
      </c>
      <c r="E1022">
        <v>50</v>
      </c>
      <c r="F1022" s="60">
        <v>44841</v>
      </c>
    </row>
    <row r="1023" spans="1:6">
      <c r="A1023">
        <v>1022</v>
      </c>
      <c r="B1023" t="s">
        <v>3492</v>
      </c>
      <c r="C1023">
        <v>1000</v>
      </c>
      <c r="D1023">
        <v>0</v>
      </c>
      <c r="E1023">
        <v>50</v>
      </c>
      <c r="F1023" s="69">
        <v>44876</v>
      </c>
    </row>
    <row r="1024" spans="1:6">
      <c r="A1024">
        <v>1023</v>
      </c>
      <c r="B1024" t="s">
        <v>3496</v>
      </c>
      <c r="C1024">
        <v>250</v>
      </c>
      <c r="D1024">
        <v>750</v>
      </c>
      <c r="E1024">
        <v>50</v>
      </c>
      <c r="F1024" s="70">
        <v>44869</v>
      </c>
    </row>
    <row r="1025" spans="1:6">
      <c r="A1025">
        <v>1024</v>
      </c>
      <c r="B1025" t="s">
        <v>3499</v>
      </c>
      <c r="C1025">
        <v>1000</v>
      </c>
      <c r="D1025">
        <v>0</v>
      </c>
      <c r="E1025">
        <v>50</v>
      </c>
      <c r="F1025" s="65">
        <v>44510</v>
      </c>
    </row>
    <row r="1026" spans="1:6">
      <c r="A1026">
        <v>1025</v>
      </c>
      <c r="B1026" t="s">
        <v>3503</v>
      </c>
      <c r="C1026">
        <v>1000</v>
      </c>
      <c r="D1026">
        <v>0</v>
      </c>
      <c r="E1026">
        <v>50</v>
      </c>
      <c r="F1026" s="65">
        <v>44576</v>
      </c>
    </row>
    <row r="1027" spans="1:6">
      <c r="A1027">
        <v>1026</v>
      </c>
      <c r="B1027" t="s">
        <v>3507</v>
      </c>
      <c r="C1027">
        <v>750</v>
      </c>
      <c r="D1027">
        <v>250</v>
      </c>
      <c r="E1027">
        <v>50</v>
      </c>
      <c r="F1027" s="69">
        <v>44958</v>
      </c>
    </row>
    <row r="1028" spans="1:6">
      <c r="A1028">
        <v>1027</v>
      </c>
      <c r="B1028" t="s">
        <v>3511</v>
      </c>
      <c r="C1028">
        <v>40000</v>
      </c>
      <c r="D1028">
        <v>0</v>
      </c>
      <c r="E1028">
        <v>2000</v>
      </c>
      <c r="F1028" s="74">
        <v>45071</v>
      </c>
    </row>
    <row r="1029" spans="1:6">
      <c r="A1029">
        <v>1028</v>
      </c>
      <c r="B1029" t="s">
        <v>3514</v>
      </c>
      <c r="C1029">
        <v>3000</v>
      </c>
      <c r="D1029">
        <v>0</v>
      </c>
      <c r="E1029">
        <v>150</v>
      </c>
      <c r="F1029" s="74">
        <v>45071</v>
      </c>
    </row>
    <row r="1030" spans="1:6">
      <c r="A1030">
        <v>1029</v>
      </c>
      <c r="B1030" t="s">
        <v>3517</v>
      </c>
      <c r="C1030">
        <v>3000</v>
      </c>
      <c r="D1030">
        <v>0</v>
      </c>
      <c r="E1030">
        <v>150</v>
      </c>
      <c r="F1030" s="74">
        <v>45071</v>
      </c>
    </row>
    <row r="1031" ht="15" spans="1:6">
      <c r="A1031">
        <v>1030</v>
      </c>
      <c r="B1031" t="s">
        <v>3520</v>
      </c>
      <c r="C1031">
        <v>1500000</v>
      </c>
      <c r="D1031">
        <v>0</v>
      </c>
      <c r="E1031" t="s">
        <v>16642</v>
      </c>
      <c r="F1031" s="81">
        <f>IFERROR(__xludf.DUMMYFUNCTION("""COMPUTED_VALUE"""),45082)</f>
        <v>45082</v>
      </c>
    </row>
    <row r="1032" spans="1:6">
      <c r="A1032">
        <v>1031</v>
      </c>
      <c r="B1032" t="s">
        <v>3521</v>
      </c>
      <c r="C1032">
        <v>250</v>
      </c>
      <c r="D1032">
        <v>750</v>
      </c>
      <c r="E1032">
        <v>50</v>
      </c>
      <c r="F1032" s="75">
        <v>44907</v>
      </c>
    </row>
    <row r="1033" spans="1:6">
      <c r="A1033">
        <v>1032</v>
      </c>
      <c r="B1033" t="s">
        <v>3524</v>
      </c>
      <c r="C1033">
        <v>250</v>
      </c>
      <c r="D1033">
        <v>750</v>
      </c>
      <c r="E1033">
        <v>50</v>
      </c>
      <c r="F1033" s="75">
        <v>44890</v>
      </c>
    </row>
    <row r="1034" spans="1:6">
      <c r="A1034">
        <v>1033</v>
      </c>
      <c r="B1034" t="s">
        <v>3528</v>
      </c>
      <c r="C1034">
        <v>10000</v>
      </c>
      <c r="D1034">
        <v>0</v>
      </c>
      <c r="E1034">
        <v>500</v>
      </c>
      <c r="F1034" s="64" t="s">
        <v>16679</v>
      </c>
    </row>
    <row r="1035" spans="1:6">
      <c r="A1035">
        <v>1034</v>
      </c>
      <c r="B1035" t="s">
        <v>3531</v>
      </c>
      <c r="C1035">
        <v>10000</v>
      </c>
      <c r="D1035">
        <v>0</v>
      </c>
      <c r="E1035">
        <v>500</v>
      </c>
      <c r="F1035" s="64" t="s">
        <v>16679</v>
      </c>
    </row>
    <row r="1036" spans="1:6">
      <c r="A1036">
        <v>1035</v>
      </c>
      <c r="B1036" t="s">
        <v>3535</v>
      </c>
      <c r="C1036">
        <v>10000</v>
      </c>
      <c r="D1036">
        <v>0</v>
      </c>
      <c r="E1036">
        <v>500</v>
      </c>
      <c r="F1036" s="64" t="s">
        <v>16679</v>
      </c>
    </row>
    <row r="1037" spans="1:6">
      <c r="A1037">
        <v>1036</v>
      </c>
      <c r="B1037" t="s">
        <v>3539</v>
      </c>
      <c r="C1037">
        <v>100000</v>
      </c>
      <c r="D1037">
        <v>0</v>
      </c>
      <c r="E1037" t="s">
        <v>16642</v>
      </c>
      <c r="F1037" s="76">
        <v>44930</v>
      </c>
    </row>
    <row r="1038" spans="1:6">
      <c r="A1038">
        <v>1037</v>
      </c>
      <c r="B1038" t="s">
        <v>3543</v>
      </c>
      <c r="C1038">
        <v>5000</v>
      </c>
      <c r="D1038">
        <v>0</v>
      </c>
      <c r="E1038">
        <v>250</v>
      </c>
      <c r="F1038" s="64" t="s">
        <v>16719</v>
      </c>
    </row>
    <row r="1039" spans="1:6">
      <c r="A1039">
        <v>1038</v>
      </c>
      <c r="B1039" t="s">
        <v>3548</v>
      </c>
      <c r="C1039">
        <v>10000</v>
      </c>
      <c r="D1039">
        <v>0</v>
      </c>
      <c r="E1039">
        <v>500</v>
      </c>
      <c r="F1039" s="65">
        <v>44718</v>
      </c>
    </row>
    <row r="1040" spans="1:6">
      <c r="A1040">
        <v>1039</v>
      </c>
      <c r="B1040" t="s">
        <v>3552</v>
      </c>
      <c r="C1040">
        <v>1300</v>
      </c>
      <c r="D1040">
        <v>3700</v>
      </c>
      <c r="E1040">
        <v>250</v>
      </c>
      <c r="F1040" s="64" t="s">
        <v>16720</v>
      </c>
    </row>
    <row r="1041" spans="1:6">
      <c r="A1041">
        <v>1040</v>
      </c>
      <c r="B1041" t="s">
        <v>3556</v>
      </c>
      <c r="C1041">
        <v>250</v>
      </c>
      <c r="D1041">
        <v>750</v>
      </c>
      <c r="E1041">
        <v>50</v>
      </c>
      <c r="F1041" s="71">
        <v>44911</v>
      </c>
    </row>
    <row r="1042" spans="1:6">
      <c r="A1042">
        <v>1041</v>
      </c>
      <c r="B1042" t="s">
        <v>3559</v>
      </c>
      <c r="C1042">
        <v>250</v>
      </c>
      <c r="D1042">
        <v>750</v>
      </c>
      <c r="E1042">
        <v>50</v>
      </c>
      <c r="F1042" s="60" t="s">
        <v>16721</v>
      </c>
    </row>
    <row r="1043" spans="1:6">
      <c r="A1043">
        <v>1042</v>
      </c>
      <c r="B1043" t="s">
        <v>3562</v>
      </c>
      <c r="C1043">
        <v>1000</v>
      </c>
      <c r="D1043">
        <v>0</v>
      </c>
      <c r="E1043">
        <v>50</v>
      </c>
      <c r="F1043" s="60">
        <v>44900</v>
      </c>
    </row>
    <row r="1044" spans="1:6">
      <c r="A1044">
        <v>1043</v>
      </c>
      <c r="B1044" t="s">
        <v>3566</v>
      </c>
      <c r="C1044">
        <v>13750</v>
      </c>
      <c r="D1044">
        <v>11250</v>
      </c>
      <c r="E1044">
        <v>500</v>
      </c>
      <c r="F1044" s="77">
        <v>44887</v>
      </c>
    </row>
    <row r="1045" spans="1:6">
      <c r="A1045">
        <v>1044</v>
      </c>
      <c r="B1045" t="s">
        <v>3569</v>
      </c>
      <c r="C1045">
        <v>3000</v>
      </c>
      <c r="D1045">
        <v>0</v>
      </c>
      <c r="E1045">
        <v>150</v>
      </c>
      <c r="F1045" s="67">
        <v>45140</v>
      </c>
    </row>
    <row r="1046" spans="1:6">
      <c r="A1046">
        <v>1045</v>
      </c>
      <c r="B1046" t="s">
        <v>3572</v>
      </c>
      <c r="C1046">
        <v>3000</v>
      </c>
      <c r="D1046">
        <v>0</v>
      </c>
      <c r="E1046">
        <v>150</v>
      </c>
      <c r="F1046" s="101">
        <v>44747</v>
      </c>
    </row>
    <row r="1047" ht="15" spans="1:6">
      <c r="A1047">
        <v>1046</v>
      </c>
      <c r="B1047" t="s">
        <v>3576</v>
      </c>
      <c r="C1047">
        <v>1000000</v>
      </c>
      <c r="D1047">
        <v>500000</v>
      </c>
      <c r="E1047" t="s">
        <v>16642</v>
      </c>
      <c r="F1047" s="81">
        <f>IFERROR(__xludf.DUMMYFUNCTION("""COMPUTED_VALUE"""),45084)</f>
        <v>45084</v>
      </c>
    </row>
    <row r="1048" spans="1:6">
      <c r="A1048">
        <v>1047</v>
      </c>
      <c r="B1048" t="s">
        <v>3577</v>
      </c>
      <c r="C1048">
        <v>10000</v>
      </c>
      <c r="D1048">
        <v>0</v>
      </c>
      <c r="E1048">
        <v>500</v>
      </c>
      <c r="F1048" s="64" t="s">
        <v>16722</v>
      </c>
    </row>
    <row r="1049" spans="1:6">
      <c r="A1049">
        <v>1048</v>
      </c>
      <c r="B1049" t="s">
        <v>3581</v>
      </c>
      <c r="C1049">
        <v>50000</v>
      </c>
      <c r="D1049">
        <v>0</v>
      </c>
      <c r="E1049">
        <v>2500</v>
      </c>
      <c r="F1049" s="65">
        <v>44495</v>
      </c>
    </row>
    <row r="1050" spans="1:6">
      <c r="A1050">
        <v>1049</v>
      </c>
      <c r="B1050" t="s">
        <v>3586</v>
      </c>
      <c r="C1050">
        <v>4000</v>
      </c>
      <c r="D1050">
        <v>0</v>
      </c>
      <c r="E1050">
        <v>200</v>
      </c>
      <c r="F1050" s="77">
        <v>44897</v>
      </c>
    </row>
    <row r="1051" spans="1:6">
      <c r="A1051">
        <v>1050</v>
      </c>
      <c r="B1051" t="s">
        <v>3589</v>
      </c>
      <c r="C1051">
        <v>5000</v>
      </c>
      <c r="D1051">
        <v>5000</v>
      </c>
      <c r="E1051">
        <v>500</v>
      </c>
      <c r="F1051" s="64" t="s">
        <v>16723</v>
      </c>
    </row>
    <row r="1052" spans="1:6">
      <c r="A1052">
        <v>1051</v>
      </c>
      <c r="B1052" t="s">
        <v>3593</v>
      </c>
      <c r="C1052">
        <v>50000</v>
      </c>
      <c r="D1052">
        <v>0</v>
      </c>
      <c r="E1052">
        <v>2500</v>
      </c>
      <c r="F1052" s="64" t="s">
        <v>16724</v>
      </c>
    </row>
    <row r="1053" spans="1:6">
      <c r="A1053">
        <v>1052</v>
      </c>
      <c r="B1053" t="s">
        <v>3598</v>
      </c>
      <c r="C1053">
        <v>25000</v>
      </c>
      <c r="D1053">
        <v>0</v>
      </c>
      <c r="E1053">
        <v>1250</v>
      </c>
      <c r="F1053" s="65">
        <v>44609</v>
      </c>
    </row>
    <row r="1054" spans="1:6">
      <c r="A1054">
        <v>1053</v>
      </c>
      <c r="B1054" t="s">
        <v>3602</v>
      </c>
      <c r="C1054">
        <v>10000</v>
      </c>
      <c r="D1054">
        <v>0</v>
      </c>
      <c r="E1054">
        <v>500</v>
      </c>
      <c r="F1054" s="102">
        <v>44956</v>
      </c>
    </row>
    <row r="1055" spans="1:6">
      <c r="A1055">
        <v>1054</v>
      </c>
      <c r="B1055" t="s">
        <v>3605</v>
      </c>
      <c r="C1055">
        <v>250</v>
      </c>
      <c r="D1055">
        <v>750</v>
      </c>
      <c r="E1055">
        <v>50</v>
      </c>
      <c r="F1055" s="61">
        <v>45061</v>
      </c>
    </row>
    <row r="1056" spans="1:6">
      <c r="A1056">
        <v>1055</v>
      </c>
      <c r="B1056" t="s">
        <v>3608</v>
      </c>
      <c r="C1056">
        <v>4000</v>
      </c>
      <c r="D1056">
        <v>0</v>
      </c>
      <c r="E1056">
        <v>200</v>
      </c>
      <c r="F1056" s="65">
        <v>44427</v>
      </c>
    </row>
    <row r="1057" spans="1:6">
      <c r="A1057">
        <v>1056</v>
      </c>
      <c r="B1057" t="s">
        <v>3612</v>
      </c>
      <c r="C1057">
        <v>1000</v>
      </c>
      <c r="D1057">
        <v>0</v>
      </c>
      <c r="E1057">
        <v>50</v>
      </c>
      <c r="F1057" s="65">
        <v>44748</v>
      </c>
    </row>
    <row r="1058" spans="1:6">
      <c r="A1058">
        <v>1057</v>
      </c>
      <c r="B1058" t="s">
        <v>3616</v>
      </c>
      <c r="C1058">
        <v>250</v>
      </c>
      <c r="D1058">
        <v>750</v>
      </c>
      <c r="E1058">
        <v>50</v>
      </c>
      <c r="F1058" s="60">
        <v>44985</v>
      </c>
    </row>
    <row r="1059" spans="1:6">
      <c r="A1059">
        <v>1058</v>
      </c>
      <c r="B1059" t="s">
        <v>3619</v>
      </c>
      <c r="C1059">
        <v>250</v>
      </c>
      <c r="D1059">
        <v>750</v>
      </c>
      <c r="E1059">
        <v>50</v>
      </c>
      <c r="F1059" s="61">
        <v>44845</v>
      </c>
    </row>
    <row r="1060" spans="1:6">
      <c r="A1060">
        <v>1059</v>
      </c>
      <c r="B1060" t="s">
        <v>3622</v>
      </c>
      <c r="C1060">
        <v>250</v>
      </c>
      <c r="D1060">
        <v>750</v>
      </c>
      <c r="E1060">
        <v>50</v>
      </c>
      <c r="F1060" s="60">
        <v>44863</v>
      </c>
    </row>
    <row r="1061" spans="1:6">
      <c r="A1061">
        <v>1060</v>
      </c>
      <c r="B1061" t="s">
        <v>3625</v>
      </c>
      <c r="C1061">
        <v>100000</v>
      </c>
      <c r="D1061">
        <v>0</v>
      </c>
      <c r="E1061" t="s">
        <v>16642</v>
      </c>
      <c r="F1061" s="76">
        <v>44867</v>
      </c>
    </row>
    <row r="1062" spans="1:6">
      <c r="A1062">
        <v>1061</v>
      </c>
      <c r="B1062" t="s">
        <v>3629</v>
      </c>
      <c r="C1062">
        <v>1000</v>
      </c>
      <c r="D1062">
        <v>3000</v>
      </c>
      <c r="E1062">
        <v>200</v>
      </c>
      <c r="F1062" s="65">
        <v>44511</v>
      </c>
    </row>
    <row r="1063" spans="1:6">
      <c r="A1063">
        <v>1062</v>
      </c>
      <c r="B1063" t="s">
        <v>3633</v>
      </c>
      <c r="C1063">
        <v>4000</v>
      </c>
      <c r="D1063">
        <v>0</v>
      </c>
      <c r="E1063">
        <v>200</v>
      </c>
      <c r="F1063" s="77">
        <v>44728</v>
      </c>
    </row>
    <row r="1064" spans="1:6">
      <c r="A1064">
        <v>1063</v>
      </c>
      <c r="B1064" t="s">
        <v>3636</v>
      </c>
      <c r="C1064">
        <v>6000</v>
      </c>
      <c r="D1064">
        <v>0</v>
      </c>
      <c r="E1064">
        <v>100</v>
      </c>
      <c r="F1064" s="65">
        <v>44693</v>
      </c>
    </row>
    <row r="1065" spans="1:6">
      <c r="A1065">
        <v>1064</v>
      </c>
      <c r="B1065" t="s">
        <v>3640</v>
      </c>
      <c r="C1065">
        <v>100000</v>
      </c>
      <c r="D1065">
        <v>0</v>
      </c>
      <c r="E1065" t="s">
        <v>16642</v>
      </c>
      <c r="F1065" s="100"/>
    </row>
    <row r="1066" spans="1:6">
      <c r="A1066">
        <v>1065</v>
      </c>
      <c r="B1066" t="s">
        <v>3645</v>
      </c>
      <c r="C1066">
        <v>250</v>
      </c>
      <c r="D1066">
        <v>750</v>
      </c>
      <c r="E1066">
        <v>50</v>
      </c>
      <c r="F1066" s="61">
        <v>44886</v>
      </c>
    </row>
    <row r="1067" spans="1:6">
      <c r="A1067">
        <v>1066</v>
      </c>
      <c r="B1067" t="s">
        <v>3648</v>
      </c>
      <c r="C1067">
        <v>100000</v>
      </c>
      <c r="D1067">
        <v>0</v>
      </c>
      <c r="E1067" t="s">
        <v>16642</v>
      </c>
      <c r="F1067" s="76">
        <v>44996</v>
      </c>
    </row>
    <row r="1068" spans="1:6">
      <c r="A1068">
        <v>1067</v>
      </c>
      <c r="B1068" t="s">
        <v>3653</v>
      </c>
      <c r="C1068">
        <v>1250</v>
      </c>
      <c r="D1068">
        <v>3750</v>
      </c>
      <c r="E1068">
        <v>250</v>
      </c>
      <c r="F1068" s="61">
        <v>44867</v>
      </c>
    </row>
    <row r="1069" spans="1:6">
      <c r="A1069">
        <v>1068</v>
      </c>
      <c r="B1069" t="s">
        <v>3657</v>
      </c>
      <c r="C1069">
        <v>250</v>
      </c>
      <c r="D1069">
        <v>750</v>
      </c>
      <c r="E1069">
        <v>50</v>
      </c>
      <c r="F1069" s="61">
        <v>44925</v>
      </c>
    </row>
    <row r="1070" spans="1:6">
      <c r="A1070">
        <v>1069</v>
      </c>
      <c r="B1070" t="s">
        <v>3660</v>
      </c>
      <c r="C1070">
        <v>100000</v>
      </c>
      <c r="D1070">
        <v>0</v>
      </c>
      <c r="E1070" t="s">
        <v>16642</v>
      </c>
      <c r="F1070" s="66"/>
    </row>
    <row r="1071" spans="1:6">
      <c r="A1071">
        <v>1070</v>
      </c>
      <c r="B1071" t="s">
        <v>3665</v>
      </c>
      <c r="C1071">
        <v>100000</v>
      </c>
      <c r="D1071">
        <v>0</v>
      </c>
      <c r="E1071" t="s">
        <v>16642</v>
      </c>
      <c r="F1071" s="76">
        <v>44939</v>
      </c>
    </row>
    <row r="1072" spans="1:6">
      <c r="A1072">
        <v>1071</v>
      </c>
      <c r="B1072" t="s">
        <v>3669</v>
      </c>
      <c r="C1072">
        <v>2500</v>
      </c>
      <c r="D1072">
        <v>7500</v>
      </c>
      <c r="E1072">
        <v>500</v>
      </c>
      <c r="F1072" s="72">
        <v>154398</v>
      </c>
    </row>
    <row r="1073" ht="15" spans="1:6">
      <c r="A1073">
        <v>1072</v>
      </c>
      <c r="B1073" t="s">
        <v>3673</v>
      </c>
      <c r="C1073">
        <v>1000000</v>
      </c>
      <c r="D1073">
        <v>500000</v>
      </c>
      <c r="E1073" t="s">
        <v>16642</v>
      </c>
      <c r="F1073" s="81">
        <f>IFERROR(__xludf.DUMMYFUNCTION("""COMPUTED_VALUE"""),45082)</f>
        <v>45082</v>
      </c>
    </row>
    <row r="1074" spans="1:6">
      <c r="A1074">
        <v>1073</v>
      </c>
      <c r="B1074" t="s">
        <v>3674</v>
      </c>
      <c r="C1074">
        <v>300000</v>
      </c>
      <c r="D1074">
        <v>0</v>
      </c>
      <c r="E1074">
        <v>15000</v>
      </c>
      <c r="F1074" s="91" t="s">
        <v>16725</v>
      </c>
    </row>
    <row r="1075" spans="1:6">
      <c r="A1075">
        <v>1074</v>
      </c>
      <c r="B1075" t="s">
        <v>3674</v>
      </c>
      <c r="C1075">
        <v>100000</v>
      </c>
      <c r="D1075">
        <v>0</v>
      </c>
      <c r="E1075" t="s">
        <v>16642</v>
      </c>
      <c r="F1075" s="84"/>
    </row>
    <row r="1076" spans="1:6">
      <c r="A1076">
        <v>1075</v>
      </c>
      <c r="B1076" t="s">
        <v>3674</v>
      </c>
      <c r="C1076">
        <v>100000</v>
      </c>
      <c r="D1076">
        <v>0</v>
      </c>
      <c r="E1076" t="s">
        <v>16642</v>
      </c>
      <c r="F1076" s="85"/>
    </row>
    <row r="1077" ht="15" spans="1:6">
      <c r="A1077">
        <v>1076</v>
      </c>
      <c r="B1077" s="114" t="s">
        <v>3678</v>
      </c>
      <c r="C1077">
        <v>1000000</v>
      </c>
      <c r="D1077">
        <v>500000</v>
      </c>
      <c r="E1077" t="s">
        <v>16642</v>
      </c>
      <c r="F1077" s="98">
        <f>IFERROR(__xludf.DUMMYFUNCTION("""COMPUTED_VALUE"""),45077)</f>
        <v>45077</v>
      </c>
    </row>
    <row r="1078" ht="15" spans="1:6">
      <c r="A1078">
        <v>1077</v>
      </c>
      <c r="B1078" s="114" t="s">
        <v>3678</v>
      </c>
      <c r="C1078">
        <v>1000000</v>
      </c>
      <c r="D1078">
        <v>500000</v>
      </c>
      <c r="E1078" t="s">
        <v>16642</v>
      </c>
      <c r="F1078" s="98">
        <f>IFERROR(__xludf.DUMMYFUNCTION("""COMPUTED_VALUE"""),45078)</f>
        <v>45078</v>
      </c>
    </row>
    <row r="1079" spans="1:6">
      <c r="A1079">
        <v>1078</v>
      </c>
      <c r="B1079" s="114" t="s">
        <v>3678</v>
      </c>
      <c r="C1079">
        <v>100000</v>
      </c>
      <c r="D1079">
        <v>0</v>
      </c>
      <c r="E1079" t="s">
        <v>16642</v>
      </c>
      <c r="F1079" s="89"/>
    </row>
    <row r="1080" spans="1:6">
      <c r="A1080">
        <v>1079</v>
      </c>
      <c r="B1080" s="114" t="s">
        <v>3678</v>
      </c>
      <c r="C1080">
        <v>100000</v>
      </c>
      <c r="D1080">
        <v>0</v>
      </c>
      <c r="E1080" t="s">
        <v>16642</v>
      </c>
      <c r="F1080" s="85"/>
    </row>
    <row r="1081" spans="1:6">
      <c r="A1081">
        <v>1080</v>
      </c>
      <c r="B1081" t="s">
        <v>3679</v>
      </c>
      <c r="C1081">
        <v>250</v>
      </c>
      <c r="D1081">
        <v>750</v>
      </c>
      <c r="E1081">
        <v>50</v>
      </c>
      <c r="F1081" s="73">
        <v>44845</v>
      </c>
    </row>
    <row r="1082" spans="1:6">
      <c r="A1082">
        <v>1081</v>
      </c>
      <c r="B1082" t="s">
        <v>3682</v>
      </c>
      <c r="C1082">
        <v>2000</v>
      </c>
      <c r="D1082">
        <v>0</v>
      </c>
      <c r="E1082">
        <v>100</v>
      </c>
      <c r="F1082" s="64" t="s">
        <v>16662</v>
      </c>
    </row>
    <row r="1083" spans="1:6">
      <c r="A1083">
        <v>1082</v>
      </c>
      <c r="B1083" t="s">
        <v>3686</v>
      </c>
      <c r="C1083">
        <v>250</v>
      </c>
      <c r="D1083">
        <v>750</v>
      </c>
      <c r="E1083">
        <v>50</v>
      </c>
      <c r="F1083" s="60">
        <v>44882</v>
      </c>
    </row>
    <row r="1084" spans="1:6">
      <c r="A1084">
        <v>1083</v>
      </c>
      <c r="B1084" t="s">
        <v>3689</v>
      </c>
      <c r="C1084">
        <v>250</v>
      </c>
      <c r="D1084">
        <v>750</v>
      </c>
      <c r="E1084">
        <v>50</v>
      </c>
      <c r="F1084" s="61">
        <v>44858</v>
      </c>
    </row>
    <row r="1085" spans="1:6">
      <c r="A1085">
        <v>1084</v>
      </c>
      <c r="B1085" t="s">
        <v>3692</v>
      </c>
      <c r="C1085">
        <v>20000</v>
      </c>
      <c r="D1085">
        <v>0</v>
      </c>
      <c r="E1085">
        <v>1000</v>
      </c>
      <c r="F1085" s="65">
        <v>44524</v>
      </c>
    </row>
    <row r="1086" spans="1:6">
      <c r="A1086">
        <v>1085</v>
      </c>
      <c r="B1086" t="s">
        <v>3696</v>
      </c>
      <c r="C1086">
        <v>250</v>
      </c>
      <c r="D1086">
        <v>750</v>
      </c>
      <c r="E1086">
        <v>50</v>
      </c>
      <c r="F1086" s="60">
        <v>44916</v>
      </c>
    </row>
    <row r="1087" spans="1:6">
      <c r="A1087">
        <v>1086</v>
      </c>
      <c r="B1087" t="s">
        <v>3700</v>
      </c>
      <c r="C1087">
        <v>50000</v>
      </c>
      <c r="D1087">
        <v>0</v>
      </c>
      <c r="E1087">
        <v>2500</v>
      </c>
      <c r="F1087" s="64" t="s">
        <v>16726</v>
      </c>
    </row>
    <row r="1088" spans="1:6">
      <c r="A1088">
        <v>1087</v>
      </c>
      <c r="B1088" t="s">
        <v>3704</v>
      </c>
      <c r="C1088">
        <v>250</v>
      </c>
      <c r="D1088">
        <v>750</v>
      </c>
      <c r="E1088">
        <v>50</v>
      </c>
      <c r="F1088" s="75">
        <v>44841</v>
      </c>
    </row>
    <row r="1089" spans="1:6">
      <c r="A1089">
        <v>1088</v>
      </c>
      <c r="B1089" t="s">
        <v>3708</v>
      </c>
      <c r="C1089">
        <v>250</v>
      </c>
      <c r="D1089">
        <v>750</v>
      </c>
      <c r="E1089">
        <v>50</v>
      </c>
      <c r="F1089" s="61">
        <v>44891</v>
      </c>
    </row>
    <row r="1090" spans="1:6">
      <c r="A1090">
        <v>1089</v>
      </c>
      <c r="B1090" t="s">
        <v>3711</v>
      </c>
      <c r="C1090">
        <v>17250</v>
      </c>
      <c r="D1090">
        <v>3750</v>
      </c>
      <c r="E1090">
        <v>50</v>
      </c>
      <c r="F1090" s="65">
        <v>44525</v>
      </c>
    </row>
    <row r="1091" spans="1:6">
      <c r="A1091">
        <v>1090</v>
      </c>
      <c r="B1091" t="s">
        <v>3715</v>
      </c>
      <c r="C1091">
        <v>7500</v>
      </c>
      <c r="D1091">
        <v>22500</v>
      </c>
      <c r="E1091">
        <v>1500</v>
      </c>
      <c r="F1091" s="72">
        <v>44818</v>
      </c>
    </row>
    <row r="1092" spans="1:6">
      <c r="A1092">
        <v>1091</v>
      </c>
      <c r="B1092" t="s">
        <v>3719</v>
      </c>
      <c r="C1092">
        <v>200000</v>
      </c>
      <c r="D1092">
        <v>0</v>
      </c>
      <c r="E1092" t="s">
        <v>16642</v>
      </c>
      <c r="F1092" s="76">
        <v>44911</v>
      </c>
    </row>
    <row r="1093" spans="1:6">
      <c r="A1093">
        <v>1092</v>
      </c>
      <c r="B1093" t="s">
        <v>3723</v>
      </c>
      <c r="C1093">
        <v>5000</v>
      </c>
      <c r="D1093">
        <v>15000</v>
      </c>
      <c r="E1093">
        <v>1000</v>
      </c>
      <c r="F1093" s="60">
        <v>44847</v>
      </c>
    </row>
    <row r="1094" ht="31.5" spans="1:6">
      <c r="A1094">
        <v>1093</v>
      </c>
      <c r="B1094" t="s">
        <v>3726</v>
      </c>
      <c r="C1094">
        <v>10000</v>
      </c>
      <c r="D1094">
        <v>0</v>
      </c>
      <c r="E1094">
        <v>500</v>
      </c>
      <c r="F1094" s="115" t="s">
        <v>16727</v>
      </c>
    </row>
    <row r="1095" spans="1:6">
      <c r="A1095">
        <v>1094</v>
      </c>
      <c r="B1095" t="s">
        <v>3729</v>
      </c>
      <c r="C1095">
        <v>1000</v>
      </c>
      <c r="D1095">
        <v>0</v>
      </c>
      <c r="E1095">
        <v>50</v>
      </c>
      <c r="F1095" s="61">
        <v>44847</v>
      </c>
    </row>
    <row r="1096" spans="1:6">
      <c r="A1096">
        <v>1095</v>
      </c>
      <c r="B1096" t="s">
        <v>3733</v>
      </c>
      <c r="C1096">
        <v>250</v>
      </c>
      <c r="D1096">
        <v>750</v>
      </c>
      <c r="E1096">
        <v>50</v>
      </c>
      <c r="F1096" s="60">
        <v>44930</v>
      </c>
    </row>
    <row r="1097" spans="1:6">
      <c r="A1097">
        <v>1096</v>
      </c>
      <c r="B1097" t="s">
        <v>3737</v>
      </c>
      <c r="C1097">
        <v>100000</v>
      </c>
      <c r="D1097">
        <v>0</v>
      </c>
      <c r="E1097" t="s">
        <v>16642</v>
      </c>
      <c r="F1097" s="104"/>
    </row>
    <row r="1098" spans="1:6">
      <c r="A1098">
        <v>1097</v>
      </c>
      <c r="B1098" t="s">
        <v>3742</v>
      </c>
      <c r="C1098">
        <v>250</v>
      </c>
      <c r="D1098">
        <v>750</v>
      </c>
      <c r="E1098">
        <v>50</v>
      </c>
      <c r="F1098" s="61">
        <v>45065</v>
      </c>
    </row>
    <row r="1099" spans="1:6">
      <c r="A1099">
        <v>1098</v>
      </c>
      <c r="B1099" t="s">
        <v>3746</v>
      </c>
      <c r="C1099">
        <v>250</v>
      </c>
      <c r="D1099">
        <v>750</v>
      </c>
      <c r="E1099">
        <v>50</v>
      </c>
      <c r="F1099" s="60">
        <v>45013</v>
      </c>
    </row>
    <row r="1100" spans="1:6">
      <c r="A1100">
        <v>1099</v>
      </c>
      <c r="B1100" t="s">
        <v>3749</v>
      </c>
      <c r="C1100">
        <v>250</v>
      </c>
      <c r="D1100">
        <v>750</v>
      </c>
      <c r="E1100">
        <v>50</v>
      </c>
      <c r="F1100" s="100" t="s">
        <v>16669</v>
      </c>
    </row>
    <row r="1101" ht="47.25" spans="1:6">
      <c r="A1101">
        <v>1100</v>
      </c>
      <c r="B1101" t="s">
        <v>3752</v>
      </c>
      <c r="C1101">
        <v>84000</v>
      </c>
      <c r="D1101">
        <v>0</v>
      </c>
      <c r="E1101">
        <v>2000</v>
      </c>
      <c r="F1101" s="116" t="s">
        <v>16728</v>
      </c>
    </row>
    <row r="1102" spans="1:6">
      <c r="A1102">
        <v>1101</v>
      </c>
      <c r="B1102" t="s">
        <v>3756</v>
      </c>
      <c r="C1102">
        <v>100000</v>
      </c>
      <c r="D1102">
        <v>0</v>
      </c>
      <c r="E1102" t="s">
        <v>16642</v>
      </c>
      <c r="F1102" s="76">
        <v>44958</v>
      </c>
    </row>
    <row r="1103" spans="1:6">
      <c r="A1103">
        <v>1102</v>
      </c>
      <c r="B1103" t="s">
        <v>3758</v>
      </c>
      <c r="C1103">
        <v>250</v>
      </c>
      <c r="D1103">
        <v>750</v>
      </c>
      <c r="E1103">
        <v>50</v>
      </c>
      <c r="F1103" s="61">
        <v>44879</v>
      </c>
    </row>
    <row r="1104" spans="1:6">
      <c r="A1104">
        <v>1103</v>
      </c>
      <c r="B1104" t="s">
        <v>3762</v>
      </c>
      <c r="C1104">
        <v>1000</v>
      </c>
      <c r="D1104">
        <v>0</v>
      </c>
      <c r="E1104">
        <v>50</v>
      </c>
      <c r="F1104" s="73">
        <v>44931</v>
      </c>
    </row>
    <row r="1105" spans="1:6">
      <c r="A1105">
        <v>1104</v>
      </c>
      <c r="B1105" t="s">
        <v>3766</v>
      </c>
      <c r="C1105">
        <v>250</v>
      </c>
      <c r="D1105">
        <v>750</v>
      </c>
      <c r="E1105">
        <v>50</v>
      </c>
      <c r="F1105" s="61">
        <v>44856</v>
      </c>
    </row>
    <row r="1106" spans="1:6">
      <c r="A1106">
        <v>1105</v>
      </c>
      <c r="B1106" t="s">
        <v>3770</v>
      </c>
      <c r="C1106">
        <v>250</v>
      </c>
      <c r="D1106">
        <v>750</v>
      </c>
      <c r="E1106">
        <v>50</v>
      </c>
      <c r="F1106" s="69">
        <v>44966</v>
      </c>
    </row>
    <row r="1107" spans="1:6">
      <c r="A1107">
        <v>1106</v>
      </c>
      <c r="B1107" t="s">
        <v>3773</v>
      </c>
      <c r="C1107">
        <v>500</v>
      </c>
      <c r="D1107">
        <v>1500</v>
      </c>
      <c r="E1107">
        <v>100</v>
      </c>
      <c r="F1107" s="79">
        <v>44938</v>
      </c>
    </row>
    <row r="1108" spans="1:6">
      <c r="A1108">
        <v>1107</v>
      </c>
      <c r="B1108" t="s">
        <v>3776</v>
      </c>
      <c r="C1108">
        <v>1000</v>
      </c>
      <c r="D1108">
        <v>0</v>
      </c>
      <c r="E1108">
        <v>50</v>
      </c>
      <c r="F1108" s="61">
        <v>45013</v>
      </c>
    </row>
    <row r="1109" spans="1:6">
      <c r="A1109">
        <v>1108</v>
      </c>
      <c r="B1109" t="s">
        <v>3779</v>
      </c>
      <c r="C1109">
        <v>250</v>
      </c>
      <c r="D1109">
        <v>750</v>
      </c>
      <c r="E1109">
        <v>50</v>
      </c>
      <c r="F1109" s="60">
        <v>44921</v>
      </c>
    </row>
    <row r="1110" spans="1:6">
      <c r="A1110">
        <v>1109</v>
      </c>
      <c r="B1110" t="s">
        <v>3782</v>
      </c>
      <c r="C1110">
        <v>250</v>
      </c>
      <c r="D1110">
        <v>750</v>
      </c>
      <c r="E1110">
        <v>50</v>
      </c>
      <c r="F1110" s="71">
        <v>44925</v>
      </c>
    </row>
    <row r="1111" ht="15" spans="1:6">
      <c r="A1111">
        <v>1110</v>
      </c>
      <c r="B1111" t="s">
        <v>3785</v>
      </c>
      <c r="C1111">
        <v>1500000</v>
      </c>
      <c r="D1111">
        <v>0</v>
      </c>
      <c r="E1111" t="s">
        <v>16642</v>
      </c>
      <c r="F1111" s="81">
        <f>IFERROR(__xludf.DUMMYFUNCTION("""COMPUTED_VALUE"""),45078)</f>
        <v>45078</v>
      </c>
    </row>
    <row r="1112" spans="1:6">
      <c r="A1112">
        <v>1111</v>
      </c>
      <c r="B1112" t="s">
        <v>3786</v>
      </c>
      <c r="C1112">
        <v>250</v>
      </c>
      <c r="D1112">
        <v>750</v>
      </c>
      <c r="E1112">
        <v>50</v>
      </c>
      <c r="F1112" s="61">
        <v>44827</v>
      </c>
    </row>
    <row r="1113" spans="1:6">
      <c r="A1113">
        <v>1112</v>
      </c>
      <c r="B1113" t="s">
        <v>3789</v>
      </c>
      <c r="C1113">
        <v>250</v>
      </c>
      <c r="D1113">
        <v>750</v>
      </c>
      <c r="E1113">
        <v>50</v>
      </c>
      <c r="F1113" s="73">
        <v>44909</v>
      </c>
    </row>
    <row r="1114" spans="1:6">
      <c r="A1114">
        <v>1113</v>
      </c>
      <c r="B1114" t="s">
        <v>3793</v>
      </c>
      <c r="C1114">
        <v>250</v>
      </c>
      <c r="D1114">
        <v>750</v>
      </c>
      <c r="E1114">
        <v>50</v>
      </c>
      <c r="F1114" s="60">
        <v>44925</v>
      </c>
    </row>
    <row r="1115" spans="1:6">
      <c r="A1115">
        <v>1114</v>
      </c>
      <c r="B1115" t="s">
        <v>3796</v>
      </c>
      <c r="C1115">
        <v>250</v>
      </c>
      <c r="D1115">
        <v>750</v>
      </c>
      <c r="E1115">
        <v>50</v>
      </c>
      <c r="F1115" s="60">
        <v>44925</v>
      </c>
    </row>
    <row r="1116" spans="1:6">
      <c r="A1116">
        <v>1115</v>
      </c>
      <c r="B1116" t="s">
        <v>3799</v>
      </c>
      <c r="C1116">
        <v>250</v>
      </c>
      <c r="D1116">
        <v>750</v>
      </c>
      <c r="E1116">
        <v>50</v>
      </c>
      <c r="F1116" s="69">
        <v>45024</v>
      </c>
    </row>
    <row r="1117" spans="1:6">
      <c r="A1117">
        <v>1116</v>
      </c>
      <c r="B1117" t="s">
        <v>3802</v>
      </c>
      <c r="C1117">
        <v>250</v>
      </c>
      <c r="D1117">
        <v>750</v>
      </c>
      <c r="E1117">
        <v>50</v>
      </c>
      <c r="F1117" s="69">
        <v>44978</v>
      </c>
    </row>
    <row r="1118" spans="1:6">
      <c r="A1118">
        <v>1117</v>
      </c>
      <c r="B1118" t="s">
        <v>3805</v>
      </c>
      <c r="C1118">
        <v>250</v>
      </c>
      <c r="D1118">
        <v>750</v>
      </c>
      <c r="E1118">
        <v>50</v>
      </c>
      <c r="F1118" s="73">
        <v>45009</v>
      </c>
    </row>
    <row r="1119" spans="1:6">
      <c r="A1119">
        <v>1118</v>
      </c>
      <c r="B1119" t="s">
        <v>3808</v>
      </c>
      <c r="C1119">
        <v>1000</v>
      </c>
      <c r="D1119">
        <v>0</v>
      </c>
      <c r="E1119">
        <v>50</v>
      </c>
      <c r="F1119" s="60">
        <v>45027</v>
      </c>
    </row>
    <row r="1120" spans="1:6">
      <c r="A1120">
        <v>1119</v>
      </c>
      <c r="B1120" t="s">
        <v>3812</v>
      </c>
      <c r="C1120">
        <v>250</v>
      </c>
      <c r="D1120">
        <v>750</v>
      </c>
      <c r="E1120">
        <v>50</v>
      </c>
      <c r="F1120" s="60">
        <v>44950</v>
      </c>
    </row>
    <row r="1121" spans="1:6">
      <c r="A1121">
        <v>1120</v>
      </c>
      <c r="B1121" t="s">
        <v>3816</v>
      </c>
      <c r="C1121">
        <v>1000</v>
      </c>
      <c r="D1121">
        <v>0</v>
      </c>
      <c r="E1121">
        <v>50</v>
      </c>
      <c r="F1121" s="61">
        <v>45016</v>
      </c>
    </row>
    <row r="1122" spans="1:6">
      <c r="A1122">
        <v>1121</v>
      </c>
      <c r="B1122" t="s">
        <v>3819</v>
      </c>
      <c r="C1122">
        <v>250</v>
      </c>
      <c r="D1122">
        <v>750</v>
      </c>
      <c r="E1122">
        <v>50</v>
      </c>
      <c r="F1122" s="60">
        <v>44888</v>
      </c>
    </row>
    <row r="1123" spans="1:6">
      <c r="A1123">
        <v>1122</v>
      </c>
      <c r="B1123" t="s">
        <v>3823</v>
      </c>
      <c r="C1123">
        <v>250</v>
      </c>
      <c r="D1123">
        <v>750</v>
      </c>
      <c r="E1123">
        <v>50</v>
      </c>
      <c r="F1123" s="60">
        <v>44866</v>
      </c>
    </row>
    <row r="1124" spans="1:6">
      <c r="A1124">
        <v>1123</v>
      </c>
      <c r="B1124" t="s">
        <v>3826</v>
      </c>
      <c r="C1124">
        <v>1000</v>
      </c>
      <c r="D1124">
        <v>0</v>
      </c>
      <c r="E1124">
        <v>50</v>
      </c>
      <c r="F1124" s="60" t="s">
        <v>16729</v>
      </c>
    </row>
    <row r="1125" spans="1:6">
      <c r="A1125">
        <v>1124</v>
      </c>
      <c r="B1125" t="s">
        <v>3829</v>
      </c>
      <c r="C1125">
        <v>250</v>
      </c>
      <c r="D1125">
        <v>750</v>
      </c>
      <c r="E1125">
        <v>50</v>
      </c>
      <c r="F1125" s="117" t="s">
        <v>16669</v>
      </c>
    </row>
    <row r="1126" spans="1:6">
      <c r="A1126">
        <v>1125</v>
      </c>
      <c r="B1126" t="s">
        <v>3832</v>
      </c>
      <c r="C1126">
        <v>250</v>
      </c>
      <c r="D1126">
        <v>750</v>
      </c>
      <c r="E1126">
        <v>50</v>
      </c>
      <c r="F1126" s="60">
        <v>44980</v>
      </c>
    </row>
    <row r="1127" spans="1:6">
      <c r="A1127">
        <v>1126</v>
      </c>
      <c r="B1127" t="s">
        <v>3835</v>
      </c>
      <c r="C1127">
        <v>250</v>
      </c>
      <c r="D1127">
        <v>750</v>
      </c>
      <c r="E1127">
        <v>50</v>
      </c>
      <c r="F1127" s="60">
        <v>44873</v>
      </c>
    </row>
    <row r="1128" spans="1:6">
      <c r="A1128">
        <v>1127</v>
      </c>
      <c r="B1128" t="s">
        <v>3838</v>
      </c>
      <c r="C1128">
        <v>250</v>
      </c>
      <c r="D1128">
        <v>750</v>
      </c>
      <c r="E1128">
        <v>50</v>
      </c>
      <c r="F1128" s="73">
        <v>44944</v>
      </c>
    </row>
    <row r="1129" spans="1:6">
      <c r="A1129">
        <v>1128</v>
      </c>
      <c r="B1129" t="s">
        <v>3842</v>
      </c>
      <c r="C1129">
        <v>250</v>
      </c>
      <c r="D1129">
        <v>750</v>
      </c>
      <c r="E1129">
        <v>50</v>
      </c>
      <c r="F1129" s="71">
        <v>44925</v>
      </c>
    </row>
    <row r="1130" spans="1:6">
      <c r="A1130">
        <v>1129</v>
      </c>
      <c r="B1130" t="s">
        <v>3845</v>
      </c>
      <c r="C1130">
        <v>2500</v>
      </c>
      <c r="D1130">
        <v>0</v>
      </c>
      <c r="E1130">
        <v>125</v>
      </c>
      <c r="F1130" s="65">
        <v>44699</v>
      </c>
    </row>
    <row r="1131" spans="1:6">
      <c r="A1131">
        <v>1130</v>
      </c>
      <c r="B1131" t="s">
        <v>3849</v>
      </c>
      <c r="C1131">
        <v>200000</v>
      </c>
      <c r="D1131">
        <v>0</v>
      </c>
      <c r="E1131" t="s">
        <v>16642</v>
      </c>
      <c r="F1131" s="76">
        <v>44939</v>
      </c>
    </row>
    <row r="1132" spans="1:6">
      <c r="A1132">
        <v>1131</v>
      </c>
      <c r="B1132" t="s">
        <v>3854</v>
      </c>
      <c r="C1132">
        <v>1000</v>
      </c>
      <c r="D1132">
        <v>0</v>
      </c>
      <c r="E1132">
        <v>50</v>
      </c>
      <c r="F1132" s="75">
        <v>44863</v>
      </c>
    </row>
    <row r="1133" spans="1:6">
      <c r="A1133">
        <v>1132</v>
      </c>
      <c r="B1133" t="s">
        <v>3858</v>
      </c>
      <c r="C1133">
        <v>250</v>
      </c>
      <c r="D1133">
        <v>750</v>
      </c>
      <c r="E1133">
        <v>50</v>
      </c>
      <c r="F1133" s="61" t="s">
        <v>16730</v>
      </c>
    </row>
    <row r="1134" spans="1:6">
      <c r="A1134">
        <v>1133</v>
      </c>
      <c r="B1134" t="s">
        <v>3861</v>
      </c>
      <c r="C1134">
        <v>1000</v>
      </c>
      <c r="D1134">
        <v>0</v>
      </c>
      <c r="E1134">
        <v>50</v>
      </c>
      <c r="F1134" s="60">
        <v>44868</v>
      </c>
    </row>
    <row r="1135" spans="1:6">
      <c r="A1135">
        <v>1134</v>
      </c>
      <c r="B1135" t="s">
        <v>3864</v>
      </c>
      <c r="C1135">
        <v>250</v>
      </c>
      <c r="D1135">
        <v>750</v>
      </c>
      <c r="E1135">
        <v>50</v>
      </c>
      <c r="F1135" s="60">
        <v>45013</v>
      </c>
    </row>
    <row r="1136" spans="1:6">
      <c r="A1136">
        <v>1135</v>
      </c>
      <c r="B1136" t="s">
        <v>3867</v>
      </c>
      <c r="C1136">
        <v>250</v>
      </c>
      <c r="D1136">
        <v>750</v>
      </c>
      <c r="E1136">
        <v>50</v>
      </c>
      <c r="F1136" s="61">
        <v>44904</v>
      </c>
    </row>
    <row r="1137" spans="1:6">
      <c r="A1137">
        <v>1136</v>
      </c>
      <c r="B1137" t="s">
        <v>3871</v>
      </c>
      <c r="C1137">
        <v>750</v>
      </c>
      <c r="D1137">
        <v>250</v>
      </c>
      <c r="E1137">
        <v>50</v>
      </c>
      <c r="F1137" s="73">
        <v>44957</v>
      </c>
    </row>
    <row r="1138" spans="1:6">
      <c r="A1138">
        <v>1137</v>
      </c>
      <c r="B1138" t="s">
        <v>3875</v>
      </c>
      <c r="C1138">
        <v>250</v>
      </c>
      <c r="D1138">
        <v>750</v>
      </c>
      <c r="E1138">
        <v>50</v>
      </c>
      <c r="F1138" s="61">
        <v>44866</v>
      </c>
    </row>
    <row r="1139" spans="1:6">
      <c r="A1139">
        <v>1138</v>
      </c>
      <c r="B1139" t="s">
        <v>3879</v>
      </c>
      <c r="C1139">
        <v>250</v>
      </c>
      <c r="D1139">
        <v>750</v>
      </c>
      <c r="E1139">
        <v>50</v>
      </c>
      <c r="F1139" s="61">
        <v>44991</v>
      </c>
    </row>
    <row r="1140" spans="1:6">
      <c r="A1140">
        <v>1139</v>
      </c>
      <c r="B1140" t="s">
        <v>3882</v>
      </c>
      <c r="C1140">
        <v>250</v>
      </c>
      <c r="D1140">
        <v>750</v>
      </c>
      <c r="E1140">
        <v>50</v>
      </c>
      <c r="F1140" s="61">
        <v>44910</v>
      </c>
    </row>
    <row r="1141" spans="1:6">
      <c r="A1141">
        <v>1140</v>
      </c>
      <c r="B1141" t="s">
        <v>3885</v>
      </c>
      <c r="C1141">
        <v>250</v>
      </c>
      <c r="D1141">
        <v>750</v>
      </c>
      <c r="E1141">
        <v>50</v>
      </c>
      <c r="F1141" s="60">
        <v>45024</v>
      </c>
    </row>
    <row r="1142" spans="1:6">
      <c r="A1142">
        <v>1141</v>
      </c>
      <c r="B1142" t="s">
        <v>3888</v>
      </c>
      <c r="C1142">
        <v>250</v>
      </c>
      <c r="D1142">
        <v>750</v>
      </c>
      <c r="E1142">
        <v>50</v>
      </c>
      <c r="F1142" s="73">
        <v>44909</v>
      </c>
    </row>
    <row r="1143" spans="1:6">
      <c r="A1143">
        <v>1142</v>
      </c>
      <c r="B1143" t="s">
        <v>3891</v>
      </c>
      <c r="C1143">
        <v>250</v>
      </c>
      <c r="D1143">
        <v>750</v>
      </c>
      <c r="E1143">
        <v>50</v>
      </c>
      <c r="F1143" s="69">
        <v>45013</v>
      </c>
    </row>
    <row r="1144" spans="1:6">
      <c r="A1144">
        <v>1143</v>
      </c>
      <c r="B1144" t="s">
        <v>3894</v>
      </c>
      <c r="C1144">
        <v>250</v>
      </c>
      <c r="D1144">
        <v>750</v>
      </c>
      <c r="E1144">
        <v>50</v>
      </c>
      <c r="F1144" s="73">
        <v>45042</v>
      </c>
    </row>
    <row r="1145" spans="1:6">
      <c r="A1145">
        <v>1144</v>
      </c>
      <c r="B1145" t="s">
        <v>3897</v>
      </c>
      <c r="C1145">
        <v>250</v>
      </c>
      <c r="D1145">
        <v>750</v>
      </c>
      <c r="E1145">
        <v>50</v>
      </c>
      <c r="F1145" s="70" t="s">
        <v>16731</v>
      </c>
    </row>
    <row r="1146" spans="1:6">
      <c r="A1146">
        <v>1145</v>
      </c>
      <c r="B1146" t="s">
        <v>3900</v>
      </c>
      <c r="C1146">
        <v>1000</v>
      </c>
      <c r="D1146">
        <v>0</v>
      </c>
      <c r="E1146">
        <v>50</v>
      </c>
      <c r="F1146" s="60">
        <v>45058</v>
      </c>
    </row>
    <row r="1147" spans="1:6">
      <c r="A1147">
        <v>1146</v>
      </c>
      <c r="B1147" t="s">
        <v>3903</v>
      </c>
      <c r="C1147">
        <v>1000</v>
      </c>
      <c r="D1147">
        <v>0</v>
      </c>
      <c r="E1147">
        <v>50</v>
      </c>
      <c r="F1147" s="73">
        <v>45017</v>
      </c>
    </row>
    <row r="1148" spans="1:6">
      <c r="A1148">
        <v>1147</v>
      </c>
      <c r="B1148" t="s">
        <v>3907</v>
      </c>
      <c r="C1148">
        <v>100000</v>
      </c>
      <c r="D1148">
        <v>0</v>
      </c>
      <c r="E1148" t="s">
        <v>16642</v>
      </c>
      <c r="F1148" s="76">
        <v>44883</v>
      </c>
    </row>
    <row r="1149" spans="1:6">
      <c r="A1149">
        <v>1148</v>
      </c>
      <c r="B1149" t="s">
        <v>3911</v>
      </c>
      <c r="C1149">
        <v>2500</v>
      </c>
      <c r="D1149">
        <v>0</v>
      </c>
      <c r="E1149">
        <v>125</v>
      </c>
      <c r="F1149" s="65">
        <v>44699</v>
      </c>
    </row>
    <row r="1150" ht="15" spans="1:6">
      <c r="A1150">
        <v>1149</v>
      </c>
      <c r="B1150" t="s">
        <v>3915</v>
      </c>
      <c r="C1150">
        <v>1000000</v>
      </c>
      <c r="D1150">
        <v>500000</v>
      </c>
      <c r="E1150" t="s">
        <v>16642</v>
      </c>
      <c r="F1150" s="81">
        <f>IFERROR(__xludf.DUMMYFUNCTION("""COMPUTED_VALUE"""),45083)</f>
        <v>45083</v>
      </c>
    </row>
    <row r="1151" spans="1:6">
      <c r="A1151">
        <v>1150</v>
      </c>
      <c r="B1151" t="s">
        <v>3916</v>
      </c>
      <c r="C1151">
        <v>250</v>
      </c>
      <c r="D1151">
        <v>750</v>
      </c>
      <c r="E1151">
        <v>50</v>
      </c>
      <c r="F1151" s="60">
        <v>44862</v>
      </c>
    </row>
    <row r="1152" spans="1:6">
      <c r="A1152">
        <v>1151</v>
      </c>
      <c r="B1152" t="s">
        <v>3919</v>
      </c>
      <c r="C1152">
        <v>250</v>
      </c>
      <c r="D1152">
        <v>750</v>
      </c>
      <c r="E1152">
        <v>50</v>
      </c>
      <c r="F1152" s="60">
        <v>44909</v>
      </c>
    </row>
    <row r="1153" spans="1:6">
      <c r="A1153">
        <v>1152</v>
      </c>
      <c r="B1153" t="s">
        <v>3922</v>
      </c>
      <c r="C1153">
        <v>250</v>
      </c>
      <c r="D1153">
        <v>750</v>
      </c>
      <c r="E1153">
        <v>50</v>
      </c>
      <c r="F1153" s="61">
        <v>44853</v>
      </c>
    </row>
    <row r="1154" spans="1:6">
      <c r="A1154">
        <v>1153</v>
      </c>
      <c r="B1154" t="s">
        <v>3925</v>
      </c>
      <c r="C1154">
        <v>250</v>
      </c>
      <c r="D1154">
        <v>750</v>
      </c>
      <c r="E1154">
        <v>50</v>
      </c>
      <c r="F1154" s="60">
        <v>44911</v>
      </c>
    </row>
    <row r="1155" spans="1:6">
      <c r="A1155">
        <v>1154</v>
      </c>
      <c r="B1155" t="s">
        <v>3928</v>
      </c>
      <c r="C1155">
        <v>250</v>
      </c>
      <c r="D1155">
        <v>750</v>
      </c>
      <c r="E1155">
        <v>50</v>
      </c>
      <c r="F1155" s="61">
        <v>44867</v>
      </c>
    </row>
    <row r="1156" spans="1:6">
      <c r="A1156">
        <v>1155</v>
      </c>
      <c r="B1156" t="s">
        <v>3931</v>
      </c>
      <c r="C1156">
        <v>250</v>
      </c>
      <c r="D1156">
        <v>750</v>
      </c>
      <c r="E1156">
        <v>50</v>
      </c>
      <c r="F1156" s="60">
        <v>44875</v>
      </c>
    </row>
    <row r="1157" spans="1:6">
      <c r="A1157">
        <v>1156</v>
      </c>
      <c r="B1157" t="s">
        <v>3934</v>
      </c>
      <c r="C1157">
        <v>250</v>
      </c>
      <c r="D1157">
        <v>750</v>
      </c>
      <c r="E1157">
        <v>50</v>
      </c>
      <c r="F1157" s="61">
        <v>44883</v>
      </c>
    </row>
    <row r="1158" spans="1:6">
      <c r="A1158">
        <v>1157</v>
      </c>
      <c r="B1158" t="s">
        <v>3937</v>
      </c>
      <c r="C1158">
        <v>250</v>
      </c>
      <c r="D1158">
        <v>750</v>
      </c>
      <c r="E1158">
        <v>50</v>
      </c>
      <c r="F1158" s="61">
        <v>44856</v>
      </c>
    </row>
    <row r="1159" spans="1:6">
      <c r="A1159">
        <v>1158</v>
      </c>
      <c r="B1159" t="s">
        <v>3941</v>
      </c>
      <c r="C1159">
        <v>250</v>
      </c>
      <c r="D1159">
        <v>750</v>
      </c>
      <c r="E1159">
        <v>50</v>
      </c>
      <c r="F1159" s="61">
        <v>44873</v>
      </c>
    </row>
    <row r="1160" spans="1:6">
      <c r="A1160">
        <v>1159</v>
      </c>
      <c r="B1160" t="s">
        <v>3944</v>
      </c>
      <c r="C1160">
        <v>250</v>
      </c>
      <c r="D1160">
        <v>750</v>
      </c>
      <c r="E1160">
        <v>50</v>
      </c>
      <c r="F1160" s="60" t="s">
        <v>16711</v>
      </c>
    </row>
    <row r="1161" spans="1:6">
      <c r="A1161">
        <v>1160</v>
      </c>
      <c r="B1161" t="s">
        <v>3947</v>
      </c>
      <c r="C1161">
        <v>1000</v>
      </c>
      <c r="D1161">
        <v>0</v>
      </c>
      <c r="E1161">
        <v>50</v>
      </c>
      <c r="F1161" s="61">
        <v>45021</v>
      </c>
    </row>
    <row r="1162" spans="1:6">
      <c r="A1162">
        <v>1161</v>
      </c>
      <c r="B1162" t="s">
        <v>3950</v>
      </c>
      <c r="C1162">
        <v>250</v>
      </c>
      <c r="D1162">
        <v>750</v>
      </c>
      <c r="E1162">
        <v>50</v>
      </c>
      <c r="F1162" s="61">
        <v>44900</v>
      </c>
    </row>
    <row r="1163" spans="1:6">
      <c r="A1163">
        <v>1162</v>
      </c>
      <c r="B1163" t="s">
        <v>3953</v>
      </c>
      <c r="C1163">
        <v>250</v>
      </c>
      <c r="D1163">
        <v>750</v>
      </c>
      <c r="E1163">
        <v>50</v>
      </c>
      <c r="F1163" s="75">
        <v>44692</v>
      </c>
    </row>
    <row r="1164" spans="1:6">
      <c r="A1164">
        <v>1163</v>
      </c>
      <c r="B1164" t="s">
        <v>3956</v>
      </c>
      <c r="C1164">
        <v>1000</v>
      </c>
      <c r="D1164">
        <v>0</v>
      </c>
      <c r="E1164">
        <v>50</v>
      </c>
      <c r="F1164" s="60">
        <v>44872</v>
      </c>
    </row>
    <row r="1165" spans="1:6">
      <c r="A1165">
        <v>1164</v>
      </c>
      <c r="B1165" t="s">
        <v>3960</v>
      </c>
      <c r="C1165">
        <v>250</v>
      </c>
      <c r="D1165">
        <v>750</v>
      </c>
      <c r="E1165">
        <v>50</v>
      </c>
      <c r="F1165" s="60">
        <v>44876</v>
      </c>
    </row>
    <row r="1166" spans="1:6">
      <c r="A1166">
        <v>1165</v>
      </c>
      <c r="B1166" t="s">
        <v>3964</v>
      </c>
      <c r="C1166">
        <v>1000</v>
      </c>
      <c r="D1166">
        <v>3000</v>
      </c>
      <c r="E1166">
        <v>200</v>
      </c>
      <c r="F1166" s="60">
        <v>44865</v>
      </c>
    </row>
    <row r="1167" spans="1:6">
      <c r="A1167">
        <v>1166</v>
      </c>
      <c r="B1167" t="s">
        <v>3968</v>
      </c>
      <c r="C1167">
        <v>250</v>
      </c>
      <c r="D1167">
        <v>750</v>
      </c>
      <c r="E1167">
        <v>50</v>
      </c>
      <c r="F1167" s="60">
        <v>44849</v>
      </c>
    </row>
    <row r="1168" spans="1:6">
      <c r="A1168">
        <v>1167</v>
      </c>
      <c r="B1168" t="s">
        <v>3971</v>
      </c>
      <c r="C1168">
        <v>250</v>
      </c>
      <c r="D1168">
        <v>750</v>
      </c>
      <c r="E1168">
        <v>50</v>
      </c>
      <c r="F1168" s="60">
        <v>44849</v>
      </c>
    </row>
    <row r="1169" spans="1:6">
      <c r="A1169">
        <v>1168</v>
      </c>
      <c r="B1169" t="s">
        <v>3975</v>
      </c>
      <c r="C1169">
        <v>500</v>
      </c>
      <c r="D1169">
        <v>500</v>
      </c>
      <c r="E1169">
        <v>50</v>
      </c>
      <c r="F1169" s="73">
        <v>44912</v>
      </c>
    </row>
    <row r="1170" spans="1:6">
      <c r="A1170">
        <v>1169</v>
      </c>
      <c r="B1170" t="s">
        <v>3979</v>
      </c>
      <c r="C1170">
        <v>250</v>
      </c>
      <c r="D1170">
        <v>750</v>
      </c>
      <c r="E1170">
        <v>50</v>
      </c>
      <c r="F1170" s="73">
        <v>45083</v>
      </c>
    </row>
    <row r="1171" spans="1:6">
      <c r="A1171">
        <v>1170</v>
      </c>
      <c r="B1171" t="s">
        <v>3982</v>
      </c>
      <c r="C1171">
        <v>100000</v>
      </c>
      <c r="D1171">
        <v>0</v>
      </c>
      <c r="E1171" t="s">
        <v>16642</v>
      </c>
      <c r="F1171" s="76">
        <v>44939</v>
      </c>
    </row>
    <row r="1172" spans="1:6">
      <c r="A1172">
        <v>1171</v>
      </c>
      <c r="B1172" t="s">
        <v>3987</v>
      </c>
      <c r="C1172">
        <v>15000</v>
      </c>
      <c r="D1172">
        <v>5000</v>
      </c>
      <c r="E1172">
        <v>500</v>
      </c>
      <c r="F1172" s="74">
        <v>44939</v>
      </c>
    </row>
    <row r="1173" spans="1:6">
      <c r="A1173">
        <v>1172</v>
      </c>
      <c r="B1173" t="s">
        <v>3990</v>
      </c>
      <c r="C1173">
        <v>250</v>
      </c>
      <c r="D1173">
        <v>750</v>
      </c>
      <c r="E1173">
        <v>50</v>
      </c>
      <c r="F1173" s="70">
        <v>44926</v>
      </c>
    </row>
    <row r="1174" spans="1:6">
      <c r="A1174">
        <v>1173</v>
      </c>
      <c r="B1174" t="s">
        <v>3993</v>
      </c>
      <c r="C1174">
        <v>1000</v>
      </c>
      <c r="D1174">
        <v>0</v>
      </c>
      <c r="E1174">
        <v>50</v>
      </c>
      <c r="F1174" s="64" t="s">
        <v>16656</v>
      </c>
    </row>
    <row r="1175" spans="1:6">
      <c r="A1175">
        <v>1174</v>
      </c>
      <c r="B1175" t="s">
        <v>3997</v>
      </c>
      <c r="C1175">
        <v>1000</v>
      </c>
      <c r="D1175">
        <v>0</v>
      </c>
      <c r="E1175">
        <v>50</v>
      </c>
      <c r="F1175" s="61">
        <v>44886</v>
      </c>
    </row>
    <row r="1176" spans="1:6">
      <c r="A1176">
        <v>1175</v>
      </c>
      <c r="B1176" t="s">
        <v>4001</v>
      </c>
      <c r="C1176">
        <v>1000</v>
      </c>
      <c r="D1176">
        <v>0</v>
      </c>
      <c r="E1176">
        <v>50</v>
      </c>
      <c r="F1176" s="60">
        <v>44993</v>
      </c>
    </row>
    <row r="1177" spans="1:6">
      <c r="A1177">
        <v>1176</v>
      </c>
      <c r="B1177" t="s">
        <v>4004</v>
      </c>
      <c r="C1177">
        <v>250</v>
      </c>
      <c r="D1177">
        <v>750</v>
      </c>
      <c r="E1177">
        <v>50</v>
      </c>
      <c r="F1177" s="75">
        <v>44859</v>
      </c>
    </row>
    <row r="1178" spans="1:6">
      <c r="A1178">
        <v>1177</v>
      </c>
      <c r="B1178" t="s">
        <v>4007</v>
      </c>
      <c r="C1178">
        <v>10000</v>
      </c>
      <c r="D1178">
        <v>0</v>
      </c>
      <c r="E1178">
        <v>500</v>
      </c>
      <c r="F1178" s="106">
        <v>44583</v>
      </c>
    </row>
    <row r="1179" spans="1:6">
      <c r="A1179">
        <v>1178</v>
      </c>
      <c r="B1179" t="s">
        <v>4010</v>
      </c>
      <c r="C1179">
        <v>250</v>
      </c>
      <c r="D1179">
        <v>750</v>
      </c>
      <c r="E1179">
        <v>50</v>
      </c>
      <c r="F1179" s="60">
        <v>44886</v>
      </c>
    </row>
    <row r="1180" spans="1:6">
      <c r="A1180">
        <v>1179</v>
      </c>
      <c r="B1180" t="s">
        <v>4013</v>
      </c>
      <c r="C1180">
        <v>250</v>
      </c>
      <c r="D1180">
        <v>750</v>
      </c>
      <c r="E1180">
        <v>50</v>
      </c>
      <c r="F1180" s="73">
        <v>44931</v>
      </c>
    </row>
    <row r="1181" spans="1:6">
      <c r="A1181">
        <v>1180</v>
      </c>
      <c r="B1181" t="s">
        <v>4016</v>
      </c>
      <c r="C1181">
        <v>250</v>
      </c>
      <c r="D1181">
        <v>750</v>
      </c>
      <c r="E1181">
        <v>50</v>
      </c>
      <c r="F1181" s="60">
        <v>45061</v>
      </c>
    </row>
    <row r="1182" spans="1:6">
      <c r="A1182">
        <v>1181</v>
      </c>
      <c r="B1182" t="s">
        <v>4019</v>
      </c>
      <c r="C1182">
        <v>1250</v>
      </c>
      <c r="D1182">
        <v>3750</v>
      </c>
      <c r="E1182">
        <v>250</v>
      </c>
      <c r="F1182" s="60">
        <v>45277</v>
      </c>
    </row>
    <row r="1183" spans="1:6">
      <c r="A1183">
        <v>1182</v>
      </c>
      <c r="B1183" t="s">
        <v>4023</v>
      </c>
      <c r="C1183">
        <v>250</v>
      </c>
      <c r="D1183">
        <v>750</v>
      </c>
      <c r="E1183">
        <v>50</v>
      </c>
      <c r="F1183" s="73">
        <v>44963</v>
      </c>
    </row>
    <row r="1184" ht="31.5" spans="1:6">
      <c r="A1184">
        <v>1183</v>
      </c>
      <c r="B1184" t="s">
        <v>4026</v>
      </c>
      <c r="C1184">
        <v>3250</v>
      </c>
      <c r="D1184">
        <v>1750</v>
      </c>
      <c r="E1184">
        <v>250</v>
      </c>
      <c r="F1184" s="77" t="s">
        <v>16732</v>
      </c>
    </row>
    <row r="1185" spans="1:6">
      <c r="A1185">
        <v>1184</v>
      </c>
      <c r="B1185" t="s">
        <v>4029</v>
      </c>
      <c r="C1185">
        <v>250</v>
      </c>
      <c r="D1185">
        <v>750</v>
      </c>
      <c r="E1185">
        <v>50</v>
      </c>
      <c r="F1185" s="71">
        <v>44925</v>
      </c>
    </row>
    <row r="1186" spans="1:6">
      <c r="A1186">
        <v>1185</v>
      </c>
      <c r="B1186" t="s">
        <v>4032</v>
      </c>
      <c r="C1186">
        <v>250</v>
      </c>
      <c r="D1186">
        <v>750</v>
      </c>
      <c r="E1186">
        <v>50</v>
      </c>
      <c r="F1186" s="61">
        <v>44889</v>
      </c>
    </row>
    <row r="1187" spans="1:6">
      <c r="A1187">
        <v>1186</v>
      </c>
      <c r="B1187" t="s">
        <v>4035</v>
      </c>
      <c r="C1187">
        <v>250</v>
      </c>
      <c r="D1187">
        <v>750</v>
      </c>
      <c r="E1187">
        <v>50</v>
      </c>
      <c r="F1187" s="61">
        <v>44896</v>
      </c>
    </row>
    <row r="1188" spans="1:6">
      <c r="A1188">
        <v>1187</v>
      </c>
      <c r="B1188" t="s">
        <v>4038</v>
      </c>
      <c r="C1188">
        <v>250</v>
      </c>
      <c r="D1188">
        <v>750</v>
      </c>
      <c r="E1188">
        <v>50</v>
      </c>
      <c r="F1188" s="60">
        <v>44866</v>
      </c>
    </row>
    <row r="1189" spans="1:6">
      <c r="A1189">
        <v>1188</v>
      </c>
      <c r="B1189" t="s">
        <v>4041</v>
      </c>
      <c r="C1189">
        <v>250</v>
      </c>
      <c r="D1189">
        <v>750</v>
      </c>
      <c r="E1189">
        <v>50</v>
      </c>
      <c r="F1189" s="60">
        <v>44844</v>
      </c>
    </row>
    <row r="1190" spans="1:6">
      <c r="A1190">
        <v>1189</v>
      </c>
      <c r="B1190" t="s">
        <v>4044</v>
      </c>
      <c r="C1190">
        <v>250</v>
      </c>
      <c r="D1190">
        <v>750</v>
      </c>
      <c r="E1190">
        <v>50</v>
      </c>
      <c r="F1190" s="60">
        <v>44902</v>
      </c>
    </row>
    <row r="1191" spans="1:6">
      <c r="A1191">
        <v>1190</v>
      </c>
      <c r="B1191" t="s">
        <v>4046</v>
      </c>
      <c r="C1191">
        <v>750</v>
      </c>
      <c r="D1191">
        <v>2250</v>
      </c>
      <c r="E1191">
        <v>150</v>
      </c>
      <c r="F1191" s="60">
        <v>44932</v>
      </c>
    </row>
    <row r="1192" ht="15" spans="1:6">
      <c r="A1192">
        <v>1191</v>
      </c>
      <c r="B1192" t="s">
        <v>4050</v>
      </c>
      <c r="C1192">
        <v>1000000</v>
      </c>
      <c r="D1192">
        <v>500000</v>
      </c>
      <c r="E1192" t="s">
        <v>16642</v>
      </c>
      <c r="F1192" s="98">
        <f>IFERROR(__xludf.DUMMYFUNCTION("""COMPUTED_VALUE"""),45082)</f>
        <v>45082</v>
      </c>
    </row>
    <row r="1193" ht="15" spans="1:6">
      <c r="A1193">
        <v>1192</v>
      </c>
      <c r="B1193" t="s">
        <v>4050</v>
      </c>
      <c r="C1193">
        <v>1000000</v>
      </c>
      <c r="D1193">
        <v>500000</v>
      </c>
      <c r="E1193" t="s">
        <v>16642</v>
      </c>
      <c r="F1193" s="98">
        <f>IFERROR(__xludf.DUMMYFUNCTION("""COMPUTED_VALUE"""),45084)</f>
        <v>45084</v>
      </c>
    </row>
    <row r="1194" spans="1:6">
      <c r="A1194">
        <v>1193</v>
      </c>
      <c r="B1194" t="s">
        <v>4051</v>
      </c>
      <c r="C1194">
        <v>250</v>
      </c>
      <c r="D1194">
        <v>750</v>
      </c>
      <c r="E1194">
        <v>50</v>
      </c>
      <c r="F1194" s="61">
        <v>44913</v>
      </c>
    </row>
    <row r="1195" spans="1:6">
      <c r="A1195">
        <v>1194</v>
      </c>
      <c r="B1195" t="s">
        <v>4055</v>
      </c>
      <c r="C1195">
        <v>250</v>
      </c>
      <c r="D1195">
        <v>750</v>
      </c>
      <c r="E1195">
        <v>50</v>
      </c>
      <c r="F1195" s="60">
        <v>44926</v>
      </c>
    </row>
    <row r="1196" spans="1:6">
      <c r="A1196">
        <v>1195</v>
      </c>
      <c r="B1196" t="s">
        <v>4059</v>
      </c>
      <c r="C1196">
        <v>500</v>
      </c>
      <c r="D1196">
        <v>500</v>
      </c>
      <c r="E1196">
        <v>50</v>
      </c>
      <c r="F1196" s="67">
        <v>44970</v>
      </c>
    </row>
    <row r="1197" spans="1:6">
      <c r="A1197">
        <v>1196</v>
      </c>
      <c r="B1197" t="s">
        <v>4062</v>
      </c>
      <c r="C1197">
        <v>1000</v>
      </c>
      <c r="D1197">
        <v>0</v>
      </c>
      <c r="E1197">
        <v>50</v>
      </c>
      <c r="F1197" s="75">
        <v>44880</v>
      </c>
    </row>
    <row r="1198" spans="1:6">
      <c r="A1198">
        <v>1197</v>
      </c>
      <c r="B1198" t="s">
        <v>4066</v>
      </c>
      <c r="C1198">
        <v>250</v>
      </c>
      <c r="D1198">
        <v>750</v>
      </c>
      <c r="E1198">
        <v>50</v>
      </c>
      <c r="F1198" s="60">
        <v>44883</v>
      </c>
    </row>
    <row r="1199" spans="1:6">
      <c r="A1199">
        <v>1198</v>
      </c>
      <c r="B1199" t="s">
        <v>4069</v>
      </c>
      <c r="C1199">
        <v>250</v>
      </c>
      <c r="D1199">
        <v>750</v>
      </c>
      <c r="E1199">
        <v>50</v>
      </c>
      <c r="F1199" s="61">
        <v>44938</v>
      </c>
    </row>
    <row r="1200" spans="1:6">
      <c r="A1200">
        <v>1199</v>
      </c>
      <c r="B1200" t="s">
        <v>4072</v>
      </c>
      <c r="C1200">
        <v>250</v>
      </c>
      <c r="D1200">
        <v>750</v>
      </c>
      <c r="E1200">
        <v>50</v>
      </c>
      <c r="F1200" s="61">
        <v>44916</v>
      </c>
    </row>
    <row r="1201" spans="1:6">
      <c r="A1201">
        <v>1200</v>
      </c>
      <c r="B1201" t="s">
        <v>4075</v>
      </c>
      <c r="C1201">
        <v>250</v>
      </c>
      <c r="D1201">
        <v>750</v>
      </c>
      <c r="E1201">
        <v>50</v>
      </c>
      <c r="F1201" s="60">
        <v>44861</v>
      </c>
    </row>
    <row r="1202" spans="1:6">
      <c r="A1202">
        <v>1201</v>
      </c>
      <c r="B1202" t="s">
        <v>4078</v>
      </c>
      <c r="C1202">
        <v>250</v>
      </c>
      <c r="D1202">
        <v>750</v>
      </c>
      <c r="E1202">
        <v>50</v>
      </c>
      <c r="F1202" s="61">
        <v>44925</v>
      </c>
    </row>
    <row r="1203" spans="1:6">
      <c r="A1203">
        <v>1202</v>
      </c>
      <c r="B1203" t="s">
        <v>4081</v>
      </c>
      <c r="C1203">
        <v>250</v>
      </c>
      <c r="D1203">
        <v>750</v>
      </c>
      <c r="E1203">
        <v>50</v>
      </c>
      <c r="F1203" s="61">
        <v>44873</v>
      </c>
    </row>
    <row r="1204" spans="1:6">
      <c r="A1204">
        <v>1203</v>
      </c>
      <c r="B1204" t="s">
        <v>4084</v>
      </c>
      <c r="C1204">
        <v>250</v>
      </c>
      <c r="D1204">
        <v>750</v>
      </c>
      <c r="E1204">
        <v>50</v>
      </c>
      <c r="F1204" s="61">
        <v>44810</v>
      </c>
    </row>
    <row r="1205" spans="1:6">
      <c r="A1205">
        <v>1204</v>
      </c>
      <c r="B1205" t="s">
        <v>4087</v>
      </c>
      <c r="C1205">
        <v>250</v>
      </c>
      <c r="D1205">
        <v>750</v>
      </c>
      <c r="E1205">
        <v>50</v>
      </c>
      <c r="F1205" s="73">
        <v>45044</v>
      </c>
    </row>
    <row r="1206" spans="1:6">
      <c r="A1206">
        <v>1205</v>
      </c>
      <c r="B1206" t="s">
        <v>4090</v>
      </c>
      <c r="C1206">
        <v>250</v>
      </c>
      <c r="D1206">
        <v>750</v>
      </c>
      <c r="E1206">
        <v>50</v>
      </c>
      <c r="F1206" s="60">
        <v>44825</v>
      </c>
    </row>
    <row r="1207" spans="1:6">
      <c r="A1207">
        <v>1206</v>
      </c>
      <c r="B1207" t="s">
        <v>4094</v>
      </c>
      <c r="C1207">
        <v>250</v>
      </c>
      <c r="D1207">
        <v>750</v>
      </c>
      <c r="E1207">
        <v>50</v>
      </c>
      <c r="F1207" s="60">
        <v>45010</v>
      </c>
    </row>
    <row r="1208" spans="1:6">
      <c r="A1208">
        <v>1207</v>
      </c>
      <c r="B1208" t="s">
        <v>4097</v>
      </c>
      <c r="C1208">
        <v>250</v>
      </c>
      <c r="D1208">
        <v>750</v>
      </c>
      <c r="E1208">
        <v>50</v>
      </c>
      <c r="F1208" s="61">
        <v>44912</v>
      </c>
    </row>
    <row r="1209" spans="1:6">
      <c r="A1209">
        <v>1208</v>
      </c>
      <c r="B1209" t="s">
        <v>4101</v>
      </c>
      <c r="C1209">
        <v>250</v>
      </c>
      <c r="D1209">
        <v>750</v>
      </c>
      <c r="E1209">
        <v>50</v>
      </c>
      <c r="F1209" s="72">
        <v>44925</v>
      </c>
    </row>
    <row r="1210" spans="1:6">
      <c r="A1210">
        <v>1209</v>
      </c>
      <c r="B1210" t="s">
        <v>4104</v>
      </c>
      <c r="C1210">
        <v>250</v>
      </c>
      <c r="D1210">
        <v>750</v>
      </c>
      <c r="E1210">
        <v>50</v>
      </c>
      <c r="F1210" s="60">
        <v>45006</v>
      </c>
    </row>
    <row r="1211" spans="1:6">
      <c r="A1211">
        <v>1210</v>
      </c>
      <c r="B1211" t="s">
        <v>4107</v>
      </c>
      <c r="C1211">
        <v>250</v>
      </c>
      <c r="D1211">
        <v>750</v>
      </c>
      <c r="E1211">
        <v>50</v>
      </c>
      <c r="F1211" s="61">
        <v>44849</v>
      </c>
    </row>
    <row r="1212" spans="1:6">
      <c r="A1212">
        <v>1211</v>
      </c>
      <c r="B1212" t="s">
        <v>4110</v>
      </c>
      <c r="C1212">
        <v>1000</v>
      </c>
      <c r="D1212">
        <v>0</v>
      </c>
      <c r="E1212">
        <v>50</v>
      </c>
      <c r="F1212" s="67">
        <v>44957</v>
      </c>
    </row>
    <row r="1213" spans="1:6">
      <c r="A1213">
        <v>1212</v>
      </c>
      <c r="B1213" t="s">
        <v>4113</v>
      </c>
      <c r="C1213">
        <v>1000</v>
      </c>
      <c r="D1213">
        <v>0</v>
      </c>
      <c r="E1213">
        <v>50</v>
      </c>
      <c r="F1213" s="75">
        <v>44925</v>
      </c>
    </row>
    <row r="1214" spans="1:6">
      <c r="A1214">
        <v>1213</v>
      </c>
      <c r="B1214" t="s">
        <v>4116</v>
      </c>
      <c r="C1214">
        <v>50000</v>
      </c>
      <c r="D1214">
        <v>150000</v>
      </c>
      <c r="E1214">
        <v>10000</v>
      </c>
      <c r="F1214" s="67">
        <v>44991</v>
      </c>
    </row>
    <row r="1215" spans="1:6">
      <c r="A1215">
        <v>1214</v>
      </c>
      <c r="B1215" t="s">
        <v>4119</v>
      </c>
      <c r="C1215">
        <v>250</v>
      </c>
      <c r="D1215">
        <v>750</v>
      </c>
      <c r="E1215">
        <v>50</v>
      </c>
      <c r="F1215" s="73">
        <v>44882</v>
      </c>
    </row>
    <row r="1216" spans="1:6">
      <c r="A1216">
        <v>1215</v>
      </c>
      <c r="B1216" t="s">
        <v>4122</v>
      </c>
      <c r="C1216">
        <v>1000</v>
      </c>
      <c r="D1216">
        <v>0</v>
      </c>
      <c r="E1216">
        <v>50</v>
      </c>
      <c r="F1216" s="69">
        <v>44985</v>
      </c>
    </row>
    <row r="1217" spans="1:6">
      <c r="A1217">
        <v>1216</v>
      </c>
      <c r="B1217" t="s">
        <v>4125</v>
      </c>
      <c r="C1217">
        <v>1000</v>
      </c>
      <c r="D1217">
        <v>0</v>
      </c>
      <c r="E1217">
        <v>50</v>
      </c>
      <c r="F1217" s="65">
        <v>44541</v>
      </c>
    </row>
    <row r="1218" spans="1:6">
      <c r="A1218">
        <v>1217</v>
      </c>
      <c r="B1218" t="s">
        <v>4129</v>
      </c>
      <c r="C1218">
        <v>2500</v>
      </c>
      <c r="D1218">
        <v>7500</v>
      </c>
      <c r="E1218">
        <v>500</v>
      </c>
      <c r="F1218" s="118">
        <v>44929</v>
      </c>
    </row>
    <row r="1219" spans="1:6">
      <c r="A1219">
        <v>1218</v>
      </c>
      <c r="B1219" t="s">
        <v>4132</v>
      </c>
      <c r="C1219">
        <v>1000</v>
      </c>
      <c r="D1219">
        <v>0</v>
      </c>
      <c r="E1219">
        <v>50</v>
      </c>
      <c r="F1219" s="75">
        <v>44839</v>
      </c>
    </row>
    <row r="1220" spans="1:6">
      <c r="A1220">
        <v>1219</v>
      </c>
      <c r="B1220" t="s">
        <v>4136</v>
      </c>
      <c r="C1220">
        <v>1000</v>
      </c>
      <c r="D1220">
        <v>0</v>
      </c>
      <c r="E1220">
        <v>50</v>
      </c>
      <c r="F1220" s="73">
        <v>44930</v>
      </c>
    </row>
    <row r="1221" spans="1:6">
      <c r="A1221">
        <v>1220</v>
      </c>
      <c r="B1221" t="s">
        <v>4139</v>
      </c>
      <c r="C1221">
        <v>250</v>
      </c>
      <c r="D1221">
        <v>750</v>
      </c>
      <c r="E1221">
        <v>50</v>
      </c>
      <c r="F1221" s="61">
        <v>44917</v>
      </c>
    </row>
    <row r="1222" spans="1:6">
      <c r="A1222">
        <v>1221</v>
      </c>
      <c r="B1222" t="s">
        <v>4143</v>
      </c>
      <c r="C1222">
        <v>250</v>
      </c>
      <c r="D1222">
        <v>750</v>
      </c>
      <c r="E1222">
        <v>50</v>
      </c>
      <c r="F1222" s="69">
        <v>44932</v>
      </c>
    </row>
    <row r="1223" spans="1:6">
      <c r="A1223">
        <v>1222</v>
      </c>
      <c r="B1223" t="s">
        <v>4147</v>
      </c>
      <c r="C1223">
        <v>250</v>
      </c>
      <c r="D1223">
        <v>750</v>
      </c>
      <c r="E1223">
        <v>50</v>
      </c>
      <c r="F1223" s="60">
        <v>44912</v>
      </c>
    </row>
    <row r="1224" spans="1:6">
      <c r="A1224">
        <v>1223</v>
      </c>
      <c r="B1224" t="s">
        <v>4151</v>
      </c>
      <c r="C1224">
        <v>1000000</v>
      </c>
      <c r="D1224">
        <v>500000</v>
      </c>
      <c r="E1224" t="s">
        <v>16642</v>
      </c>
      <c r="F1224" s="80">
        <f>IFERROR(__xludf.DUMMYFUNCTION("""COMPUTED_VALUE"""),45080)</f>
        <v>45080</v>
      </c>
    </row>
    <row r="1225" spans="1:6">
      <c r="A1225">
        <v>1224</v>
      </c>
      <c r="B1225" t="s">
        <v>4152</v>
      </c>
      <c r="C1225">
        <v>250</v>
      </c>
      <c r="D1225">
        <v>750</v>
      </c>
      <c r="E1225">
        <v>50</v>
      </c>
      <c r="F1225" s="60">
        <v>44881</v>
      </c>
    </row>
    <row r="1226" spans="1:6">
      <c r="A1226">
        <v>1225</v>
      </c>
      <c r="B1226" t="s">
        <v>4155</v>
      </c>
      <c r="C1226">
        <v>250</v>
      </c>
      <c r="D1226">
        <v>750</v>
      </c>
      <c r="E1226">
        <v>50</v>
      </c>
      <c r="F1226" s="60">
        <v>44846</v>
      </c>
    </row>
    <row r="1227" spans="1:6">
      <c r="A1227">
        <v>1226</v>
      </c>
      <c r="B1227" t="s">
        <v>4158</v>
      </c>
      <c r="C1227">
        <v>12500</v>
      </c>
      <c r="D1227">
        <v>37500</v>
      </c>
      <c r="E1227">
        <v>2500</v>
      </c>
      <c r="F1227" s="67">
        <v>44966</v>
      </c>
    </row>
    <row r="1228" spans="1:6">
      <c r="A1228">
        <v>1227</v>
      </c>
      <c r="B1228" t="s">
        <v>4161</v>
      </c>
      <c r="C1228">
        <v>250</v>
      </c>
      <c r="D1228">
        <v>750</v>
      </c>
      <c r="E1228">
        <v>50</v>
      </c>
      <c r="F1228" s="60">
        <v>44903</v>
      </c>
    </row>
    <row r="1229" spans="1:6">
      <c r="A1229">
        <v>1228</v>
      </c>
      <c r="B1229" t="s">
        <v>4164</v>
      </c>
      <c r="C1229">
        <v>50000</v>
      </c>
      <c r="D1229">
        <v>0</v>
      </c>
      <c r="E1229">
        <v>2500</v>
      </c>
      <c r="F1229" s="77">
        <v>44914</v>
      </c>
    </row>
    <row r="1230" spans="1:6">
      <c r="A1230">
        <v>1229</v>
      </c>
      <c r="B1230" t="s">
        <v>4167</v>
      </c>
      <c r="C1230">
        <v>250</v>
      </c>
      <c r="D1230">
        <v>750</v>
      </c>
      <c r="E1230">
        <v>50</v>
      </c>
      <c r="F1230" s="60">
        <v>44884</v>
      </c>
    </row>
    <row r="1231" spans="1:6">
      <c r="A1231">
        <v>1230</v>
      </c>
      <c r="B1231" t="s">
        <v>4171</v>
      </c>
      <c r="C1231">
        <v>250</v>
      </c>
      <c r="D1231">
        <v>750</v>
      </c>
      <c r="E1231">
        <v>50</v>
      </c>
      <c r="F1231" s="69">
        <v>44877</v>
      </c>
    </row>
    <row r="1232" spans="1:6">
      <c r="A1232">
        <v>1231</v>
      </c>
      <c r="B1232" t="s">
        <v>4175</v>
      </c>
      <c r="C1232">
        <v>250</v>
      </c>
      <c r="D1232">
        <v>750</v>
      </c>
      <c r="E1232">
        <v>50</v>
      </c>
      <c r="F1232" s="61">
        <v>44820</v>
      </c>
    </row>
    <row r="1233" spans="1:6">
      <c r="A1233">
        <v>1232</v>
      </c>
      <c r="B1233" t="s">
        <v>4179</v>
      </c>
      <c r="C1233">
        <v>250</v>
      </c>
      <c r="D1233">
        <v>750</v>
      </c>
      <c r="E1233">
        <v>50</v>
      </c>
      <c r="F1233" s="75">
        <v>44841</v>
      </c>
    </row>
    <row r="1234" spans="1:6">
      <c r="A1234">
        <v>1233</v>
      </c>
      <c r="B1234" t="s">
        <v>4182</v>
      </c>
      <c r="C1234">
        <v>10000</v>
      </c>
      <c r="D1234">
        <v>0</v>
      </c>
      <c r="E1234">
        <v>500</v>
      </c>
      <c r="F1234" s="79">
        <v>44938</v>
      </c>
    </row>
    <row r="1235" spans="1:6">
      <c r="A1235">
        <v>1234</v>
      </c>
      <c r="B1235" t="s">
        <v>4185</v>
      </c>
      <c r="C1235">
        <v>9000</v>
      </c>
      <c r="D1235">
        <v>0</v>
      </c>
      <c r="E1235">
        <v>450</v>
      </c>
      <c r="F1235" s="65">
        <v>44665</v>
      </c>
    </row>
    <row r="1236" spans="1:6">
      <c r="A1236">
        <v>1235</v>
      </c>
      <c r="B1236" t="s">
        <v>4189</v>
      </c>
      <c r="C1236">
        <v>12500</v>
      </c>
      <c r="D1236">
        <v>37500</v>
      </c>
      <c r="E1236">
        <v>2500</v>
      </c>
      <c r="F1236" s="119">
        <v>44919</v>
      </c>
    </row>
    <row r="1237" spans="1:6">
      <c r="A1237">
        <v>1236</v>
      </c>
      <c r="B1237" t="s">
        <v>4189</v>
      </c>
      <c r="C1237">
        <v>100000</v>
      </c>
      <c r="D1237">
        <v>0</v>
      </c>
      <c r="E1237" t="s">
        <v>16642</v>
      </c>
      <c r="F1237" s="96">
        <v>44932</v>
      </c>
    </row>
    <row r="1238" spans="1:6">
      <c r="A1238">
        <v>1237</v>
      </c>
      <c r="B1238" t="s">
        <v>4192</v>
      </c>
      <c r="C1238">
        <v>250</v>
      </c>
      <c r="D1238">
        <v>750</v>
      </c>
      <c r="E1238">
        <v>50</v>
      </c>
      <c r="F1238" s="73">
        <v>44938</v>
      </c>
    </row>
    <row r="1239" spans="1:6">
      <c r="A1239">
        <v>1238</v>
      </c>
      <c r="B1239" t="s">
        <v>4195</v>
      </c>
      <c r="C1239">
        <v>250</v>
      </c>
      <c r="D1239">
        <v>750</v>
      </c>
      <c r="E1239">
        <v>50</v>
      </c>
      <c r="F1239" s="69">
        <v>44839</v>
      </c>
    </row>
    <row r="1240" spans="1:6">
      <c r="A1240">
        <v>1239</v>
      </c>
      <c r="B1240" t="s">
        <v>4198</v>
      </c>
      <c r="C1240">
        <v>250</v>
      </c>
      <c r="D1240">
        <v>750</v>
      </c>
      <c r="E1240">
        <v>50</v>
      </c>
      <c r="F1240" s="60">
        <v>44879</v>
      </c>
    </row>
    <row r="1241" spans="1:6">
      <c r="A1241">
        <v>1240</v>
      </c>
      <c r="B1241" t="s">
        <v>4201</v>
      </c>
      <c r="C1241">
        <v>250</v>
      </c>
      <c r="D1241">
        <v>750</v>
      </c>
      <c r="E1241">
        <v>50</v>
      </c>
      <c r="F1241" s="61">
        <v>44886</v>
      </c>
    </row>
    <row r="1242" spans="1:6">
      <c r="A1242">
        <v>1241</v>
      </c>
      <c r="B1242" t="s">
        <v>4204</v>
      </c>
      <c r="C1242">
        <v>250</v>
      </c>
      <c r="D1242">
        <v>750</v>
      </c>
      <c r="E1242">
        <v>50</v>
      </c>
      <c r="F1242" s="60">
        <v>44965</v>
      </c>
    </row>
    <row r="1243" spans="1:6">
      <c r="A1243">
        <v>1242</v>
      </c>
      <c r="B1243" t="s">
        <v>4208</v>
      </c>
      <c r="C1243">
        <v>100000</v>
      </c>
      <c r="D1243">
        <v>0</v>
      </c>
      <c r="E1243" t="s">
        <v>16642</v>
      </c>
      <c r="F1243" s="66"/>
    </row>
    <row r="1244" spans="1:6">
      <c r="A1244">
        <v>1243</v>
      </c>
      <c r="B1244" t="s">
        <v>4213</v>
      </c>
      <c r="C1244">
        <v>750</v>
      </c>
      <c r="D1244">
        <v>250</v>
      </c>
      <c r="E1244">
        <v>50</v>
      </c>
      <c r="F1244" s="73">
        <v>44991</v>
      </c>
    </row>
    <row r="1245" spans="1:6">
      <c r="A1245">
        <v>1244</v>
      </c>
      <c r="B1245" t="s">
        <v>4217</v>
      </c>
      <c r="C1245">
        <v>250</v>
      </c>
      <c r="D1245">
        <v>750</v>
      </c>
      <c r="E1245">
        <v>50</v>
      </c>
      <c r="F1245" s="61">
        <v>44897</v>
      </c>
    </row>
    <row r="1246" spans="1:6">
      <c r="A1246">
        <v>1245</v>
      </c>
      <c r="B1246" t="s">
        <v>4220</v>
      </c>
      <c r="C1246">
        <v>250</v>
      </c>
      <c r="D1246">
        <v>750</v>
      </c>
      <c r="E1246">
        <v>50</v>
      </c>
      <c r="F1246" s="60">
        <v>44875</v>
      </c>
    </row>
    <row r="1247" spans="1:6">
      <c r="A1247">
        <v>1246</v>
      </c>
      <c r="B1247" t="s">
        <v>4223</v>
      </c>
      <c r="C1247">
        <v>250</v>
      </c>
      <c r="D1247">
        <v>750</v>
      </c>
      <c r="E1247">
        <v>50</v>
      </c>
      <c r="F1247" s="60">
        <v>44925</v>
      </c>
    </row>
    <row r="1248" spans="1:6">
      <c r="A1248">
        <v>1247</v>
      </c>
      <c r="B1248" t="s">
        <v>4226</v>
      </c>
      <c r="C1248">
        <v>1000</v>
      </c>
      <c r="D1248">
        <v>0</v>
      </c>
      <c r="E1248">
        <v>50</v>
      </c>
      <c r="F1248" s="60">
        <v>44844</v>
      </c>
    </row>
    <row r="1249" spans="1:6">
      <c r="A1249">
        <v>1248</v>
      </c>
      <c r="B1249" t="s">
        <v>4230</v>
      </c>
      <c r="C1249">
        <v>100000</v>
      </c>
      <c r="D1249">
        <v>0</v>
      </c>
      <c r="E1249" t="s">
        <v>16642</v>
      </c>
      <c r="F1249" s="66"/>
    </row>
    <row r="1250" spans="1:6">
      <c r="A1250">
        <v>1249</v>
      </c>
      <c r="B1250" t="s">
        <v>4234</v>
      </c>
      <c r="C1250">
        <v>250</v>
      </c>
      <c r="D1250">
        <v>750</v>
      </c>
      <c r="E1250">
        <v>50</v>
      </c>
      <c r="F1250" s="60">
        <v>45057</v>
      </c>
    </row>
    <row r="1251" spans="1:6">
      <c r="A1251">
        <v>1250</v>
      </c>
      <c r="B1251" t="s">
        <v>4237</v>
      </c>
      <c r="C1251">
        <v>250</v>
      </c>
      <c r="D1251">
        <v>750</v>
      </c>
      <c r="E1251">
        <v>50</v>
      </c>
      <c r="F1251" s="61">
        <v>44858</v>
      </c>
    </row>
    <row r="1252" spans="1:6">
      <c r="A1252">
        <v>1251</v>
      </c>
      <c r="B1252" t="s">
        <v>4240</v>
      </c>
      <c r="C1252">
        <v>250</v>
      </c>
      <c r="D1252">
        <v>750</v>
      </c>
      <c r="E1252">
        <v>50</v>
      </c>
      <c r="F1252" s="61">
        <v>44935</v>
      </c>
    </row>
    <row r="1253" spans="1:6">
      <c r="A1253">
        <v>1252</v>
      </c>
      <c r="B1253" t="s">
        <v>4243</v>
      </c>
      <c r="C1253">
        <v>250</v>
      </c>
      <c r="D1253">
        <v>750</v>
      </c>
      <c r="E1253">
        <v>50</v>
      </c>
      <c r="F1253" s="61">
        <v>44911</v>
      </c>
    </row>
    <row r="1254" spans="1:6">
      <c r="A1254">
        <v>1253</v>
      </c>
      <c r="B1254" t="s">
        <v>4246</v>
      </c>
      <c r="C1254">
        <v>250</v>
      </c>
      <c r="D1254">
        <v>750</v>
      </c>
      <c r="E1254">
        <v>50</v>
      </c>
      <c r="F1254" s="61">
        <v>44873</v>
      </c>
    </row>
    <row r="1255" spans="1:6">
      <c r="A1255">
        <v>1254</v>
      </c>
      <c r="B1255" t="s">
        <v>4250</v>
      </c>
      <c r="C1255">
        <v>250</v>
      </c>
      <c r="D1255">
        <v>750</v>
      </c>
      <c r="E1255">
        <v>50</v>
      </c>
      <c r="F1255" s="60">
        <v>44935</v>
      </c>
    </row>
    <row r="1256" spans="1:6">
      <c r="A1256">
        <v>1255</v>
      </c>
      <c r="B1256" t="s">
        <v>4254</v>
      </c>
      <c r="C1256">
        <v>250</v>
      </c>
      <c r="D1256">
        <v>750</v>
      </c>
      <c r="E1256">
        <v>50</v>
      </c>
      <c r="F1256" s="60">
        <v>44872</v>
      </c>
    </row>
    <row r="1257" spans="1:6">
      <c r="A1257">
        <v>1256</v>
      </c>
      <c r="B1257" t="s">
        <v>4257</v>
      </c>
      <c r="C1257">
        <v>250</v>
      </c>
      <c r="D1257">
        <v>750</v>
      </c>
      <c r="E1257">
        <v>50</v>
      </c>
      <c r="F1257" s="60">
        <v>44946</v>
      </c>
    </row>
    <row r="1258" spans="1:6">
      <c r="A1258">
        <v>1257</v>
      </c>
      <c r="B1258" t="s">
        <v>4260</v>
      </c>
      <c r="C1258">
        <v>250</v>
      </c>
      <c r="D1258">
        <v>750</v>
      </c>
      <c r="E1258">
        <v>50</v>
      </c>
      <c r="F1258" s="61">
        <v>44911</v>
      </c>
    </row>
    <row r="1259" spans="1:6">
      <c r="A1259">
        <v>1258</v>
      </c>
      <c r="B1259" t="s">
        <v>4263</v>
      </c>
      <c r="C1259">
        <v>250</v>
      </c>
      <c r="D1259">
        <v>750</v>
      </c>
      <c r="E1259">
        <v>50</v>
      </c>
      <c r="F1259" s="73">
        <v>45009</v>
      </c>
    </row>
    <row r="1260" spans="1:6">
      <c r="A1260">
        <v>1259</v>
      </c>
      <c r="B1260" t="s">
        <v>4266</v>
      </c>
      <c r="C1260">
        <v>250</v>
      </c>
      <c r="D1260">
        <v>750</v>
      </c>
      <c r="E1260">
        <v>50</v>
      </c>
      <c r="F1260" s="61">
        <v>44856</v>
      </c>
    </row>
    <row r="1261" spans="1:6">
      <c r="A1261">
        <v>1260</v>
      </c>
      <c r="B1261" t="s">
        <v>4269</v>
      </c>
      <c r="C1261">
        <v>250</v>
      </c>
      <c r="D1261">
        <v>750</v>
      </c>
      <c r="E1261">
        <v>50</v>
      </c>
      <c r="F1261" s="71">
        <v>44919</v>
      </c>
    </row>
    <row r="1262" spans="1:6">
      <c r="A1262">
        <v>1261</v>
      </c>
      <c r="B1262" t="s">
        <v>4272</v>
      </c>
      <c r="C1262">
        <v>48000</v>
      </c>
      <c r="D1262">
        <v>52000</v>
      </c>
      <c r="E1262">
        <v>5000</v>
      </c>
      <c r="F1262" s="65">
        <v>44524</v>
      </c>
    </row>
    <row r="1263" ht="15" spans="1:6">
      <c r="A1263">
        <v>1262</v>
      </c>
      <c r="B1263" t="s">
        <v>4276</v>
      </c>
      <c r="C1263">
        <v>1000000</v>
      </c>
      <c r="D1263">
        <v>500000</v>
      </c>
      <c r="E1263" t="s">
        <v>16642</v>
      </c>
      <c r="F1263" s="81">
        <f>IFERROR(__xludf.DUMMYFUNCTION("""COMPUTED_VALUE"""),45079)</f>
        <v>45079</v>
      </c>
    </row>
    <row r="1264" spans="1:6">
      <c r="A1264">
        <v>1263</v>
      </c>
      <c r="B1264" t="s">
        <v>4277</v>
      </c>
      <c r="C1264">
        <v>250</v>
      </c>
      <c r="D1264">
        <v>750</v>
      </c>
      <c r="E1264">
        <v>50</v>
      </c>
      <c r="F1264" s="73">
        <v>44839</v>
      </c>
    </row>
    <row r="1265" spans="1:6">
      <c r="A1265">
        <v>1264</v>
      </c>
      <c r="B1265" t="s">
        <v>4280</v>
      </c>
      <c r="C1265">
        <v>250</v>
      </c>
      <c r="D1265">
        <v>750</v>
      </c>
      <c r="E1265">
        <v>50</v>
      </c>
      <c r="F1265" s="60">
        <v>44844</v>
      </c>
    </row>
    <row r="1266" spans="1:6">
      <c r="A1266">
        <v>1265</v>
      </c>
      <c r="B1266" t="s">
        <v>4284</v>
      </c>
      <c r="C1266">
        <v>10000</v>
      </c>
      <c r="D1266">
        <v>0</v>
      </c>
      <c r="E1266">
        <v>500</v>
      </c>
      <c r="F1266" s="65">
        <v>44662</v>
      </c>
    </row>
    <row r="1267" spans="1:6">
      <c r="A1267">
        <v>1266</v>
      </c>
      <c r="B1267" t="s">
        <v>4288</v>
      </c>
      <c r="C1267">
        <v>250</v>
      </c>
      <c r="D1267">
        <v>750</v>
      </c>
      <c r="E1267">
        <v>50</v>
      </c>
      <c r="F1267" s="69">
        <v>44873</v>
      </c>
    </row>
    <row r="1268" spans="1:6">
      <c r="A1268">
        <v>1267</v>
      </c>
      <c r="B1268" t="s">
        <v>4292</v>
      </c>
      <c r="C1268">
        <v>100000</v>
      </c>
      <c r="D1268">
        <v>0</v>
      </c>
      <c r="E1268" t="s">
        <v>16642</v>
      </c>
      <c r="F1268" s="76">
        <v>44896</v>
      </c>
    </row>
    <row r="1269" spans="1:6">
      <c r="A1269">
        <v>1268</v>
      </c>
      <c r="B1269" t="s">
        <v>4296</v>
      </c>
      <c r="C1269">
        <v>250</v>
      </c>
      <c r="D1269">
        <v>750</v>
      </c>
      <c r="E1269">
        <v>50</v>
      </c>
      <c r="F1269" s="61">
        <v>44807</v>
      </c>
    </row>
    <row r="1270" spans="1:6">
      <c r="A1270">
        <v>1269</v>
      </c>
      <c r="B1270" t="s">
        <v>4299</v>
      </c>
      <c r="C1270">
        <v>20000</v>
      </c>
      <c r="D1270">
        <v>0</v>
      </c>
      <c r="E1270">
        <v>1000</v>
      </c>
      <c r="F1270" s="77">
        <v>44880</v>
      </c>
    </row>
    <row r="1271" spans="1:6">
      <c r="A1271">
        <v>1270</v>
      </c>
      <c r="B1271" t="s">
        <v>4302</v>
      </c>
      <c r="C1271">
        <v>250</v>
      </c>
      <c r="D1271">
        <v>750</v>
      </c>
      <c r="E1271">
        <v>50</v>
      </c>
      <c r="F1271" s="75">
        <v>44884</v>
      </c>
    </row>
    <row r="1272" spans="1:6">
      <c r="A1272">
        <v>1271</v>
      </c>
      <c r="B1272" t="s">
        <v>4305</v>
      </c>
      <c r="C1272">
        <v>10400</v>
      </c>
      <c r="D1272">
        <v>0</v>
      </c>
      <c r="E1272">
        <v>150</v>
      </c>
      <c r="F1272" s="83">
        <v>44698</v>
      </c>
    </row>
    <row r="1273" spans="1:6">
      <c r="A1273">
        <v>1272</v>
      </c>
      <c r="B1273" t="s">
        <v>4305</v>
      </c>
      <c r="C1273">
        <v>100000</v>
      </c>
      <c r="D1273">
        <v>0</v>
      </c>
      <c r="E1273" t="s">
        <v>16642</v>
      </c>
      <c r="F1273" s="96">
        <v>45019</v>
      </c>
    </row>
    <row r="1274" spans="1:6">
      <c r="A1274">
        <v>1273</v>
      </c>
      <c r="B1274" t="s">
        <v>4312</v>
      </c>
      <c r="C1274">
        <v>250</v>
      </c>
      <c r="D1274">
        <v>750</v>
      </c>
      <c r="E1274">
        <v>50</v>
      </c>
      <c r="F1274" s="60">
        <v>44925</v>
      </c>
    </row>
    <row r="1275" spans="1:6">
      <c r="A1275">
        <v>1274</v>
      </c>
      <c r="B1275" t="s">
        <v>4315</v>
      </c>
      <c r="C1275">
        <v>250</v>
      </c>
      <c r="D1275">
        <v>750</v>
      </c>
      <c r="E1275">
        <v>50</v>
      </c>
      <c r="F1275" s="77">
        <v>44778</v>
      </c>
    </row>
    <row r="1276" spans="1:6">
      <c r="A1276">
        <v>1275</v>
      </c>
      <c r="B1276" t="s">
        <v>4318</v>
      </c>
      <c r="C1276">
        <v>250</v>
      </c>
      <c r="D1276">
        <v>750</v>
      </c>
      <c r="E1276">
        <v>50</v>
      </c>
      <c r="F1276" s="61">
        <v>44947</v>
      </c>
    </row>
    <row r="1277" spans="1:6">
      <c r="A1277">
        <v>1276</v>
      </c>
      <c r="B1277" t="s">
        <v>4321</v>
      </c>
      <c r="C1277">
        <v>250</v>
      </c>
      <c r="D1277">
        <v>750</v>
      </c>
      <c r="E1277">
        <v>50</v>
      </c>
      <c r="F1277" s="61">
        <v>44905</v>
      </c>
    </row>
    <row r="1278" spans="1:6">
      <c r="A1278">
        <v>1277</v>
      </c>
      <c r="B1278" t="s">
        <v>4325</v>
      </c>
      <c r="C1278">
        <v>250</v>
      </c>
      <c r="D1278">
        <v>750</v>
      </c>
      <c r="E1278">
        <v>50</v>
      </c>
      <c r="F1278" s="60">
        <v>44875</v>
      </c>
    </row>
    <row r="1279" spans="1:6">
      <c r="A1279">
        <v>1278</v>
      </c>
      <c r="B1279" t="s">
        <v>4328</v>
      </c>
      <c r="C1279">
        <v>5000</v>
      </c>
      <c r="D1279">
        <v>0</v>
      </c>
      <c r="E1279">
        <v>250</v>
      </c>
      <c r="F1279" s="64" t="s">
        <v>16733</v>
      </c>
    </row>
    <row r="1280" spans="1:6">
      <c r="A1280">
        <v>1279</v>
      </c>
      <c r="B1280" t="s">
        <v>4333</v>
      </c>
      <c r="C1280">
        <v>100000</v>
      </c>
      <c r="D1280">
        <v>0</v>
      </c>
      <c r="E1280" t="s">
        <v>16642</v>
      </c>
      <c r="F1280" s="89"/>
    </row>
    <row r="1281" spans="1:6">
      <c r="A1281">
        <v>1280</v>
      </c>
      <c r="B1281" t="s">
        <v>4333</v>
      </c>
      <c r="C1281">
        <v>200000</v>
      </c>
      <c r="D1281">
        <v>0</v>
      </c>
      <c r="E1281" t="s">
        <v>16642</v>
      </c>
      <c r="F1281" s="85"/>
    </row>
    <row r="1282" spans="1:6">
      <c r="A1282">
        <v>1281</v>
      </c>
      <c r="B1282" t="s">
        <v>4337</v>
      </c>
      <c r="C1282">
        <v>1000</v>
      </c>
      <c r="D1282">
        <v>0</v>
      </c>
      <c r="E1282">
        <v>50</v>
      </c>
      <c r="F1282" s="64" t="s">
        <v>16665</v>
      </c>
    </row>
    <row r="1283" spans="1:6">
      <c r="A1283">
        <v>1282</v>
      </c>
      <c r="B1283" t="s">
        <v>4342</v>
      </c>
      <c r="C1283">
        <v>250</v>
      </c>
      <c r="D1283">
        <v>750</v>
      </c>
      <c r="E1283">
        <v>50</v>
      </c>
      <c r="F1283" s="61">
        <v>44811</v>
      </c>
    </row>
    <row r="1284" spans="1:6">
      <c r="A1284">
        <v>1283</v>
      </c>
      <c r="B1284" t="s">
        <v>4345</v>
      </c>
      <c r="C1284">
        <v>500</v>
      </c>
      <c r="D1284">
        <v>1500</v>
      </c>
      <c r="E1284">
        <v>100</v>
      </c>
      <c r="F1284" s="75">
        <v>44844</v>
      </c>
    </row>
    <row r="1285" spans="1:6">
      <c r="A1285">
        <v>1284</v>
      </c>
      <c r="B1285" t="s">
        <v>4348</v>
      </c>
      <c r="C1285">
        <v>250</v>
      </c>
      <c r="D1285">
        <v>750</v>
      </c>
      <c r="E1285">
        <v>50</v>
      </c>
      <c r="F1285" s="60">
        <v>44924</v>
      </c>
    </row>
    <row r="1286" spans="1:6">
      <c r="A1286">
        <v>1285</v>
      </c>
      <c r="B1286" t="s">
        <v>4351</v>
      </c>
      <c r="C1286">
        <v>1000</v>
      </c>
      <c r="D1286">
        <v>0</v>
      </c>
      <c r="E1286">
        <v>50</v>
      </c>
      <c r="F1286" s="73">
        <v>45027</v>
      </c>
    </row>
    <row r="1287" spans="1:6">
      <c r="A1287">
        <v>1286</v>
      </c>
      <c r="B1287" t="s">
        <v>4354</v>
      </c>
      <c r="C1287">
        <v>1000</v>
      </c>
      <c r="D1287">
        <v>3000</v>
      </c>
      <c r="E1287">
        <v>200</v>
      </c>
      <c r="F1287" s="60">
        <v>44880</v>
      </c>
    </row>
    <row r="1288" spans="1:6">
      <c r="A1288">
        <v>1287</v>
      </c>
      <c r="B1288" t="s">
        <v>4358</v>
      </c>
      <c r="C1288">
        <v>1000</v>
      </c>
      <c r="D1288">
        <v>0</v>
      </c>
      <c r="E1288">
        <v>50</v>
      </c>
      <c r="F1288" s="65">
        <v>44665</v>
      </c>
    </row>
    <row r="1289" spans="1:6">
      <c r="A1289">
        <v>1288</v>
      </c>
      <c r="B1289" t="s">
        <v>4362</v>
      </c>
      <c r="C1289">
        <v>200000</v>
      </c>
      <c r="D1289">
        <v>0</v>
      </c>
      <c r="E1289" t="s">
        <v>16642</v>
      </c>
      <c r="F1289" s="76">
        <v>44932</v>
      </c>
    </row>
    <row r="1290" spans="1:6">
      <c r="A1290">
        <v>1289</v>
      </c>
      <c r="B1290" t="s">
        <v>4367</v>
      </c>
      <c r="C1290">
        <v>250</v>
      </c>
      <c r="D1290">
        <v>750</v>
      </c>
      <c r="E1290">
        <v>50</v>
      </c>
      <c r="F1290" s="70">
        <v>44860</v>
      </c>
    </row>
    <row r="1291" spans="1:6">
      <c r="A1291">
        <v>1290</v>
      </c>
      <c r="B1291" t="s">
        <v>4370</v>
      </c>
      <c r="C1291">
        <v>250</v>
      </c>
      <c r="D1291">
        <v>750</v>
      </c>
      <c r="E1291">
        <v>50</v>
      </c>
      <c r="F1291" s="61">
        <v>44928</v>
      </c>
    </row>
    <row r="1292" spans="1:6">
      <c r="A1292">
        <v>1291</v>
      </c>
      <c r="B1292" t="s">
        <v>4373</v>
      </c>
      <c r="C1292">
        <v>250</v>
      </c>
      <c r="D1292">
        <v>750</v>
      </c>
      <c r="E1292">
        <v>50</v>
      </c>
      <c r="F1292" s="65">
        <v>44510</v>
      </c>
    </row>
    <row r="1293" spans="1:6">
      <c r="A1293">
        <v>1292</v>
      </c>
      <c r="B1293" t="s">
        <v>4377</v>
      </c>
      <c r="C1293">
        <v>250</v>
      </c>
      <c r="D1293">
        <v>750</v>
      </c>
      <c r="E1293">
        <v>50</v>
      </c>
      <c r="F1293" s="60">
        <v>44926</v>
      </c>
    </row>
    <row r="1294" spans="1:6">
      <c r="A1294">
        <v>1293</v>
      </c>
      <c r="B1294" t="s">
        <v>4380</v>
      </c>
      <c r="C1294">
        <v>2000</v>
      </c>
      <c r="D1294">
        <v>0</v>
      </c>
      <c r="E1294">
        <v>100</v>
      </c>
      <c r="F1294" s="77">
        <v>44768</v>
      </c>
    </row>
    <row r="1295" spans="1:6">
      <c r="A1295">
        <v>1294</v>
      </c>
      <c r="B1295" t="s">
        <v>4383</v>
      </c>
      <c r="C1295">
        <v>250</v>
      </c>
      <c r="D1295">
        <v>750</v>
      </c>
      <c r="E1295">
        <v>50</v>
      </c>
      <c r="F1295" s="61">
        <v>44914</v>
      </c>
    </row>
    <row r="1296" spans="1:6">
      <c r="A1296">
        <v>1295</v>
      </c>
      <c r="B1296" t="s">
        <v>4386</v>
      </c>
      <c r="C1296">
        <v>5000</v>
      </c>
      <c r="D1296">
        <v>0</v>
      </c>
      <c r="E1296">
        <v>250</v>
      </c>
      <c r="F1296" s="65">
        <v>44514</v>
      </c>
    </row>
    <row r="1297" spans="1:6">
      <c r="A1297">
        <v>1296</v>
      </c>
      <c r="B1297" t="s">
        <v>4391</v>
      </c>
      <c r="C1297">
        <v>250</v>
      </c>
      <c r="D1297">
        <v>750</v>
      </c>
      <c r="E1297">
        <v>50</v>
      </c>
      <c r="F1297" s="60">
        <v>44866</v>
      </c>
    </row>
    <row r="1298" spans="1:6">
      <c r="A1298">
        <v>1297</v>
      </c>
      <c r="B1298" t="s">
        <v>4394</v>
      </c>
      <c r="C1298">
        <v>250</v>
      </c>
      <c r="D1298">
        <v>750</v>
      </c>
      <c r="E1298">
        <v>50</v>
      </c>
      <c r="F1298" s="61">
        <v>44856</v>
      </c>
    </row>
    <row r="1299" spans="1:6">
      <c r="A1299">
        <v>1298</v>
      </c>
      <c r="B1299" t="s">
        <v>4397</v>
      </c>
      <c r="C1299">
        <v>250</v>
      </c>
      <c r="D1299">
        <v>750</v>
      </c>
      <c r="E1299">
        <v>50</v>
      </c>
      <c r="F1299" s="61">
        <v>45012</v>
      </c>
    </row>
    <row r="1300" spans="1:6">
      <c r="A1300">
        <v>1299</v>
      </c>
      <c r="B1300" t="s">
        <v>4400</v>
      </c>
      <c r="C1300">
        <v>250</v>
      </c>
      <c r="D1300">
        <v>750</v>
      </c>
      <c r="E1300">
        <v>50</v>
      </c>
      <c r="F1300" s="61">
        <v>44883</v>
      </c>
    </row>
    <row r="1301" spans="1:6">
      <c r="A1301">
        <v>1300</v>
      </c>
      <c r="B1301" t="s">
        <v>4403</v>
      </c>
      <c r="C1301">
        <v>250</v>
      </c>
      <c r="D1301">
        <v>750</v>
      </c>
      <c r="E1301">
        <v>50</v>
      </c>
      <c r="F1301" s="69">
        <v>44900</v>
      </c>
    </row>
    <row r="1302" spans="1:6">
      <c r="A1302">
        <v>1301</v>
      </c>
      <c r="B1302" t="s">
        <v>4406</v>
      </c>
      <c r="C1302">
        <v>250</v>
      </c>
      <c r="D1302">
        <v>750</v>
      </c>
      <c r="E1302">
        <v>50</v>
      </c>
      <c r="F1302" s="61">
        <v>44861</v>
      </c>
    </row>
    <row r="1303" spans="1:6">
      <c r="A1303">
        <v>1302</v>
      </c>
      <c r="B1303" t="s">
        <v>4409</v>
      </c>
      <c r="C1303">
        <v>250</v>
      </c>
      <c r="D1303">
        <v>750</v>
      </c>
      <c r="E1303">
        <v>50</v>
      </c>
      <c r="F1303" s="61">
        <v>44922</v>
      </c>
    </row>
    <row r="1304" spans="1:6">
      <c r="A1304">
        <v>1303</v>
      </c>
      <c r="B1304" t="s">
        <v>4412</v>
      </c>
      <c r="C1304">
        <v>250</v>
      </c>
      <c r="D1304">
        <v>750</v>
      </c>
      <c r="E1304">
        <v>50</v>
      </c>
      <c r="F1304" s="75">
        <v>44866</v>
      </c>
    </row>
    <row r="1305" spans="1:6">
      <c r="A1305">
        <v>1304</v>
      </c>
      <c r="B1305" t="s">
        <v>4415</v>
      </c>
      <c r="C1305">
        <v>250</v>
      </c>
      <c r="D1305">
        <v>750</v>
      </c>
      <c r="E1305">
        <v>50</v>
      </c>
      <c r="F1305" s="60">
        <v>44851</v>
      </c>
    </row>
    <row r="1306" spans="1:6">
      <c r="A1306">
        <v>1305</v>
      </c>
      <c r="B1306" t="s">
        <v>4418</v>
      </c>
      <c r="C1306">
        <v>250</v>
      </c>
      <c r="D1306">
        <v>750</v>
      </c>
      <c r="E1306">
        <v>50</v>
      </c>
      <c r="F1306" s="61">
        <v>45045</v>
      </c>
    </row>
    <row r="1307" spans="1:6">
      <c r="A1307">
        <v>1306</v>
      </c>
      <c r="B1307" t="s">
        <v>4421</v>
      </c>
      <c r="C1307">
        <v>250</v>
      </c>
      <c r="D1307">
        <v>750</v>
      </c>
      <c r="E1307">
        <v>50</v>
      </c>
      <c r="F1307" s="78">
        <v>44926</v>
      </c>
    </row>
    <row r="1308" spans="1:6">
      <c r="A1308">
        <v>1307</v>
      </c>
      <c r="B1308" t="s">
        <v>4424</v>
      </c>
      <c r="C1308">
        <v>4500</v>
      </c>
      <c r="D1308">
        <v>0</v>
      </c>
      <c r="E1308">
        <v>225</v>
      </c>
      <c r="F1308" s="64" t="s">
        <v>16707</v>
      </c>
    </row>
    <row r="1309" spans="1:6">
      <c r="A1309">
        <v>1308</v>
      </c>
      <c r="B1309" t="s">
        <v>4428</v>
      </c>
      <c r="C1309">
        <v>250</v>
      </c>
      <c r="D1309">
        <v>750</v>
      </c>
      <c r="E1309">
        <v>50</v>
      </c>
      <c r="F1309" s="61">
        <v>44992</v>
      </c>
    </row>
    <row r="1310" spans="1:6">
      <c r="A1310">
        <v>1309</v>
      </c>
      <c r="B1310" t="s">
        <v>4432</v>
      </c>
      <c r="C1310">
        <v>1000</v>
      </c>
      <c r="D1310">
        <v>0</v>
      </c>
      <c r="E1310">
        <v>50</v>
      </c>
      <c r="F1310" s="120">
        <v>44919</v>
      </c>
    </row>
    <row r="1311" spans="1:6">
      <c r="A1311">
        <v>1310</v>
      </c>
      <c r="B1311" t="s">
        <v>4432</v>
      </c>
      <c r="C1311">
        <v>4000</v>
      </c>
      <c r="D1311">
        <v>0</v>
      </c>
      <c r="E1311">
        <v>200</v>
      </c>
      <c r="F1311" s="121">
        <v>45080</v>
      </c>
    </row>
    <row r="1312" spans="1:6">
      <c r="A1312">
        <v>1311</v>
      </c>
      <c r="B1312" t="s">
        <v>4437</v>
      </c>
      <c r="C1312">
        <v>100000</v>
      </c>
      <c r="D1312">
        <v>0</v>
      </c>
      <c r="E1312" t="s">
        <v>16642</v>
      </c>
      <c r="F1312" s="76">
        <v>44894</v>
      </c>
    </row>
    <row r="1313" spans="1:6">
      <c r="A1313">
        <v>1312</v>
      </c>
      <c r="B1313" t="s">
        <v>4441</v>
      </c>
      <c r="C1313">
        <v>1000</v>
      </c>
      <c r="D1313">
        <v>0</v>
      </c>
      <c r="E1313">
        <v>50</v>
      </c>
      <c r="F1313" s="74">
        <v>44940</v>
      </c>
    </row>
    <row r="1314" spans="1:6">
      <c r="A1314">
        <v>1313</v>
      </c>
      <c r="B1314" t="s">
        <v>4444</v>
      </c>
      <c r="C1314">
        <v>20000</v>
      </c>
      <c r="D1314">
        <v>0</v>
      </c>
      <c r="E1314">
        <v>1000</v>
      </c>
      <c r="F1314" s="65">
        <v>44663</v>
      </c>
    </row>
    <row r="1315" spans="1:6">
      <c r="A1315">
        <v>1314</v>
      </c>
      <c r="B1315" t="s">
        <v>4448</v>
      </c>
      <c r="C1315">
        <v>1000</v>
      </c>
      <c r="D1315">
        <v>0</v>
      </c>
      <c r="E1315">
        <v>50</v>
      </c>
      <c r="F1315" s="69">
        <v>44870</v>
      </c>
    </row>
    <row r="1316" spans="1:6">
      <c r="A1316">
        <v>1315</v>
      </c>
      <c r="B1316" t="s">
        <v>4452</v>
      </c>
      <c r="C1316">
        <v>250</v>
      </c>
      <c r="D1316">
        <v>750</v>
      </c>
      <c r="E1316">
        <v>50</v>
      </c>
      <c r="F1316" s="60">
        <v>44845</v>
      </c>
    </row>
    <row r="1317" spans="1:6">
      <c r="A1317">
        <v>1316</v>
      </c>
      <c r="B1317" t="s">
        <v>4456</v>
      </c>
      <c r="C1317">
        <v>250</v>
      </c>
      <c r="D1317">
        <v>750</v>
      </c>
      <c r="E1317">
        <v>50</v>
      </c>
      <c r="F1317" s="60">
        <v>44893</v>
      </c>
    </row>
    <row r="1318" spans="1:6">
      <c r="A1318">
        <v>1317</v>
      </c>
      <c r="B1318" t="s">
        <v>4460</v>
      </c>
      <c r="C1318">
        <v>250</v>
      </c>
      <c r="D1318">
        <v>750</v>
      </c>
      <c r="E1318">
        <v>50</v>
      </c>
      <c r="F1318" s="60">
        <v>44844</v>
      </c>
    </row>
    <row r="1319" spans="1:6">
      <c r="A1319">
        <v>1318</v>
      </c>
      <c r="B1319" t="s">
        <v>4463</v>
      </c>
      <c r="C1319">
        <v>250</v>
      </c>
      <c r="D1319">
        <v>750</v>
      </c>
      <c r="E1319">
        <v>50</v>
      </c>
      <c r="F1319" s="60">
        <v>44931</v>
      </c>
    </row>
    <row r="1320" spans="1:6">
      <c r="A1320">
        <v>1319</v>
      </c>
      <c r="B1320" t="s">
        <v>4466</v>
      </c>
      <c r="C1320">
        <v>250</v>
      </c>
      <c r="D1320">
        <v>750</v>
      </c>
      <c r="E1320">
        <v>50</v>
      </c>
      <c r="F1320" s="73">
        <v>45079</v>
      </c>
    </row>
    <row r="1321" spans="1:6">
      <c r="A1321">
        <v>1320</v>
      </c>
      <c r="B1321" t="s">
        <v>4469</v>
      </c>
      <c r="C1321">
        <v>250</v>
      </c>
      <c r="D1321">
        <v>750</v>
      </c>
      <c r="E1321">
        <v>50</v>
      </c>
      <c r="F1321" s="75">
        <v>44806</v>
      </c>
    </row>
    <row r="1322" spans="1:6">
      <c r="A1322">
        <v>1321</v>
      </c>
      <c r="B1322" t="s">
        <v>4472</v>
      </c>
      <c r="C1322">
        <v>250</v>
      </c>
      <c r="D1322">
        <v>750</v>
      </c>
      <c r="E1322">
        <v>50</v>
      </c>
      <c r="F1322" s="61">
        <v>44866</v>
      </c>
    </row>
    <row r="1323" spans="1:6">
      <c r="A1323">
        <v>1322</v>
      </c>
      <c r="B1323" t="s">
        <v>4476</v>
      </c>
      <c r="C1323">
        <v>250</v>
      </c>
      <c r="D1323">
        <v>750</v>
      </c>
      <c r="E1323">
        <v>50</v>
      </c>
      <c r="F1323" s="72">
        <v>44881</v>
      </c>
    </row>
    <row r="1324" spans="1:6">
      <c r="A1324">
        <v>1323</v>
      </c>
      <c r="B1324" t="s">
        <v>4480</v>
      </c>
      <c r="C1324">
        <v>250</v>
      </c>
      <c r="D1324">
        <v>750</v>
      </c>
      <c r="E1324">
        <v>50</v>
      </c>
      <c r="F1324" s="70">
        <v>44855</v>
      </c>
    </row>
    <row r="1325" spans="1:6">
      <c r="A1325">
        <v>1324</v>
      </c>
      <c r="B1325" t="s">
        <v>4483</v>
      </c>
      <c r="C1325">
        <v>250</v>
      </c>
      <c r="D1325">
        <v>750</v>
      </c>
      <c r="E1325">
        <v>50</v>
      </c>
      <c r="F1325" s="61">
        <v>44864</v>
      </c>
    </row>
    <row r="1326" spans="1:6">
      <c r="A1326">
        <v>1325</v>
      </c>
      <c r="B1326" t="s">
        <v>4486</v>
      </c>
      <c r="C1326">
        <v>500</v>
      </c>
      <c r="D1326">
        <v>1500</v>
      </c>
      <c r="E1326">
        <v>100</v>
      </c>
      <c r="F1326" s="69">
        <v>44691</v>
      </c>
    </row>
    <row r="1327" spans="1:6">
      <c r="A1327">
        <v>1326</v>
      </c>
      <c r="B1327" t="s">
        <v>4489</v>
      </c>
      <c r="C1327">
        <v>250</v>
      </c>
      <c r="D1327">
        <v>750</v>
      </c>
      <c r="E1327">
        <v>50</v>
      </c>
      <c r="F1327" s="60">
        <v>44839</v>
      </c>
    </row>
    <row r="1328" spans="1:6">
      <c r="A1328">
        <v>1327</v>
      </c>
      <c r="B1328" t="s">
        <v>4492</v>
      </c>
      <c r="C1328">
        <v>250</v>
      </c>
      <c r="D1328">
        <v>750</v>
      </c>
      <c r="E1328">
        <v>50</v>
      </c>
      <c r="F1328" s="73">
        <v>44931</v>
      </c>
    </row>
    <row r="1329" spans="1:6">
      <c r="A1329">
        <v>1328</v>
      </c>
      <c r="B1329" t="s">
        <v>4495</v>
      </c>
      <c r="C1329">
        <v>250</v>
      </c>
      <c r="D1329">
        <v>750</v>
      </c>
      <c r="E1329">
        <v>50</v>
      </c>
      <c r="F1329" s="61">
        <v>44914</v>
      </c>
    </row>
    <row r="1330" spans="1:6">
      <c r="A1330">
        <v>1329</v>
      </c>
      <c r="B1330" t="s">
        <v>4498</v>
      </c>
      <c r="C1330">
        <v>250</v>
      </c>
      <c r="D1330">
        <v>750</v>
      </c>
      <c r="E1330">
        <v>50</v>
      </c>
      <c r="F1330" s="60">
        <v>44888</v>
      </c>
    </row>
    <row r="1331" spans="1:6">
      <c r="A1331">
        <v>1330</v>
      </c>
      <c r="B1331" t="s">
        <v>4502</v>
      </c>
      <c r="C1331">
        <v>250</v>
      </c>
      <c r="D1331">
        <v>750</v>
      </c>
      <c r="E1331">
        <v>50</v>
      </c>
      <c r="F1331" s="61">
        <v>44911</v>
      </c>
    </row>
    <row r="1332" spans="1:6">
      <c r="A1332">
        <v>1331</v>
      </c>
      <c r="B1332" t="s">
        <v>4506</v>
      </c>
      <c r="C1332">
        <v>250</v>
      </c>
      <c r="D1332">
        <v>750</v>
      </c>
      <c r="E1332">
        <v>50</v>
      </c>
      <c r="F1332" s="60">
        <v>44866</v>
      </c>
    </row>
    <row r="1333" spans="1:6">
      <c r="A1333">
        <v>1332</v>
      </c>
      <c r="B1333" t="s">
        <v>4509</v>
      </c>
      <c r="C1333">
        <v>250</v>
      </c>
      <c r="D1333">
        <v>750</v>
      </c>
      <c r="E1333">
        <v>50</v>
      </c>
      <c r="F1333" s="70">
        <v>45015</v>
      </c>
    </row>
    <row r="1334" spans="1:6">
      <c r="A1334">
        <v>1333</v>
      </c>
      <c r="B1334" t="s">
        <v>4512</v>
      </c>
      <c r="C1334">
        <v>250</v>
      </c>
      <c r="D1334">
        <v>750</v>
      </c>
      <c r="E1334">
        <v>50</v>
      </c>
      <c r="F1334" s="72">
        <v>44965</v>
      </c>
    </row>
    <row r="1335" spans="1:6">
      <c r="A1335">
        <v>1334</v>
      </c>
      <c r="B1335" t="s">
        <v>4515</v>
      </c>
      <c r="C1335">
        <v>250</v>
      </c>
      <c r="D1335">
        <v>750</v>
      </c>
      <c r="E1335">
        <v>50</v>
      </c>
      <c r="F1335" s="61">
        <v>44858</v>
      </c>
    </row>
    <row r="1336" spans="1:6">
      <c r="A1336">
        <v>1335</v>
      </c>
      <c r="B1336" t="s">
        <v>4518</v>
      </c>
      <c r="C1336">
        <v>250</v>
      </c>
      <c r="D1336">
        <v>750</v>
      </c>
      <c r="E1336">
        <v>50</v>
      </c>
      <c r="F1336" s="60">
        <v>45015</v>
      </c>
    </row>
    <row r="1337" spans="1:6">
      <c r="A1337">
        <v>1336</v>
      </c>
      <c r="B1337" t="s">
        <v>4521</v>
      </c>
      <c r="C1337">
        <v>5000</v>
      </c>
      <c r="D1337">
        <v>15000</v>
      </c>
      <c r="E1337">
        <v>1000</v>
      </c>
      <c r="F1337" s="77">
        <v>44877</v>
      </c>
    </row>
    <row r="1338" spans="1:6">
      <c r="A1338">
        <v>1337</v>
      </c>
      <c r="B1338" t="s">
        <v>4524</v>
      </c>
      <c r="C1338">
        <v>250</v>
      </c>
      <c r="D1338">
        <v>750</v>
      </c>
      <c r="E1338">
        <v>50</v>
      </c>
      <c r="F1338" s="60">
        <v>44882</v>
      </c>
    </row>
    <row r="1339" spans="1:6">
      <c r="A1339">
        <v>1338</v>
      </c>
      <c r="B1339" t="s">
        <v>4528</v>
      </c>
      <c r="C1339">
        <v>250</v>
      </c>
      <c r="D1339">
        <v>750</v>
      </c>
      <c r="E1339">
        <v>50</v>
      </c>
      <c r="F1339" s="61">
        <v>44886</v>
      </c>
    </row>
    <row r="1340" spans="1:6">
      <c r="A1340">
        <v>1339</v>
      </c>
      <c r="B1340" t="s">
        <v>4532</v>
      </c>
      <c r="C1340">
        <v>250</v>
      </c>
      <c r="D1340">
        <v>750</v>
      </c>
      <c r="E1340">
        <v>50</v>
      </c>
      <c r="F1340" s="60">
        <v>45055</v>
      </c>
    </row>
    <row r="1341" spans="1:6">
      <c r="A1341">
        <v>1340</v>
      </c>
      <c r="B1341" t="s">
        <v>4536</v>
      </c>
      <c r="C1341">
        <v>25000</v>
      </c>
      <c r="D1341">
        <v>75000</v>
      </c>
      <c r="E1341">
        <v>5000</v>
      </c>
      <c r="F1341" s="67">
        <v>45054</v>
      </c>
    </row>
    <row r="1342" ht="31.5" spans="1:6">
      <c r="A1342">
        <v>1341</v>
      </c>
      <c r="B1342" t="s">
        <v>4539</v>
      </c>
      <c r="C1342">
        <v>3500</v>
      </c>
      <c r="D1342">
        <v>7500</v>
      </c>
      <c r="E1342">
        <v>550</v>
      </c>
      <c r="F1342" s="122" t="s">
        <v>16734</v>
      </c>
    </row>
    <row r="1343" spans="1:6">
      <c r="A1343">
        <v>1342</v>
      </c>
      <c r="B1343" t="s">
        <v>4543</v>
      </c>
      <c r="C1343">
        <v>250</v>
      </c>
      <c r="D1343">
        <v>750</v>
      </c>
      <c r="E1343">
        <v>50</v>
      </c>
      <c r="F1343" s="61">
        <v>44873</v>
      </c>
    </row>
    <row r="1344" spans="1:6">
      <c r="A1344">
        <v>1343</v>
      </c>
      <c r="B1344" t="s">
        <v>4547</v>
      </c>
      <c r="C1344">
        <v>250</v>
      </c>
      <c r="D1344">
        <v>750</v>
      </c>
      <c r="E1344">
        <v>50</v>
      </c>
      <c r="F1344" s="71">
        <v>44925</v>
      </c>
    </row>
    <row r="1345" spans="1:6">
      <c r="A1345">
        <v>1344</v>
      </c>
      <c r="B1345" t="s">
        <v>4550</v>
      </c>
      <c r="C1345">
        <v>250</v>
      </c>
      <c r="D1345">
        <v>750</v>
      </c>
      <c r="E1345">
        <v>50</v>
      </c>
      <c r="F1345" s="60">
        <v>45015</v>
      </c>
    </row>
    <row r="1346" spans="1:6">
      <c r="A1346">
        <v>1345</v>
      </c>
      <c r="B1346" t="s">
        <v>4553</v>
      </c>
      <c r="C1346">
        <v>1000</v>
      </c>
      <c r="D1346">
        <v>0</v>
      </c>
      <c r="E1346">
        <v>50</v>
      </c>
      <c r="F1346" s="73">
        <v>45090</v>
      </c>
    </row>
    <row r="1347" spans="1:6">
      <c r="A1347">
        <v>1346</v>
      </c>
      <c r="B1347" t="s">
        <v>4557</v>
      </c>
      <c r="C1347">
        <v>250</v>
      </c>
      <c r="D1347">
        <v>750</v>
      </c>
      <c r="E1347">
        <v>50</v>
      </c>
      <c r="F1347" s="61">
        <v>44986</v>
      </c>
    </row>
    <row r="1348" spans="1:6">
      <c r="A1348">
        <v>1347</v>
      </c>
      <c r="B1348" t="s">
        <v>4561</v>
      </c>
      <c r="C1348">
        <v>250</v>
      </c>
      <c r="D1348">
        <v>750</v>
      </c>
      <c r="E1348">
        <v>50</v>
      </c>
      <c r="F1348" s="60">
        <v>44930</v>
      </c>
    </row>
    <row r="1349" spans="1:6">
      <c r="A1349">
        <v>1348</v>
      </c>
      <c r="B1349" t="s">
        <v>4564</v>
      </c>
      <c r="C1349">
        <v>250</v>
      </c>
      <c r="D1349">
        <v>750</v>
      </c>
      <c r="E1349">
        <v>50</v>
      </c>
      <c r="F1349" s="60">
        <v>44986</v>
      </c>
    </row>
    <row r="1350" spans="1:6">
      <c r="A1350">
        <v>1349</v>
      </c>
      <c r="B1350" t="s">
        <v>4568</v>
      </c>
      <c r="C1350">
        <v>250</v>
      </c>
      <c r="D1350">
        <v>750</v>
      </c>
      <c r="E1350">
        <v>50</v>
      </c>
      <c r="F1350" s="60">
        <v>44909</v>
      </c>
    </row>
    <row r="1351" spans="1:6">
      <c r="A1351">
        <v>1350</v>
      </c>
      <c r="B1351" t="s">
        <v>4572</v>
      </c>
      <c r="C1351">
        <v>1000</v>
      </c>
      <c r="D1351">
        <v>0</v>
      </c>
      <c r="E1351">
        <v>50</v>
      </c>
      <c r="F1351" s="60">
        <v>44915</v>
      </c>
    </row>
    <row r="1352" spans="1:6">
      <c r="A1352">
        <v>1351</v>
      </c>
      <c r="B1352" t="s">
        <v>4575</v>
      </c>
      <c r="C1352">
        <v>1000</v>
      </c>
      <c r="D1352">
        <v>0</v>
      </c>
      <c r="E1352">
        <v>50</v>
      </c>
      <c r="F1352" s="61">
        <v>44960</v>
      </c>
    </row>
    <row r="1353" spans="1:6">
      <c r="A1353">
        <v>1352</v>
      </c>
      <c r="B1353" t="s">
        <v>4578</v>
      </c>
      <c r="C1353">
        <v>250</v>
      </c>
      <c r="D1353">
        <v>750</v>
      </c>
      <c r="E1353">
        <v>50</v>
      </c>
      <c r="F1353" s="61">
        <v>44898</v>
      </c>
    </row>
    <row r="1354" spans="1:6">
      <c r="A1354">
        <v>1353</v>
      </c>
      <c r="B1354" t="s">
        <v>4582</v>
      </c>
      <c r="C1354">
        <v>100000</v>
      </c>
      <c r="D1354">
        <v>0</v>
      </c>
      <c r="E1354" t="s">
        <v>16642</v>
      </c>
      <c r="F1354" s="66"/>
    </row>
    <row r="1355" spans="1:6">
      <c r="A1355">
        <v>1354</v>
      </c>
      <c r="B1355" t="s">
        <v>4586</v>
      </c>
      <c r="C1355">
        <v>25000</v>
      </c>
      <c r="D1355">
        <v>0</v>
      </c>
      <c r="E1355">
        <v>1250</v>
      </c>
      <c r="F1355" s="65">
        <v>44691</v>
      </c>
    </row>
    <row r="1356" spans="1:6">
      <c r="A1356">
        <v>1355</v>
      </c>
      <c r="B1356" t="s">
        <v>4590</v>
      </c>
      <c r="C1356">
        <v>25000</v>
      </c>
      <c r="D1356">
        <v>0</v>
      </c>
      <c r="E1356">
        <v>1250</v>
      </c>
      <c r="F1356" s="65">
        <v>44691</v>
      </c>
    </row>
    <row r="1357" spans="1:6">
      <c r="A1357">
        <v>1356</v>
      </c>
      <c r="B1357" t="s">
        <v>4593</v>
      </c>
      <c r="C1357">
        <v>250</v>
      </c>
      <c r="D1357">
        <v>750</v>
      </c>
      <c r="E1357">
        <v>50</v>
      </c>
      <c r="F1357" s="70">
        <v>44912</v>
      </c>
    </row>
    <row r="1358" spans="1:6">
      <c r="A1358">
        <v>1357</v>
      </c>
      <c r="B1358" t="s">
        <v>4596</v>
      </c>
      <c r="C1358">
        <v>10000</v>
      </c>
      <c r="D1358">
        <v>0</v>
      </c>
      <c r="E1358">
        <v>500</v>
      </c>
      <c r="F1358" s="67">
        <v>44963</v>
      </c>
    </row>
    <row r="1359" spans="1:6">
      <c r="A1359">
        <v>1358</v>
      </c>
      <c r="B1359" t="s">
        <v>4599</v>
      </c>
      <c r="C1359">
        <v>100000</v>
      </c>
      <c r="D1359">
        <v>0</v>
      </c>
      <c r="E1359" t="s">
        <v>16642</v>
      </c>
      <c r="F1359" s="100"/>
    </row>
    <row r="1360" spans="1:6">
      <c r="A1360">
        <v>1359</v>
      </c>
      <c r="B1360" t="s">
        <v>4603</v>
      </c>
      <c r="C1360">
        <v>100000</v>
      </c>
      <c r="D1360">
        <v>0</v>
      </c>
      <c r="E1360" t="s">
        <v>16642</v>
      </c>
      <c r="F1360" s="66"/>
    </row>
    <row r="1361" spans="1:6">
      <c r="A1361">
        <v>1360</v>
      </c>
      <c r="B1361" t="s">
        <v>4608</v>
      </c>
      <c r="C1361">
        <v>100000</v>
      </c>
      <c r="D1361">
        <v>0</v>
      </c>
      <c r="E1361" t="s">
        <v>16642</v>
      </c>
      <c r="F1361" s="76">
        <v>44917</v>
      </c>
    </row>
    <row r="1362" spans="1:6">
      <c r="A1362">
        <v>1361</v>
      </c>
      <c r="B1362" t="s">
        <v>4613</v>
      </c>
      <c r="C1362">
        <v>100000</v>
      </c>
      <c r="D1362">
        <v>0</v>
      </c>
      <c r="E1362" t="s">
        <v>16642</v>
      </c>
      <c r="F1362" s="76">
        <v>44881</v>
      </c>
    </row>
    <row r="1363" spans="1:6">
      <c r="A1363">
        <v>1362</v>
      </c>
      <c r="B1363" t="s">
        <v>4618</v>
      </c>
      <c r="C1363">
        <v>100000</v>
      </c>
      <c r="D1363">
        <v>0</v>
      </c>
      <c r="E1363" t="s">
        <v>16642</v>
      </c>
      <c r="F1363" s="82">
        <v>44805</v>
      </c>
    </row>
    <row r="1364" spans="1:6">
      <c r="A1364">
        <v>1363</v>
      </c>
      <c r="B1364" t="s">
        <v>4623</v>
      </c>
      <c r="C1364">
        <v>1000</v>
      </c>
      <c r="D1364">
        <v>0</v>
      </c>
      <c r="E1364">
        <v>50</v>
      </c>
      <c r="F1364" s="64" t="s">
        <v>16735</v>
      </c>
    </row>
    <row r="1365" ht="15" spans="1:6">
      <c r="A1365">
        <v>1364</v>
      </c>
      <c r="B1365" t="s">
        <v>4626</v>
      </c>
      <c r="C1365">
        <v>200000</v>
      </c>
      <c r="D1365">
        <v>3300000</v>
      </c>
      <c r="E1365" t="s">
        <v>16642</v>
      </c>
      <c r="F1365" s="92">
        <v>45143</v>
      </c>
    </row>
    <row r="1366" spans="1:6">
      <c r="A1366">
        <v>1365</v>
      </c>
      <c r="B1366" t="s">
        <v>4630</v>
      </c>
      <c r="C1366">
        <v>2000</v>
      </c>
      <c r="D1366">
        <v>0</v>
      </c>
      <c r="E1366">
        <v>100</v>
      </c>
      <c r="F1366" s="64" t="s">
        <v>16736</v>
      </c>
    </row>
    <row r="1367" spans="1:6">
      <c r="A1367">
        <v>1366</v>
      </c>
      <c r="B1367" t="s">
        <v>4634</v>
      </c>
      <c r="C1367">
        <v>1000</v>
      </c>
      <c r="D1367">
        <v>0</v>
      </c>
      <c r="E1367">
        <v>50</v>
      </c>
      <c r="F1367" s="64" t="s">
        <v>16737</v>
      </c>
    </row>
    <row r="1368" spans="1:6">
      <c r="A1368">
        <v>1367</v>
      </c>
      <c r="B1368" t="s">
        <v>4637</v>
      </c>
      <c r="C1368">
        <v>500</v>
      </c>
      <c r="D1368">
        <v>500</v>
      </c>
      <c r="E1368">
        <v>50</v>
      </c>
      <c r="F1368" s="61">
        <v>44858</v>
      </c>
    </row>
    <row r="1369" ht="15" spans="1:6">
      <c r="A1369">
        <v>1368</v>
      </c>
      <c r="B1369" t="s">
        <v>4640</v>
      </c>
      <c r="C1369">
        <v>1000000</v>
      </c>
      <c r="D1369">
        <v>500000</v>
      </c>
      <c r="E1369" t="s">
        <v>16642</v>
      </c>
      <c r="F1369" s="81">
        <f>IFERROR(__xludf.DUMMYFUNCTION("""COMPUTED_VALUE"""),45083)</f>
        <v>45083</v>
      </c>
    </row>
    <row r="1370" ht="15" spans="1:6">
      <c r="A1370">
        <v>1369</v>
      </c>
      <c r="B1370" t="s">
        <v>4641</v>
      </c>
      <c r="C1370">
        <v>3000000</v>
      </c>
      <c r="D1370">
        <v>500000</v>
      </c>
      <c r="E1370" t="s">
        <v>16642</v>
      </c>
      <c r="F1370" s="92">
        <v>45129</v>
      </c>
    </row>
    <row r="1371" spans="1:6">
      <c r="A1371">
        <v>1370</v>
      </c>
      <c r="B1371" t="s">
        <v>4645</v>
      </c>
      <c r="C1371">
        <v>24000</v>
      </c>
      <c r="D1371">
        <v>0</v>
      </c>
      <c r="E1371">
        <v>1200</v>
      </c>
      <c r="F1371" s="64" t="s">
        <v>16738</v>
      </c>
    </row>
    <row r="1372" spans="1:6">
      <c r="A1372">
        <v>1371</v>
      </c>
      <c r="B1372" t="s">
        <v>4650</v>
      </c>
      <c r="C1372">
        <v>2500</v>
      </c>
      <c r="D1372">
        <v>7500</v>
      </c>
      <c r="E1372">
        <v>500</v>
      </c>
      <c r="F1372" s="64" t="s">
        <v>16739</v>
      </c>
    </row>
    <row r="1373" spans="1:6">
      <c r="A1373">
        <v>1372</v>
      </c>
      <c r="B1373" t="s">
        <v>4654</v>
      </c>
      <c r="C1373">
        <v>200000</v>
      </c>
      <c r="D1373">
        <v>0</v>
      </c>
      <c r="E1373" t="s">
        <v>16642</v>
      </c>
      <c r="F1373" s="104"/>
    </row>
    <row r="1374" ht="15" spans="1:6">
      <c r="A1374">
        <v>1373</v>
      </c>
      <c r="B1374" t="s">
        <v>4659</v>
      </c>
      <c r="C1374">
        <v>1000000</v>
      </c>
      <c r="D1374">
        <v>500000</v>
      </c>
      <c r="E1374" t="s">
        <v>16642</v>
      </c>
      <c r="F1374" s="81">
        <f>IFERROR(__xludf.DUMMYFUNCTION("""COMPUTED_VALUE"""),45082)</f>
        <v>45082</v>
      </c>
    </row>
    <row r="1375" ht="15" spans="1:6">
      <c r="A1375">
        <v>1374</v>
      </c>
      <c r="B1375" t="s">
        <v>4660</v>
      </c>
      <c r="C1375">
        <v>1000000</v>
      </c>
      <c r="D1375">
        <v>500000</v>
      </c>
      <c r="E1375" t="s">
        <v>16642</v>
      </c>
      <c r="F1375" s="81">
        <f>IFERROR(__xludf.DUMMYFUNCTION("""COMPUTED_VALUE"""),45082)</f>
        <v>45082</v>
      </c>
    </row>
    <row r="1376" spans="1:6">
      <c r="A1376">
        <v>1375</v>
      </c>
      <c r="B1376" t="s">
        <v>4661</v>
      </c>
      <c r="C1376">
        <v>100000</v>
      </c>
      <c r="D1376">
        <v>0</v>
      </c>
      <c r="E1376" t="s">
        <v>16642</v>
      </c>
      <c r="F1376" s="76">
        <v>44936</v>
      </c>
    </row>
    <row r="1377" spans="1:6">
      <c r="A1377">
        <v>1376</v>
      </c>
      <c r="B1377" t="s">
        <v>4666</v>
      </c>
      <c r="C1377">
        <v>250</v>
      </c>
      <c r="D1377">
        <v>750</v>
      </c>
      <c r="E1377">
        <v>50</v>
      </c>
      <c r="F1377" s="60">
        <v>44880</v>
      </c>
    </row>
    <row r="1378" spans="1:6">
      <c r="A1378">
        <v>1377</v>
      </c>
      <c r="B1378" t="s">
        <v>4670</v>
      </c>
      <c r="C1378">
        <v>150000</v>
      </c>
      <c r="D1378">
        <v>0</v>
      </c>
      <c r="E1378">
        <v>7500</v>
      </c>
      <c r="F1378" s="77">
        <v>44743</v>
      </c>
    </row>
    <row r="1379" spans="1:6">
      <c r="A1379">
        <v>1378</v>
      </c>
      <c r="B1379" t="s">
        <v>4673</v>
      </c>
      <c r="C1379">
        <v>100000</v>
      </c>
      <c r="D1379">
        <v>0</v>
      </c>
      <c r="E1379" t="s">
        <v>16642</v>
      </c>
      <c r="F1379" s="76">
        <v>44973</v>
      </c>
    </row>
    <row r="1380" spans="1:6">
      <c r="A1380">
        <v>1379</v>
      </c>
      <c r="B1380" t="s">
        <v>4677</v>
      </c>
      <c r="C1380">
        <v>100000</v>
      </c>
      <c r="D1380">
        <v>0</v>
      </c>
      <c r="E1380" t="s">
        <v>16642</v>
      </c>
      <c r="F1380" s="76">
        <v>44894</v>
      </c>
    </row>
    <row r="1381" spans="1:6">
      <c r="A1381">
        <v>1380</v>
      </c>
      <c r="B1381" t="s">
        <v>4682</v>
      </c>
      <c r="C1381">
        <v>23000</v>
      </c>
      <c r="D1381">
        <v>0</v>
      </c>
      <c r="E1381">
        <v>2500</v>
      </c>
      <c r="F1381" s="77">
        <v>44890</v>
      </c>
    </row>
    <row r="1382" spans="1:6">
      <c r="A1382">
        <v>1381</v>
      </c>
      <c r="B1382" t="s">
        <v>4684</v>
      </c>
      <c r="C1382">
        <v>250</v>
      </c>
      <c r="D1382">
        <v>750</v>
      </c>
      <c r="E1382">
        <v>50</v>
      </c>
      <c r="F1382" s="60">
        <v>44844</v>
      </c>
    </row>
    <row r="1383" spans="1:6">
      <c r="A1383">
        <v>1382</v>
      </c>
      <c r="B1383" t="s">
        <v>4688</v>
      </c>
      <c r="C1383">
        <v>200000</v>
      </c>
      <c r="D1383">
        <v>0</v>
      </c>
      <c r="E1383" t="s">
        <v>16642</v>
      </c>
      <c r="F1383" s="100"/>
    </row>
    <row r="1384" spans="1:6">
      <c r="A1384">
        <v>1383</v>
      </c>
      <c r="B1384" t="s">
        <v>4693</v>
      </c>
      <c r="C1384">
        <v>200000</v>
      </c>
      <c r="D1384">
        <v>0</v>
      </c>
      <c r="E1384" t="s">
        <v>16642</v>
      </c>
      <c r="F1384" s="76">
        <v>44890</v>
      </c>
    </row>
    <row r="1385" spans="1:6">
      <c r="A1385">
        <v>1384</v>
      </c>
      <c r="B1385" t="s">
        <v>4697</v>
      </c>
      <c r="C1385">
        <v>100000</v>
      </c>
      <c r="D1385">
        <v>0</v>
      </c>
      <c r="E1385" t="s">
        <v>16642</v>
      </c>
      <c r="F1385" s="82">
        <v>44761</v>
      </c>
    </row>
    <row r="1386" spans="1:6">
      <c r="A1386">
        <v>1385</v>
      </c>
      <c r="B1386" t="s">
        <v>4701</v>
      </c>
      <c r="C1386">
        <v>2500</v>
      </c>
      <c r="D1386">
        <v>7500</v>
      </c>
      <c r="E1386">
        <v>500</v>
      </c>
      <c r="F1386" s="61">
        <v>44886</v>
      </c>
    </row>
    <row r="1387" spans="1:6">
      <c r="A1387">
        <v>1386</v>
      </c>
      <c r="B1387" t="s">
        <v>4704</v>
      </c>
      <c r="C1387">
        <v>250</v>
      </c>
      <c r="D1387">
        <v>750</v>
      </c>
      <c r="E1387">
        <v>50</v>
      </c>
      <c r="F1387" s="61">
        <v>44938</v>
      </c>
    </row>
    <row r="1388" spans="1:6">
      <c r="A1388">
        <v>1387</v>
      </c>
      <c r="B1388" t="s">
        <v>4707</v>
      </c>
      <c r="C1388">
        <v>250</v>
      </c>
      <c r="D1388">
        <v>750</v>
      </c>
      <c r="E1388">
        <v>50</v>
      </c>
      <c r="F1388" s="60">
        <v>44905</v>
      </c>
    </row>
    <row r="1389" spans="1:6">
      <c r="A1389">
        <v>1388</v>
      </c>
      <c r="B1389" t="s">
        <v>4711</v>
      </c>
      <c r="C1389">
        <v>250</v>
      </c>
      <c r="D1389">
        <v>750</v>
      </c>
      <c r="E1389">
        <v>50</v>
      </c>
      <c r="F1389" s="73">
        <v>45000</v>
      </c>
    </row>
    <row r="1390" spans="1:6">
      <c r="A1390">
        <v>1389</v>
      </c>
      <c r="B1390" t="s">
        <v>4715</v>
      </c>
      <c r="C1390">
        <v>5000</v>
      </c>
      <c r="D1390">
        <v>0</v>
      </c>
      <c r="E1390">
        <v>250</v>
      </c>
      <c r="F1390" s="77">
        <v>44901</v>
      </c>
    </row>
    <row r="1391" spans="1:6">
      <c r="A1391">
        <v>1390</v>
      </c>
      <c r="B1391" t="s">
        <v>4718</v>
      </c>
      <c r="C1391">
        <v>250</v>
      </c>
      <c r="D1391">
        <v>750</v>
      </c>
      <c r="E1391">
        <v>50</v>
      </c>
      <c r="F1391" s="61">
        <v>45015</v>
      </c>
    </row>
    <row r="1392" ht="15" spans="1:6">
      <c r="A1392">
        <v>1391</v>
      </c>
      <c r="B1392" t="s">
        <v>4721</v>
      </c>
      <c r="C1392">
        <v>3000000</v>
      </c>
      <c r="D1392">
        <v>500000</v>
      </c>
      <c r="E1392" t="s">
        <v>16642</v>
      </c>
      <c r="F1392" s="92">
        <v>45089</v>
      </c>
    </row>
    <row r="1393" spans="1:6">
      <c r="A1393">
        <v>1392</v>
      </c>
      <c r="B1393" t="s">
        <v>4726</v>
      </c>
      <c r="C1393">
        <v>250</v>
      </c>
      <c r="D1393">
        <v>750</v>
      </c>
      <c r="E1393">
        <v>50</v>
      </c>
      <c r="F1393" s="73">
        <v>45013</v>
      </c>
    </row>
    <row r="1394" spans="1:6">
      <c r="A1394">
        <v>1393</v>
      </c>
      <c r="B1394" t="s">
        <v>4729</v>
      </c>
      <c r="C1394">
        <v>500</v>
      </c>
      <c r="D1394">
        <v>500</v>
      </c>
      <c r="E1394">
        <v>50</v>
      </c>
      <c r="F1394" s="60">
        <v>44828</v>
      </c>
    </row>
    <row r="1395" spans="1:6">
      <c r="A1395">
        <v>1394</v>
      </c>
      <c r="B1395" t="s">
        <v>4733</v>
      </c>
      <c r="C1395">
        <v>250</v>
      </c>
      <c r="D1395">
        <v>750</v>
      </c>
      <c r="E1395">
        <v>50</v>
      </c>
      <c r="F1395" s="61">
        <v>44993</v>
      </c>
    </row>
    <row r="1396" spans="1:6">
      <c r="A1396">
        <v>1395</v>
      </c>
      <c r="B1396" t="s">
        <v>4737</v>
      </c>
      <c r="C1396">
        <v>250</v>
      </c>
      <c r="D1396">
        <v>750</v>
      </c>
      <c r="E1396">
        <v>50</v>
      </c>
      <c r="F1396" s="78">
        <v>44959</v>
      </c>
    </row>
    <row r="1397" spans="1:6">
      <c r="A1397">
        <v>1396</v>
      </c>
      <c r="B1397" t="s">
        <v>4741</v>
      </c>
      <c r="C1397">
        <v>500</v>
      </c>
      <c r="D1397">
        <v>1500</v>
      </c>
      <c r="E1397">
        <v>100</v>
      </c>
      <c r="F1397" s="61">
        <v>44865</v>
      </c>
    </row>
    <row r="1398" spans="1:6">
      <c r="A1398">
        <v>1397</v>
      </c>
      <c r="B1398" t="s">
        <v>4745</v>
      </c>
      <c r="C1398">
        <v>5000</v>
      </c>
      <c r="D1398">
        <v>0</v>
      </c>
      <c r="E1398">
        <v>250</v>
      </c>
      <c r="F1398" s="65">
        <v>44603</v>
      </c>
    </row>
    <row r="1399" spans="1:6">
      <c r="A1399">
        <v>1398</v>
      </c>
      <c r="B1399" t="s">
        <v>4749</v>
      </c>
      <c r="C1399">
        <v>250</v>
      </c>
      <c r="D1399">
        <v>750</v>
      </c>
      <c r="E1399">
        <v>50</v>
      </c>
      <c r="F1399" s="60">
        <v>44813</v>
      </c>
    </row>
    <row r="1400" spans="1:6">
      <c r="A1400">
        <v>1399</v>
      </c>
      <c r="B1400" t="s">
        <v>4753</v>
      </c>
      <c r="C1400">
        <v>10000</v>
      </c>
      <c r="D1400">
        <v>0</v>
      </c>
      <c r="E1400">
        <v>500</v>
      </c>
      <c r="F1400" s="77">
        <v>44826</v>
      </c>
    </row>
    <row r="1401" spans="1:6">
      <c r="A1401">
        <v>1400</v>
      </c>
      <c r="B1401" t="s">
        <v>4756</v>
      </c>
      <c r="C1401">
        <v>500</v>
      </c>
      <c r="D1401">
        <v>500</v>
      </c>
      <c r="E1401">
        <v>50</v>
      </c>
      <c r="F1401" s="67">
        <v>44957</v>
      </c>
    </row>
    <row r="1402" spans="1:6">
      <c r="A1402">
        <v>1401</v>
      </c>
      <c r="B1402" t="s">
        <v>4759</v>
      </c>
      <c r="C1402">
        <v>250</v>
      </c>
      <c r="D1402">
        <v>750</v>
      </c>
      <c r="E1402">
        <v>50</v>
      </c>
      <c r="F1402" s="60">
        <v>44910</v>
      </c>
    </row>
    <row r="1403" spans="1:6">
      <c r="A1403">
        <v>1402</v>
      </c>
      <c r="B1403" t="s">
        <v>4763</v>
      </c>
      <c r="C1403">
        <v>250</v>
      </c>
      <c r="D1403">
        <v>750</v>
      </c>
      <c r="E1403">
        <v>50</v>
      </c>
      <c r="F1403" s="61">
        <v>44849</v>
      </c>
    </row>
    <row r="1404" spans="1:6">
      <c r="A1404">
        <v>1403</v>
      </c>
      <c r="B1404" t="s">
        <v>4766</v>
      </c>
      <c r="C1404">
        <v>250</v>
      </c>
      <c r="D1404">
        <v>750</v>
      </c>
      <c r="E1404">
        <v>50</v>
      </c>
      <c r="F1404" s="61">
        <v>44926</v>
      </c>
    </row>
    <row r="1405" ht="15" spans="1:6">
      <c r="A1405">
        <v>1404</v>
      </c>
      <c r="B1405" t="s">
        <v>4769</v>
      </c>
      <c r="C1405">
        <v>1000000</v>
      </c>
      <c r="D1405">
        <v>500000</v>
      </c>
      <c r="E1405" t="s">
        <v>16642</v>
      </c>
      <c r="F1405" s="81">
        <f>IFERROR(__xludf.DUMMYFUNCTION("""COMPUTED_VALUE"""),45084)</f>
        <v>45084</v>
      </c>
    </row>
    <row r="1406" spans="1:6">
      <c r="A1406">
        <v>1405</v>
      </c>
      <c r="B1406" t="s">
        <v>4770</v>
      </c>
      <c r="C1406">
        <v>250</v>
      </c>
      <c r="D1406">
        <v>750</v>
      </c>
      <c r="E1406">
        <v>50</v>
      </c>
      <c r="F1406" s="61">
        <v>45262</v>
      </c>
    </row>
    <row r="1407" spans="1:6">
      <c r="A1407">
        <v>1406</v>
      </c>
      <c r="B1407" t="s">
        <v>4773</v>
      </c>
      <c r="C1407">
        <v>250</v>
      </c>
      <c r="D1407">
        <v>750</v>
      </c>
      <c r="E1407">
        <v>50</v>
      </c>
      <c r="F1407" s="60">
        <v>44928</v>
      </c>
    </row>
    <row r="1408" ht="15" spans="1:6">
      <c r="A1408">
        <v>1407</v>
      </c>
      <c r="B1408" t="s">
        <v>4776</v>
      </c>
      <c r="C1408">
        <v>3500000</v>
      </c>
      <c r="D1408">
        <v>0</v>
      </c>
      <c r="E1408" t="s">
        <v>16642</v>
      </c>
      <c r="F1408" s="92">
        <v>45133</v>
      </c>
    </row>
    <row r="1409" spans="1:6">
      <c r="A1409">
        <v>1408</v>
      </c>
      <c r="B1409" t="s">
        <v>4780</v>
      </c>
      <c r="C1409">
        <v>250</v>
      </c>
      <c r="D1409">
        <v>750</v>
      </c>
      <c r="E1409">
        <v>50</v>
      </c>
      <c r="F1409" s="73">
        <v>44882</v>
      </c>
    </row>
    <row r="1410" spans="1:6">
      <c r="A1410">
        <v>1409</v>
      </c>
      <c r="B1410" t="s">
        <v>4784</v>
      </c>
      <c r="C1410">
        <v>250</v>
      </c>
      <c r="D1410">
        <v>750</v>
      </c>
      <c r="E1410">
        <v>50</v>
      </c>
      <c r="F1410" s="61">
        <v>44888</v>
      </c>
    </row>
    <row r="1411" ht="15" spans="1:6">
      <c r="A1411">
        <v>1410</v>
      </c>
      <c r="B1411" t="s">
        <v>4788</v>
      </c>
      <c r="C1411">
        <v>1000000</v>
      </c>
      <c r="D1411">
        <v>500000</v>
      </c>
      <c r="E1411" t="s">
        <v>16642</v>
      </c>
      <c r="F1411" s="98">
        <f>IFERROR(__xludf.DUMMYFUNCTION("""COMPUTED_VALUE"""),45079)</f>
        <v>45079</v>
      </c>
    </row>
    <row r="1412" ht="15" spans="1:6">
      <c r="A1412">
        <v>1411</v>
      </c>
      <c r="B1412" t="s">
        <v>4788</v>
      </c>
      <c r="C1412">
        <v>1000000</v>
      </c>
      <c r="D1412">
        <v>500000</v>
      </c>
      <c r="E1412" t="s">
        <v>16642</v>
      </c>
      <c r="F1412" s="98">
        <f>IFERROR(__xludf.DUMMYFUNCTION("""COMPUTED_VALUE"""),45079)</f>
        <v>45079</v>
      </c>
    </row>
    <row r="1413" spans="1:6">
      <c r="A1413">
        <v>1412</v>
      </c>
      <c r="B1413" t="s">
        <v>4789</v>
      </c>
      <c r="C1413">
        <v>250</v>
      </c>
      <c r="D1413">
        <v>750</v>
      </c>
      <c r="E1413">
        <v>50</v>
      </c>
      <c r="F1413" s="77">
        <v>44795</v>
      </c>
    </row>
    <row r="1414" spans="1:6">
      <c r="A1414">
        <v>1413</v>
      </c>
      <c r="B1414" t="s">
        <v>4792</v>
      </c>
      <c r="C1414">
        <v>100000</v>
      </c>
      <c r="D1414">
        <v>0</v>
      </c>
      <c r="E1414" t="s">
        <v>16642</v>
      </c>
      <c r="F1414" s="76">
        <v>44924</v>
      </c>
    </row>
    <row r="1415" spans="1:6">
      <c r="A1415">
        <v>1414</v>
      </c>
      <c r="B1415" t="s">
        <v>4796</v>
      </c>
      <c r="C1415">
        <v>250</v>
      </c>
      <c r="D1415">
        <v>750</v>
      </c>
      <c r="E1415">
        <v>50</v>
      </c>
      <c r="F1415" s="77">
        <v>44781</v>
      </c>
    </row>
    <row r="1416" spans="1:6">
      <c r="A1416">
        <v>1415</v>
      </c>
      <c r="B1416" t="s">
        <v>4799</v>
      </c>
      <c r="C1416">
        <v>1000</v>
      </c>
      <c r="D1416">
        <v>0</v>
      </c>
      <c r="E1416">
        <v>50</v>
      </c>
      <c r="F1416" s="60">
        <v>44855</v>
      </c>
    </row>
    <row r="1417" ht="15" spans="1:6">
      <c r="A1417">
        <v>1416</v>
      </c>
      <c r="B1417" t="s">
        <v>4803</v>
      </c>
      <c r="C1417">
        <v>3000000</v>
      </c>
      <c r="D1417">
        <v>500000</v>
      </c>
      <c r="E1417" t="s">
        <v>16642</v>
      </c>
      <c r="F1417" s="92">
        <v>45127</v>
      </c>
    </row>
    <row r="1418" spans="1:6">
      <c r="A1418">
        <v>1417</v>
      </c>
      <c r="B1418" t="s">
        <v>4806</v>
      </c>
      <c r="C1418">
        <v>100000</v>
      </c>
      <c r="D1418">
        <v>0</v>
      </c>
      <c r="E1418" t="s">
        <v>16642</v>
      </c>
      <c r="F1418" s="66"/>
    </row>
    <row r="1419" spans="1:6">
      <c r="A1419">
        <v>1418</v>
      </c>
      <c r="B1419" t="s">
        <v>4811</v>
      </c>
      <c r="C1419">
        <v>2000000</v>
      </c>
      <c r="D1419">
        <v>0</v>
      </c>
      <c r="E1419" t="s">
        <v>16642</v>
      </c>
      <c r="F1419" s="82">
        <v>44768</v>
      </c>
    </row>
    <row r="1420" spans="1:6">
      <c r="A1420">
        <v>1419</v>
      </c>
      <c r="B1420" t="s">
        <v>4816</v>
      </c>
      <c r="C1420">
        <v>250</v>
      </c>
      <c r="D1420">
        <v>750</v>
      </c>
      <c r="E1420">
        <v>50</v>
      </c>
      <c r="F1420" s="60">
        <v>44866</v>
      </c>
    </row>
    <row r="1421" spans="1:6">
      <c r="A1421">
        <v>1420</v>
      </c>
      <c r="B1421" t="s">
        <v>4819</v>
      </c>
      <c r="C1421">
        <v>2500</v>
      </c>
      <c r="D1421">
        <v>7500</v>
      </c>
      <c r="E1421">
        <v>500</v>
      </c>
      <c r="F1421" s="77">
        <v>44893</v>
      </c>
    </row>
    <row r="1422" spans="1:6">
      <c r="A1422">
        <v>1421</v>
      </c>
      <c r="B1422" t="s">
        <v>4822</v>
      </c>
      <c r="C1422">
        <v>250</v>
      </c>
      <c r="D1422">
        <v>750</v>
      </c>
      <c r="E1422">
        <v>50</v>
      </c>
      <c r="F1422" s="60">
        <v>44902</v>
      </c>
    </row>
    <row r="1423" spans="1:6">
      <c r="A1423">
        <v>1422</v>
      </c>
      <c r="B1423" t="s">
        <v>4825</v>
      </c>
      <c r="C1423">
        <v>250</v>
      </c>
      <c r="D1423">
        <v>750</v>
      </c>
      <c r="E1423">
        <v>50</v>
      </c>
      <c r="F1423" s="123">
        <v>45214</v>
      </c>
    </row>
    <row r="1424" spans="1:6">
      <c r="A1424">
        <v>1423</v>
      </c>
      <c r="B1424" t="s">
        <v>4828</v>
      </c>
      <c r="C1424">
        <v>20000</v>
      </c>
      <c r="D1424">
        <v>0</v>
      </c>
      <c r="E1424">
        <v>1000</v>
      </c>
      <c r="F1424" s="64" t="s">
        <v>16695</v>
      </c>
    </row>
    <row r="1425" spans="1:6">
      <c r="A1425">
        <v>1424</v>
      </c>
      <c r="B1425" t="s">
        <v>4832</v>
      </c>
      <c r="C1425">
        <v>1000</v>
      </c>
      <c r="D1425">
        <v>0</v>
      </c>
      <c r="E1425">
        <v>50</v>
      </c>
      <c r="F1425" s="60">
        <v>44868</v>
      </c>
    </row>
    <row r="1426" spans="1:6">
      <c r="A1426">
        <v>1425</v>
      </c>
      <c r="B1426" t="s">
        <v>4835</v>
      </c>
      <c r="C1426">
        <v>3000</v>
      </c>
      <c r="D1426">
        <v>0</v>
      </c>
      <c r="E1426">
        <v>150</v>
      </c>
      <c r="F1426" s="64" t="s">
        <v>16647</v>
      </c>
    </row>
    <row r="1427" spans="1:6">
      <c r="A1427">
        <v>1426</v>
      </c>
      <c r="B1427" t="s">
        <v>4839</v>
      </c>
      <c r="C1427">
        <v>10000</v>
      </c>
      <c r="D1427">
        <v>0</v>
      </c>
      <c r="E1427">
        <v>500</v>
      </c>
      <c r="F1427" s="64" t="s">
        <v>16740</v>
      </c>
    </row>
    <row r="1428" ht="15" spans="1:6">
      <c r="A1428">
        <v>1427</v>
      </c>
      <c r="B1428" t="s">
        <v>4843</v>
      </c>
      <c r="C1428">
        <v>1000000</v>
      </c>
      <c r="D1428">
        <v>500000</v>
      </c>
      <c r="E1428" t="s">
        <v>16642</v>
      </c>
      <c r="F1428" s="81">
        <f>IFERROR(__xludf.DUMMYFUNCTION("""COMPUTED_VALUE"""),45082)</f>
        <v>45082</v>
      </c>
    </row>
    <row r="1429" spans="1:6">
      <c r="A1429">
        <v>1428</v>
      </c>
      <c r="B1429" t="s">
        <v>4844</v>
      </c>
      <c r="C1429">
        <v>50000</v>
      </c>
      <c r="D1429">
        <v>0</v>
      </c>
      <c r="E1429">
        <v>2500</v>
      </c>
      <c r="F1429" s="64" t="s">
        <v>16647</v>
      </c>
    </row>
    <row r="1430" spans="1:6">
      <c r="A1430">
        <v>1429</v>
      </c>
      <c r="B1430" t="s">
        <v>4848</v>
      </c>
      <c r="C1430">
        <v>1000</v>
      </c>
      <c r="D1430">
        <v>0</v>
      </c>
      <c r="E1430">
        <v>50</v>
      </c>
      <c r="F1430" s="65">
        <v>44621</v>
      </c>
    </row>
    <row r="1431" spans="1:6">
      <c r="A1431">
        <v>1430</v>
      </c>
      <c r="B1431" t="s">
        <v>4852</v>
      </c>
      <c r="C1431">
        <v>300</v>
      </c>
      <c r="D1431">
        <v>900</v>
      </c>
      <c r="E1431">
        <v>60</v>
      </c>
      <c r="F1431" s="77">
        <v>44781</v>
      </c>
    </row>
    <row r="1432" spans="1:6">
      <c r="A1432">
        <v>1431</v>
      </c>
      <c r="B1432" t="s">
        <v>4855</v>
      </c>
      <c r="C1432">
        <v>250</v>
      </c>
      <c r="D1432">
        <v>750</v>
      </c>
      <c r="E1432">
        <v>50</v>
      </c>
      <c r="F1432" s="61">
        <v>44870</v>
      </c>
    </row>
    <row r="1433" ht="15" spans="1:6">
      <c r="A1433">
        <v>1432</v>
      </c>
      <c r="B1433" t="s">
        <v>4859</v>
      </c>
      <c r="C1433">
        <v>1000000</v>
      </c>
      <c r="D1433">
        <v>500000</v>
      </c>
      <c r="E1433" t="s">
        <v>16642</v>
      </c>
      <c r="F1433" s="81">
        <f>IFERROR(__xludf.DUMMYFUNCTION("""COMPUTED_VALUE"""),45078)</f>
        <v>45078</v>
      </c>
    </row>
    <row r="1434" spans="1:6">
      <c r="A1434">
        <v>1433</v>
      </c>
      <c r="B1434" t="s">
        <v>4861</v>
      </c>
      <c r="C1434">
        <v>250</v>
      </c>
      <c r="D1434">
        <v>750</v>
      </c>
      <c r="E1434">
        <v>50</v>
      </c>
      <c r="F1434" s="60">
        <v>44896</v>
      </c>
    </row>
    <row r="1435" spans="1:6">
      <c r="A1435">
        <v>1434</v>
      </c>
      <c r="B1435" t="s">
        <v>4864</v>
      </c>
      <c r="C1435">
        <v>187500</v>
      </c>
      <c r="D1435">
        <v>562500</v>
      </c>
      <c r="E1435">
        <v>37500</v>
      </c>
      <c r="F1435" s="65">
        <v>44597</v>
      </c>
    </row>
    <row r="1436" ht="15" spans="1:6">
      <c r="A1436">
        <v>1435</v>
      </c>
      <c r="B1436" t="s">
        <v>4869</v>
      </c>
      <c r="C1436">
        <v>1000000</v>
      </c>
      <c r="D1436">
        <v>500000</v>
      </c>
      <c r="E1436" t="s">
        <v>16642</v>
      </c>
      <c r="F1436" s="81">
        <f>IFERROR(__xludf.DUMMYFUNCTION("""COMPUTED_VALUE"""),45085)</f>
        <v>45085</v>
      </c>
    </row>
    <row r="1437" spans="1:6">
      <c r="A1437">
        <v>1436</v>
      </c>
      <c r="B1437" t="s">
        <v>4870</v>
      </c>
      <c r="C1437">
        <v>500</v>
      </c>
      <c r="D1437">
        <v>500</v>
      </c>
      <c r="E1437">
        <v>50</v>
      </c>
      <c r="F1437" s="77">
        <v>44803</v>
      </c>
    </row>
    <row r="1438" spans="1:6">
      <c r="A1438">
        <v>1437</v>
      </c>
      <c r="B1438" t="s">
        <v>4873</v>
      </c>
      <c r="C1438">
        <v>100000</v>
      </c>
      <c r="D1438">
        <v>0</v>
      </c>
      <c r="E1438" t="s">
        <v>16642</v>
      </c>
      <c r="F1438" s="76">
        <v>44763</v>
      </c>
    </row>
    <row r="1439" spans="1:6">
      <c r="A1439">
        <v>1438</v>
      </c>
      <c r="B1439" t="s">
        <v>4878</v>
      </c>
      <c r="C1439">
        <v>250</v>
      </c>
      <c r="D1439">
        <v>750</v>
      </c>
      <c r="E1439">
        <v>50</v>
      </c>
      <c r="F1439" s="65">
        <v>44506</v>
      </c>
    </row>
    <row r="1440" spans="1:6">
      <c r="A1440">
        <v>1439</v>
      </c>
      <c r="B1440" t="s">
        <v>4882</v>
      </c>
      <c r="C1440">
        <v>250</v>
      </c>
      <c r="D1440">
        <v>750</v>
      </c>
      <c r="E1440">
        <v>50</v>
      </c>
      <c r="F1440" s="60">
        <v>44849</v>
      </c>
    </row>
    <row r="1441" spans="1:6">
      <c r="A1441">
        <v>1440</v>
      </c>
      <c r="B1441" t="s">
        <v>4886</v>
      </c>
      <c r="C1441">
        <v>5000</v>
      </c>
      <c r="D1441">
        <v>0</v>
      </c>
      <c r="E1441">
        <v>250</v>
      </c>
      <c r="F1441" s="106">
        <v>45013</v>
      </c>
    </row>
    <row r="1442" spans="1:6">
      <c r="A1442">
        <v>1441</v>
      </c>
      <c r="B1442" t="s">
        <v>4889</v>
      </c>
      <c r="C1442">
        <v>12000</v>
      </c>
      <c r="D1442">
        <v>0</v>
      </c>
      <c r="E1442">
        <v>600</v>
      </c>
      <c r="F1442" s="65">
        <v>44403</v>
      </c>
    </row>
    <row r="1443" spans="1:6">
      <c r="A1443">
        <v>1442</v>
      </c>
      <c r="B1443" t="s">
        <v>4893</v>
      </c>
      <c r="C1443">
        <v>15000</v>
      </c>
      <c r="D1443">
        <v>45000</v>
      </c>
      <c r="E1443">
        <v>3000</v>
      </c>
      <c r="F1443" s="64" t="s">
        <v>16736</v>
      </c>
    </row>
    <row r="1444" spans="1:6">
      <c r="A1444">
        <v>1443</v>
      </c>
      <c r="B1444" t="s">
        <v>4897</v>
      </c>
      <c r="C1444">
        <v>250</v>
      </c>
      <c r="D1444">
        <v>750</v>
      </c>
      <c r="E1444">
        <v>50</v>
      </c>
      <c r="F1444" s="60">
        <v>44856</v>
      </c>
    </row>
    <row r="1445" spans="1:6">
      <c r="A1445">
        <v>1444</v>
      </c>
      <c r="B1445" t="s">
        <v>4900</v>
      </c>
      <c r="C1445">
        <v>25000</v>
      </c>
      <c r="D1445">
        <v>75000</v>
      </c>
      <c r="E1445">
        <v>5000</v>
      </c>
      <c r="F1445" s="64" t="s">
        <v>16741</v>
      </c>
    </row>
    <row r="1446" spans="1:6">
      <c r="A1446">
        <v>1445</v>
      </c>
      <c r="B1446" t="s">
        <v>4905</v>
      </c>
      <c r="C1446">
        <v>100000</v>
      </c>
      <c r="D1446">
        <v>0</v>
      </c>
      <c r="E1446" t="s">
        <v>16642</v>
      </c>
      <c r="F1446" s="104"/>
    </row>
    <row r="1447" spans="1:6">
      <c r="A1447">
        <v>1446</v>
      </c>
      <c r="B1447" t="s">
        <v>4909</v>
      </c>
      <c r="C1447">
        <v>1000000</v>
      </c>
      <c r="D1447">
        <v>500000</v>
      </c>
      <c r="E1447" t="s">
        <v>16642</v>
      </c>
      <c r="F1447" s="80">
        <f>IFERROR(__xludf.DUMMYFUNCTION("""COMPUTED_VALUE"""),45080)</f>
        <v>45080</v>
      </c>
    </row>
    <row r="1448" spans="1:6">
      <c r="A1448">
        <v>1447</v>
      </c>
      <c r="B1448" t="s">
        <v>4910</v>
      </c>
      <c r="C1448">
        <v>1000</v>
      </c>
      <c r="D1448">
        <v>0</v>
      </c>
      <c r="E1448">
        <v>50</v>
      </c>
      <c r="F1448" s="77">
        <v>44880</v>
      </c>
    </row>
    <row r="1449" ht="15" spans="1:6">
      <c r="A1449">
        <v>1448</v>
      </c>
      <c r="B1449" t="s">
        <v>4913</v>
      </c>
      <c r="C1449">
        <v>1000000</v>
      </c>
      <c r="D1449">
        <v>500000</v>
      </c>
      <c r="E1449" t="s">
        <v>16642</v>
      </c>
      <c r="F1449" s="98">
        <f>IFERROR(__xludf.DUMMYFUNCTION("""COMPUTED_VALUE"""),45082)</f>
        <v>45082</v>
      </c>
    </row>
    <row r="1450" ht="15" spans="1:6">
      <c r="A1450">
        <v>1449</v>
      </c>
      <c r="B1450" t="s">
        <v>4913</v>
      </c>
      <c r="C1450">
        <v>1000000</v>
      </c>
      <c r="D1450">
        <v>500000</v>
      </c>
      <c r="E1450" t="s">
        <v>16642</v>
      </c>
      <c r="F1450" s="98">
        <f>IFERROR(__xludf.DUMMYFUNCTION("""COMPUTED_VALUE"""),45082)</f>
        <v>45082</v>
      </c>
    </row>
    <row r="1451" spans="1:6">
      <c r="A1451">
        <v>1450</v>
      </c>
      <c r="B1451" t="s">
        <v>4914</v>
      </c>
      <c r="C1451">
        <v>100000</v>
      </c>
      <c r="D1451">
        <v>0</v>
      </c>
      <c r="E1451" t="s">
        <v>16642</v>
      </c>
      <c r="F1451" s="76">
        <v>44937</v>
      </c>
    </row>
    <row r="1452" spans="1:6">
      <c r="A1452">
        <v>1451</v>
      </c>
      <c r="B1452" t="s">
        <v>4918</v>
      </c>
      <c r="C1452">
        <v>100000</v>
      </c>
      <c r="D1452">
        <v>0</v>
      </c>
      <c r="E1452">
        <v>5000</v>
      </c>
      <c r="F1452" s="65">
        <v>44447</v>
      </c>
    </row>
    <row r="1453" spans="1:6">
      <c r="A1453">
        <v>1452</v>
      </c>
      <c r="B1453" t="s">
        <v>4924</v>
      </c>
      <c r="C1453">
        <v>1250</v>
      </c>
      <c r="D1453">
        <v>3750</v>
      </c>
      <c r="E1453">
        <v>250</v>
      </c>
      <c r="F1453" s="64" t="s">
        <v>16742</v>
      </c>
    </row>
    <row r="1454" spans="1:6">
      <c r="A1454">
        <v>1453</v>
      </c>
      <c r="B1454" t="s">
        <v>4928</v>
      </c>
      <c r="C1454">
        <v>200000</v>
      </c>
      <c r="D1454">
        <v>0</v>
      </c>
      <c r="E1454" t="s">
        <v>16642</v>
      </c>
      <c r="F1454" s="104"/>
    </row>
    <row r="1455" spans="1:6">
      <c r="A1455">
        <v>1454</v>
      </c>
      <c r="B1455" t="s">
        <v>4933</v>
      </c>
      <c r="C1455">
        <v>1000</v>
      </c>
      <c r="D1455">
        <v>0</v>
      </c>
      <c r="E1455">
        <v>50</v>
      </c>
      <c r="F1455" s="61">
        <v>44909</v>
      </c>
    </row>
    <row r="1456" spans="1:6">
      <c r="A1456">
        <v>1455</v>
      </c>
      <c r="B1456" t="s">
        <v>4936</v>
      </c>
      <c r="C1456">
        <v>10000</v>
      </c>
      <c r="D1456">
        <v>10000</v>
      </c>
      <c r="E1456">
        <v>1000</v>
      </c>
      <c r="F1456" s="79">
        <v>44578</v>
      </c>
    </row>
    <row r="1457" spans="1:6">
      <c r="A1457">
        <v>1456</v>
      </c>
      <c r="B1457" t="s">
        <v>4939</v>
      </c>
      <c r="C1457">
        <v>1000</v>
      </c>
      <c r="D1457">
        <v>0</v>
      </c>
      <c r="E1457">
        <v>50</v>
      </c>
      <c r="F1457" s="67">
        <v>44936</v>
      </c>
    </row>
    <row r="1458" spans="1:6">
      <c r="A1458">
        <v>1457</v>
      </c>
      <c r="B1458" t="s">
        <v>4942</v>
      </c>
      <c r="C1458">
        <v>200000</v>
      </c>
      <c r="D1458">
        <v>0</v>
      </c>
      <c r="E1458" t="s">
        <v>16642</v>
      </c>
      <c r="F1458" s="84"/>
    </row>
    <row r="1459" spans="1:6">
      <c r="A1459">
        <v>1458</v>
      </c>
      <c r="B1459" t="s">
        <v>4942</v>
      </c>
      <c r="C1459">
        <v>100000</v>
      </c>
      <c r="D1459">
        <v>0</v>
      </c>
      <c r="E1459" t="s">
        <v>16642</v>
      </c>
      <c r="F1459" s="85"/>
    </row>
    <row r="1460" spans="1:6">
      <c r="A1460">
        <v>1459</v>
      </c>
      <c r="B1460" t="s">
        <v>4947</v>
      </c>
      <c r="C1460">
        <v>2000</v>
      </c>
      <c r="D1460">
        <v>0</v>
      </c>
      <c r="E1460">
        <v>100</v>
      </c>
      <c r="F1460" s="65">
        <v>44669</v>
      </c>
    </row>
    <row r="1461" spans="1:6">
      <c r="A1461">
        <v>1460</v>
      </c>
      <c r="B1461" t="s">
        <v>4951</v>
      </c>
      <c r="C1461">
        <v>250</v>
      </c>
      <c r="D1461">
        <v>750</v>
      </c>
      <c r="E1461">
        <v>50</v>
      </c>
      <c r="F1461" s="61">
        <v>44998</v>
      </c>
    </row>
    <row r="1462" spans="1:6">
      <c r="A1462">
        <v>1461</v>
      </c>
      <c r="B1462" t="s">
        <v>4955</v>
      </c>
      <c r="C1462">
        <v>1250</v>
      </c>
      <c r="D1462">
        <v>3750</v>
      </c>
      <c r="E1462">
        <v>250</v>
      </c>
      <c r="F1462" s="70">
        <v>44882</v>
      </c>
    </row>
    <row r="1463" spans="1:6">
      <c r="A1463">
        <v>1462</v>
      </c>
      <c r="B1463" t="s">
        <v>4958</v>
      </c>
      <c r="C1463">
        <v>250</v>
      </c>
      <c r="D1463">
        <v>750</v>
      </c>
      <c r="E1463">
        <v>50</v>
      </c>
      <c r="F1463" s="61">
        <v>44898</v>
      </c>
    </row>
    <row r="1464" spans="1:6">
      <c r="A1464">
        <v>1463</v>
      </c>
      <c r="B1464" t="s">
        <v>4962</v>
      </c>
      <c r="C1464">
        <v>250</v>
      </c>
      <c r="D1464">
        <v>750</v>
      </c>
      <c r="E1464">
        <v>50</v>
      </c>
      <c r="F1464" s="61">
        <v>44928</v>
      </c>
    </row>
    <row r="1465" spans="1:6">
      <c r="A1465">
        <v>1464</v>
      </c>
      <c r="B1465" t="s">
        <v>4965</v>
      </c>
      <c r="C1465">
        <v>250</v>
      </c>
      <c r="D1465">
        <v>750</v>
      </c>
      <c r="E1465">
        <v>50</v>
      </c>
      <c r="F1465" s="61" t="s">
        <v>16711</v>
      </c>
    </row>
    <row r="1466" spans="1:6">
      <c r="A1466">
        <v>1465</v>
      </c>
      <c r="B1466" t="s">
        <v>4968</v>
      </c>
      <c r="C1466">
        <v>250</v>
      </c>
      <c r="D1466">
        <v>750</v>
      </c>
      <c r="E1466">
        <v>50</v>
      </c>
      <c r="F1466" s="74">
        <v>45023</v>
      </c>
    </row>
    <row r="1467" spans="1:6">
      <c r="A1467">
        <v>1466</v>
      </c>
      <c r="B1467" t="s">
        <v>4971</v>
      </c>
      <c r="C1467">
        <v>250</v>
      </c>
      <c r="D1467">
        <v>750</v>
      </c>
      <c r="E1467">
        <v>50</v>
      </c>
      <c r="F1467" s="60">
        <v>44965</v>
      </c>
    </row>
    <row r="1468" spans="1:6">
      <c r="A1468">
        <v>1467</v>
      </c>
      <c r="B1468" t="s">
        <v>4974</v>
      </c>
      <c r="C1468">
        <v>250</v>
      </c>
      <c r="D1468">
        <v>750</v>
      </c>
      <c r="E1468">
        <v>50</v>
      </c>
      <c r="F1468" s="61">
        <v>44973</v>
      </c>
    </row>
    <row r="1469" spans="1:6">
      <c r="A1469">
        <v>1468</v>
      </c>
      <c r="B1469" t="s">
        <v>4978</v>
      </c>
      <c r="C1469">
        <v>250</v>
      </c>
      <c r="D1469">
        <v>750</v>
      </c>
      <c r="E1469">
        <v>50</v>
      </c>
      <c r="F1469" s="73">
        <v>45001</v>
      </c>
    </row>
    <row r="1470" spans="1:6">
      <c r="A1470">
        <v>1469</v>
      </c>
      <c r="B1470" t="s">
        <v>4981</v>
      </c>
      <c r="C1470">
        <v>500000</v>
      </c>
      <c r="D1470">
        <v>0</v>
      </c>
      <c r="E1470" t="s">
        <v>16642</v>
      </c>
      <c r="F1470" s="104"/>
    </row>
    <row r="1471" spans="1:6">
      <c r="A1471">
        <v>1470</v>
      </c>
      <c r="B1471" t="s">
        <v>4985</v>
      </c>
      <c r="C1471">
        <v>250</v>
      </c>
      <c r="D1471">
        <v>750</v>
      </c>
      <c r="E1471">
        <v>50</v>
      </c>
      <c r="F1471" s="60">
        <v>44860</v>
      </c>
    </row>
    <row r="1472" spans="1:6">
      <c r="A1472">
        <v>1471</v>
      </c>
      <c r="B1472" t="s">
        <v>4988</v>
      </c>
      <c r="C1472">
        <v>250</v>
      </c>
      <c r="D1472">
        <v>750</v>
      </c>
      <c r="E1472">
        <v>50</v>
      </c>
      <c r="F1472" s="72">
        <v>44886</v>
      </c>
    </row>
    <row r="1473" spans="1:6">
      <c r="A1473">
        <v>1472</v>
      </c>
      <c r="B1473" t="s">
        <v>4991</v>
      </c>
      <c r="C1473">
        <v>250</v>
      </c>
      <c r="D1473">
        <v>750</v>
      </c>
      <c r="E1473">
        <v>50</v>
      </c>
      <c r="F1473" s="60">
        <v>44859</v>
      </c>
    </row>
    <row r="1474" spans="1:6">
      <c r="A1474">
        <v>1473</v>
      </c>
      <c r="B1474" t="s">
        <v>4994</v>
      </c>
      <c r="C1474">
        <v>250</v>
      </c>
      <c r="D1474">
        <v>750</v>
      </c>
      <c r="E1474">
        <v>50</v>
      </c>
      <c r="F1474" s="60">
        <v>44931</v>
      </c>
    </row>
    <row r="1475" spans="1:6">
      <c r="A1475">
        <v>1474</v>
      </c>
      <c r="B1475" t="s">
        <v>4998</v>
      </c>
      <c r="C1475">
        <v>250</v>
      </c>
      <c r="D1475">
        <v>750</v>
      </c>
      <c r="E1475">
        <v>50</v>
      </c>
      <c r="F1475" s="73">
        <v>44953</v>
      </c>
    </row>
    <row r="1476" spans="1:6">
      <c r="A1476">
        <v>1475</v>
      </c>
      <c r="B1476" t="s">
        <v>5001</v>
      </c>
      <c r="C1476">
        <v>250</v>
      </c>
      <c r="D1476">
        <v>750</v>
      </c>
      <c r="E1476">
        <v>50</v>
      </c>
      <c r="F1476" s="61">
        <v>44807</v>
      </c>
    </row>
    <row r="1477" spans="1:6">
      <c r="A1477">
        <v>1476</v>
      </c>
      <c r="B1477" t="s">
        <v>5004</v>
      </c>
      <c r="C1477">
        <v>250</v>
      </c>
      <c r="D1477">
        <v>750</v>
      </c>
      <c r="E1477">
        <v>50</v>
      </c>
      <c r="F1477" s="60">
        <v>44867</v>
      </c>
    </row>
    <row r="1478" spans="1:6">
      <c r="A1478">
        <v>1477</v>
      </c>
      <c r="B1478" t="s">
        <v>5007</v>
      </c>
      <c r="C1478">
        <v>250</v>
      </c>
      <c r="D1478">
        <v>750</v>
      </c>
      <c r="E1478">
        <v>50</v>
      </c>
      <c r="F1478" s="73">
        <v>45068</v>
      </c>
    </row>
    <row r="1479" spans="1:6">
      <c r="A1479">
        <v>1478</v>
      </c>
      <c r="B1479" t="s">
        <v>5010</v>
      </c>
      <c r="C1479">
        <v>250</v>
      </c>
      <c r="D1479">
        <v>750</v>
      </c>
      <c r="E1479">
        <v>50</v>
      </c>
      <c r="F1479" s="61">
        <v>45092</v>
      </c>
    </row>
    <row r="1480" spans="1:6">
      <c r="A1480">
        <v>1479</v>
      </c>
      <c r="B1480" t="s">
        <v>5013</v>
      </c>
      <c r="C1480">
        <v>1000</v>
      </c>
      <c r="D1480">
        <v>0</v>
      </c>
      <c r="E1480">
        <v>50</v>
      </c>
      <c r="F1480" s="60">
        <v>44946</v>
      </c>
    </row>
    <row r="1481" spans="1:6">
      <c r="A1481">
        <v>1480</v>
      </c>
      <c r="B1481" t="s">
        <v>5017</v>
      </c>
      <c r="C1481">
        <v>1000</v>
      </c>
      <c r="D1481">
        <v>0</v>
      </c>
      <c r="E1481">
        <v>50</v>
      </c>
      <c r="F1481" s="61">
        <v>44807</v>
      </c>
    </row>
    <row r="1482" spans="1:6">
      <c r="A1482">
        <v>1481</v>
      </c>
      <c r="B1482" t="s">
        <v>5020</v>
      </c>
      <c r="C1482">
        <v>250</v>
      </c>
      <c r="D1482">
        <v>750</v>
      </c>
      <c r="E1482">
        <v>50</v>
      </c>
      <c r="F1482" s="61">
        <v>44949</v>
      </c>
    </row>
    <row r="1483" spans="1:6">
      <c r="A1483">
        <v>1482</v>
      </c>
      <c r="B1483" t="s">
        <v>5023</v>
      </c>
      <c r="C1483">
        <v>35000</v>
      </c>
      <c r="D1483">
        <v>0</v>
      </c>
      <c r="E1483">
        <v>1750</v>
      </c>
      <c r="F1483" s="64" t="s">
        <v>16743</v>
      </c>
    </row>
    <row r="1484" spans="1:6">
      <c r="A1484">
        <v>1483</v>
      </c>
      <c r="B1484" t="s">
        <v>5029</v>
      </c>
      <c r="C1484">
        <v>1000</v>
      </c>
      <c r="D1484">
        <v>0</v>
      </c>
      <c r="E1484">
        <v>50</v>
      </c>
      <c r="F1484" s="69">
        <v>44957</v>
      </c>
    </row>
    <row r="1485" spans="1:6">
      <c r="A1485">
        <v>1484</v>
      </c>
      <c r="B1485" t="s">
        <v>5033</v>
      </c>
      <c r="C1485">
        <v>250</v>
      </c>
      <c r="D1485">
        <v>750</v>
      </c>
      <c r="E1485">
        <v>50</v>
      </c>
      <c r="F1485" s="61">
        <v>44886</v>
      </c>
    </row>
    <row r="1486" spans="1:6">
      <c r="A1486">
        <v>1485</v>
      </c>
      <c r="B1486" t="s">
        <v>5036</v>
      </c>
      <c r="C1486">
        <v>250</v>
      </c>
      <c r="D1486">
        <v>750</v>
      </c>
      <c r="E1486">
        <v>50</v>
      </c>
      <c r="F1486" s="60">
        <v>44807</v>
      </c>
    </row>
    <row r="1487" spans="1:6">
      <c r="A1487">
        <v>1486</v>
      </c>
      <c r="B1487" t="s">
        <v>5039</v>
      </c>
      <c r="C1487">
        <v>250</v>
      </c>
      <c r="D1487">
        <v>750</v>
      </c>
      <c r="E1487">
        <v>50</v>
      </c>
      <c r="F1487" s="60">
        <v>44986</v>
      </c>
    </row>
    <row r="1488" spans="1:6">
      <c r="A1488">
        <v>1487</v>
      </c>
      <c r="B1488" t="s">
        <v>5042</v>
      </c>
      <c r="C1488">
        <v>250</v>
      </c>
      <c r="D1488">
        <v>750</v>
      </c>
      <c r="E1488">
        <v>50</v>
      </c>
      <c r="F1488" s="60">
        <v>45230</v>
      </c>
    </row>
    <row r="1489" spans="1:6">
      <c r="A1489">
        <v>1488</v>
      </c>
      <c r="B1489" t="s">
        <v>5045</v>
      </c>
      <c r="C1489">
        <v>250</v>
      </c>
      <c r="D1489">
        <v>750</v>
      </c>
      <c r="E1489">
        <v>50</v>
      </c>
      <c r="F1489" s="61">
        <v>45012</v>
      </c>
    </row>
    <row r="1490" spans="1:6">
      <c r="A1490">
        <v>1489</v>
      </c>
      <c r="B1490" t="s">
        <v>5048</v>
      </c>
      <c r="C1490">
        <v>1000000</v>
      </c>
      <c r="D1490">
        <v>500000</v>
      </c>
      <c r="E1490" t="s">
        <v>16642</v>
      </c>
      <c r="F1490" s="80">
        <f>IFERROR(__xludf.DUMMYFUNCTION("""COMPUTED_VALUE"""),45080)</f>
        <v>45080</v>
      </c>
    </row>
    <row r="1491" spans="1:6">
      <c r="A1491">
        <v>1490</v>
      </c>
      <c r="B1491" t="s">
        <v>5049</v>
      </c>
      <c r="C1491">
        <v>1000</v>
      </c>
      <c r="D1491">
        <v>0</v>
      </c>
      <c r="E1491">
        <v>50</v>
      </c>
      <c r="F1491" s="69">
        <v>44880</v>
      </c>
    </row>
    <row r="1492" spans="1:6">
      <c r="A1492">
        <v>1491</v>
      </c>
      <c r="B1492" t="s">
        <v>5053</v>
      </c>
      <c r="C1492">
        <v>250</v>
      </c>
      <c r="D1492">
        <v>750</v>
      </c>
      <c r="E1492">
        <v>50</v>
      </c>
      <c r="F1492" s="61">
        <v>44882</v>
      </c>
    </row>
    <row r="1493" spans="1:6">
      <c r="A1493">
        <v>1492</v>
      </c>
      <c r="B1493" t="s">
        <v>5056</v>
      </c>
      <c r="C1493">
        <v>1000</v>
      </c>
      <c r="D1493">
        <v>0</v>
      </c>
      <c r="E1493">
        <v>50</v>
      </c>
      <c r="F1493" s="60">
        <v>44855</v>
      </c>
    </row>
    <row r="1494" spans="1:6">
      <c r="A1494">
        <v>1493</v>
      </c>
      <c r="B1494" t="s">
        <v>5060</v>
      </c>
      <c r="C1494">
        <v>12500</v>
      </c>
      <c r="D1494">
        <v>37500</v>
      </c>
      <c r="E1494">
        <v>2500</v>
      </c>
      <c r="F1494" s="64" t="s">
        <v>16726</v>
      </c>
    </row>
    <row r="1495" spans="1:6">
      <c r="A1495">
        <v>1494</v>
      </c>
      <c r="B1495" t="s">
        <v>5064</v>
      </c>
      <c r="C1495">
        <v>100000</v>
      </c>
      <c r="D1495">
        <v>0</v>
      </c>
      <c r="E1495" t="s">
        <v>16642</v>
      </c>
      <c r="F1495" s="100"/>
    </row>
    <row r="1496" spans="1:6">
      <c r="A1496">
        <v>1495</v>
      </c>
      <c r="B1496" t="s">
        <v>5069</v>
      </c>
      <c r="C1496">
        <v>15000</v>
      </c>
      <c r="D1496">
        <v>0</v>
      </c>
      <c r="E1496">
        <v>750</v>
      </c>
      <c r="F1496" s="64" t="s">
        <v>16649</v>
      </c>
    </row>
    <row r="1497" spans="1:6">
      <c r="A1497">
        <v>1496</v>
      </c>
      <c r="B1497" t="s">
        <v>5073</v>
      </c>
      <c r="C1497">
        <v>100000</v>
      </c>
      <c r="D1497">
        <v>0</v>
      </c>
      <c r="E1497" t="s">
        <v>16642</v>
      </c>
      <c r="F1497" s="76" t="s">
        <v>16744</v>
      </c>
    </row>
    <row r="1498" spans="1:6">
      <c r="A1498">
        <v>1497</v>
      </c>
      <c r="B1498" t="s">
        <v>5077</v>
      </c>
      <c r="C1498">
        <v>100000</v>
      </c>
      <c r="D1498">
        <v>0</v>
      </c>
      <c r="E1498" t="s">
        <v>16642</v>
      </c>
      <c r="F1498" s="76">
        <v>44919</v>
      </c>
    </row>
    <row r="1499" spans="1:6">
      <c r="A1499">
        <v>1498</v>
      </c>
      <c r="B1499" t="s">
        <v>5082</v>
      </c>
      <c r="C1499">
        <v>2000</v>
      </c>
      <c r="D1499">
        <v>0</v>
      </c>
      <c r="E1499">
        <v>100</v>
      </c>
      <c r="F1499" s="67">
        <v>45079</v>
      </c>
    </row>
    <row r="1500" spans="1:6">
      <c r="A1500">
        <v>1499</v>
      </c>
      <c r="B1500" t="s">
        <v>5085</v>
      </c>
      <c r="C1500">
        <v>7000</v>
      </c>
      <c r="D1500">
        <v>0</v>
      </c>
      <c r="E1500">
        <v>350</v>
      </c>
      <c r="F1500" s="67">
        <v>44950</v>
      </c>
    </row>
    <row r="1501" spans="1:6">
      <c r="A1501">
        <v>1500</v>
      </c>
      <c r="B1501" t="s">
        <v>5088</v>
      </c>
      <c r="C1501">
        <v>50000</v>
      </c>
      <c r="D1501">
        <v>0</v>
      </c>
      <c r="F1501" s="65">
        <v>44314</v>
      </c>
    </row>
    <row r="1502" spans="1:6">
      <c r="A1502">
        <v>1501</v>
      </c>
      <c r="B1502" t="s">
        <v>5092</v>
      </c>
      <c r="C1502">
        <v>1000</v>
      </c>
      <c r="D1502">
        <v>3000</v>
      </c>
      <c r="E1502">
        <v>200</v>
      </c>
      <c r="F1502" s="64" t="s">
        <v>16656</v>
      </c>
    </row>
    <row r="1503" spans="1:6">
      <c r="A1503">
        <v>1502</v>
      </c>
      <c r="B1503" t="s">
        <v>5096</v>
      </c>
      <c r="C1503">
        <v>1000</v>
      </c>
      <c r="D1503">
        <v>0</v>
      </c>
      <c r="E1503">
        <v>50</v>
      </c>
      <c r="F1503" s="65">
        <v>44620</v>
      </c>
    </row>
    <row r="1504" spans="1:6">
      <c r="A1504">
        <v>1503</v>
      </c>
      <c r="B1504" t="s">
        <v>5100</v>
      </c>
      <c r="C1504">
        <v>300000</v>
      </c>
      <c r="D1504">
        <v>0</v>
      </c>
      <c r="E1504" t="s">
        <v>16642</v>
      </c>
      <c r="F1504" s="76">
        <v>44960</v>
      </c>
    </row>
    <row r="1505" spans="1:6">
      <c r="A1505">
        <v>1504</v>
      </c>
      <c r="B1505" t="s">
        <v>5105</v>
      </c>
      <c r="C1505">
        <v>250</v>
      </c>
      <c r="D1505">
        <v>750</v>
      </c>
      <c r="E1505">
        <v>50</v>
      </c>
      <c r="F1505" s="60">
        <v>44879</v>
      </c>
    </row>
    <row r="1506" spans="1:6">
      <c r="A1506">
        <v>1505</v>
      </c>
      <c r="B1506" t="s">
        <v>5109</v>
      </c>
      <c r="C1506">
        <v>10000</v>
      </c>
      <c r="D1506">
        <v>0</v>
      </c>
      <c r="E1506">
        <v>500</v>
      </c>
      <c r="F1506" s="64" t="s">
        <v>16745</v>
      </c>
    </row>
    <row r="1507" spans="1:6">
      <c r="A1507">
        <v>1506</v>
      </c>
      <c r="B1507" t="s">
        <v>5113</v>
      </c>
      <c r="C1507">
        <v>250</v>
      </c>
      <c r="D1507">
        <v>750</v>
      </c>
      <c r="E1507">
        <v>50</v>
      </c>
      <c r="F1507" s="75">
        <v>44881</v>
      </c>
    </row>
    <row r="1508" spans="1:6">
      <c r="A1508">
        <v>1507</v>
      </c>
      <c r="B1508" t="s">
        <v>5116</v>
      </c>
      <c r="C1508">
        <v>100000</v>
      </c>
      <c r="D1508">
        <v>0</v>
      </c>
      <c r="E1508" t="s">
        <v>16642</v>
      </c>
      <c r="F1508" s="82">
        <v>44767</v>
      </c>
    </row>
    <row r="1509" spans="1:6">
      <c r="A1509">
        <v>1508</v>
      </c>
      <c r="B1509" t="s">
        <v>5121</v>
      </c>
      <c r="C1509">
        <v>250</v>
      </c>
      <c r="D1509">
        <v>750</v>
      </c>
      <c r="E1509">
        <v>50</v>
      </c>
      <c r="F1509" s="60">
        <v>44951</v>
      </c>
    </row>
    <row r="1510" spans="1:6">
      <c r="A1510">
        <v>1509</v>
      </c>
      <c r="B1510" t="s">
        <v>5124</v>
      </c>
      <c r="C1510">
        <v>250</v>
      </c>
      <c r="D1510">
        <v>750</v>
      </c>
      <c r="E1510">
        <v>50</v>
      </c>
      <c r="F1510" s="60">
        <v>44858</v>
      </c>
    </row>
    <row r="1511" spans="1:6">
      <c r="A1511">
        <v>1510</v>
      </c>
      <c r="B1511" t="s">
        <v>5127</v>
      </c>
      <c r="C1511">
        <v>250</v>
      </c>
      <c r="D1511">
        <v>750</v>
      </c>
      <c r="E1511">
        <v>50</v>
      </c>
      <c r="F1511" s="60">
        <v>44858</v>
      </c>
    </row>
    <row r="1512" spans="1:6">
      <c r="A1512">
        <v>1511</v>
      </c>
      <c r="B1512" t="s">
        <v>5130</v>
      </c>
      <c r="C1512">
        <v>250</v>
      </c>
      <c r="D1512">
        <v>750</v>
      </c>
      <c r="E1512">
        <v>50</v>
      </c>
      <c r="F1512" s="60">
        <v>44996</v>
      </c>
    </row>
    <row r="1513" spans="1:6">
      <c r="A1513">
        <v>1512</v>
      </c>
      <c r="B1513" t="s">
        <v>5133</v>
      </c>
      <c r="C1513">
        <v>250</v>
      </c>
      <c r="D1513">
        <v>750</v>
      </c>
      <c r="E1513">
        <v>50</v>
      </c>
      <c r="F1513" s="60">
        <v>44876</v>
      </c>
    </row>
    <row r="1514" spans="1:6">
      <c r="A1514">
        <v>1513</v>
      </c>
      <c r="B1514" t="s">
        <v>5136</v>
      </c>
      <c r="C1514">
        <v>250</v>
      </c>
      <c r="D1514">
        <v>750</v>
      </c>
      <c r="E1514">
        <v>50</v>
      </c>
      <c r="F1514" s="61">
        <v>44872</v>
      </c>
    </row>
    <row r="1515" spans="1:6">
      <c r="A1515">
        <v>1514</v>
      </c>
      <c r="B1515" t="s">
        <v>5139</v>
      </c>
      <c r="C1515">
        <v>2500</v>
      </c>
      <c r="D1515">
        <v>7500</v>
      </c>
      <c r="E1515">
        <v>500</v>
      </c>
      <c r="F1515" s="64" t="s">
        <v>16746</v>
      </c>
    </row>
    <row r="1516" spans="1:6">
      <c r="A1516">
        <v>1515</v>
      </c>
      <c r="B1516" t="s">
        <v>5143</v>
      </c>
      <c r="C1516">
        <v>250</v>
      </c>
      <c r="D1516">
        <v>750</v>
      </c>
      <c r="E1516">
        <v>50</v>
      </c>
      <c r="F1516" s="61">
        <v>45069</v>
      </c>
    </row>
    <row r="1517" spans="1:6">
      <c r="A1517">
        <v>1516</v>
      </c>
      <c r="B1517" t="s">
        <v>5146</v>
      </c>
      <c r="C1517">
        <v>100000</v>
      </c>
      <c r="D1517">
        <v>0</v>
      </c>
      <c r="E1517" t="s">
        <v>16642</v>
      </c>
      <c r="F1517" s="104"/>
    </row>
    <row r="1518" spans="1:6">
      <c r="A1518">
        <v>1517</v>
      </c>
      <c r="B1518" t="s">
        <v>5151</v>
      </c>
      <c r="C1518">
        <v>250</v>
      </c>
      <c r="D1518">
        <v>750</v>
      </c>
      <c r="E1518">
        <v>50</v>
      </c>
      <c r="F1518" s="61">
        <v>44858</v>
      </c>
    </row>
    <row r="1519" spans="1:6">
      <c r="A1519">
        <v>1518</v>
      </c>
      <c r="B1519" t="s">
        <v>5154</v>
      </c>
      <c r="C1519">
        <v>70000</v>
      </c>
      <c r="D1519">
        <v>0</v>
      </c>
      <c r="E1519">
        <v>3500</v>
      </c>
      <c r="F1519" s="65">
        <v>44541</v>
      </c>
    </row>
    <row r="1520" spans="1:6">
      <c r="A1520">
        <v>1519</v>
      </c>
      <c r="B1520" t="s">
        <v>5158</v>
      </c>
      <c r="C1520">
        <v>100000</v>
      </c>
      <c r="D1520">
        <v>0</v>
      </c>
      <c r="E1520" t="s">
        <v>16642</v>
      </c>
      <c r="F1520" s="76">
        <v>45036</v>
      </c>
    </row>
    <row r="1521" spans="1:6">
      <c r="A1521">
        <v>1520</v>
      </c>
      <c r="B1521" t="s">
        <v>5163</v>
      </c>
      <c r="C1521">
        <v>250</v>
      </c>
      <c r="D1521">
        <v>750</v>
      </c>
      <c r="E1521">
        <v>50</v>
      </c>
      <c r="F1521" s="60">
        <v>44924</v>
      </c>
    </row>
    <row r="1522" spans="1:6">
      <c r="A1522">
        <v>1521</v>
      </c>
      <c r="B1522" t="s">
        <v>5166</v>
      </c>
      <c r="C1522">
        <v>10000</v>
      </c>
      <c r="D1522">
        <v>30000</v>
      </c>
      <c r="E1522">
        <v>2000</v>
      </c>
      <c r="F1522" s="77">
        <v>44839</v>
      </c>
    </row>
    <row r="1523" spans="1:6">
      <c r="A1523">
        <v>1522</v>
      </c>
      <c r="B1523" t="s">
        <v>5169</v>
      </c>
      <c r="C1523">
        <v>250</v>
      </c>
      <c r="D1523">
        <v>750</v>
      </c>
      <c r="E1523">
        <v>50</v>
      </c>
      <c r="F1523" s="60">
        <v>44872</v>
      </c>
    </row>
    <row r="1524" spans="1:6">
      <c r="A1524">
        <v>1523</v>
      </c>
      <c r="B1524" t="s">
        <v>5173</v>
      </c>
      <c r="C1524">
        <v>250</v>
      </c>
      <c r="D1524">
        <v>750</v>
      </c>
      <c r="E1524">
        <v>50</v>
      </c>
      <c r="F1524" s="60">
        <v>44961</v>
      </c>
    </row>
    <row r="1525" spans="1:6">
      <c r="A1525">
        <v>1524</v>
      </c>
      <c r="B1525" t="s">
        <v>5176</v>
      </c>
      <c r="C1525">
        <v>250</v>
      </c>
      <c r="D1525">
        <v>750</v>
      </c>
      <c r="E1525">
        <v>50</v>
      </c>
      <c r="F1525" s="61">
        <v>44975</v>
      </c>
    </row>
    <row r="1526" spans="1:6">
      <c r="A1526">
        <v>1525</v>
      </c>
      <c r="B1526" t="s">
        <v>5179</v>
      </c>
      <c r="C1526">
        <v>250</v>
      </c>
      <c r="D1526">
        <v>750</v>
      </c>
      <c r="E1526">
        <v>50</v>
      </c>
      <c r="F1526" s="61">
        <v>44880</v>
      </c>
    </row>
    <row r="1527" spans="1:6">
      <c r="A1527">
        <v>1526</v>
      </c>
      <c r="B1527" t="s">
        <v>5182</v>
      </c>
      <c r="C1527">
        <v>250</v>
      </c>
      <c r="D1527">
        <v>750</v>
      </c>
      <c r="E1527">
        <v>50</v>
      </c>
      <c r="F1527" s="60">
        <v>44869</v>
      </c>
    </row>
    <row r="1528" spans="1:6">
      <c r="A1528">
        <v>1527</v>
      </c>
      <c r="B1528" t="s">
        <v>5186</v>
      </c>
      <c r="C1528">
        <v>250</v>
      </c>
      <c r="D1528">
        <v>750</v>
      </c>
      <c r="E1528">
        <v>50</v>
      </c>
      <c r="F1528" s="75">
        <v>44908</v>
      </c>
    </row>
    <row r="1529" spans="1:6">
      <c r="A1529">
        <v>1528</v>
      </c>
      <c r="B1529" t="s">
        <v>5190</v>
      </c>
      <c r="C1529">
        <v>250</v>
      </c>
      <c r="D1529">
        <v>750</v>
      </c>
      <c r="E1529">
        <v>50</v>
      </c>
      <c r="F1529" s="75">
        <v>44916</v>
      </c>
    </row>
    <row r="1530" ht="15" spans="1:6">
      <c r="A1530">
        <v>1529</v>
      </c>
      <c r="B1530" t="s">
        <v>5193</v>
      </c>
      <c r="C1530">
        <v>1000000</v>
      </c>
      <c r="D1530">
        <v>500000</v>
      </c>
      <c r="E1530" t="s">
        <v>16642</v>
      </c>
      <c r="F1530" s="81">
        <f>IFERROR(__xludf.DUMMYFUNCTION("""COMPUTED_VALUE"""),45079)</f>
        <v>45079</v>
      </c>
    </row>
    <row r="1531" spans="1:6">
      <c r="A1531">
        <v>1530</v>
      </c>
      <c r="B1531" t="s">
        <v>5194</v>
      </c>
      <c r="C1531">
        <v>250</v>
      </c>
      <c r="D1531">
        <v>750</v>
      </c>
      <c r="E1531">
        <v>50</v>
      </c>
      <c r="F1531" s="69">
        <v>45047</v>
      </c>
    </row>
    <row r="1532" spans="1:6">
      <c r="A1532">
        <v>1531</v>
      </c>
      <c r="B1532" t="s">
        <v>5198</v>
      </c>
      <c r="C1532">
        <v>250</v>
      </c>
      <c r="D1532">
        <v>750</v>
      </c>
      <c r="E1532">
        <v>50</v>
      </c>
      <c r="F1532" s="73">
        <v>45079</v>
      </c>
    </row>
    <row r="1533" spans="1:6">
      <c r="A1533">
        <v>1532</v>
      </c>
      <c r="B1533" t="s">
        <v>5201</v>
      </c>
      <c r="C1533">
        <v>500</v>
      </c>
      <c r="D1533">
        <v>500</v>
      </c>
      <c r="E1533">
        <v>50</v>
      </c>
      <c r="F1533" s="60">
        <v>44880</v>
      </c>
    </row>
    <row r="1534" spans="1:6">
      <c r="A1534">
        <v>1533</v>
      </c>
      <c r="B1534" t="s">
        <v>5204</v>
      </c>
      <c r="C1534">
        <v>250</v>
      </c>
      <c r="D1534">
        <v>750</v>
      </c>
      <c r="E1534">
        <v>50</v>
      </c>
      <c r="F1534" s="100" t="s">
        <v>16669</v>
      </c>
    </row>
    <row r="1535" spans="1:6">
      <c r="A1535">
        <v>1534</v>
      </c>
      <c r="B1535" t="s">
        <v>5207</v>
      </c>
      <c r="C1535">
        <v>250</v>
      </c>
      <c r="D1535">
        <v>750</v>
      </c>
      <c r="E1535">
        <v>50</v>
      </c>
      <c r="F1535" s="60">
        <v>44965</v>
      </c>
    </row>
    <row r="1536" spans="1:6">
      <c r="A1536">
        <v>1535</v>
      </c>
      <c r="B1536" t="s">
        <v>5210</v>
      </c>
      <c r="C1536">
        <v>250</v>
      </c>
      <c r="D1536">
        <v>750</v>
      </c>
      <c r="E1536">
        <v>50</v>
      </c>
      <c r="F1536" s="100" t="s">
        <v>16669</v>
      </c>
    </row>
    <row r="1537" spans="1:6">
      <c r="A1537">
        <v>1536</v>
      </c>
      <c r="B1537" t="s">
        <v>5213</v>
      </c>
      <c r="C1537">
        <v>250</v>
      </c>
      <c r="D1537">
        <v>750</v>
      </c>
      <c r="E1537">
        <v>50</v>
      </c>
      <c r="F1537" s="61">
        <v>44982</v>
      </c>
    </row>
    <row r="1538" spans="1:6">
      <c r="A1538">
        <v>1537</v>
      </c>
      <c r="B1538" t="s">
        <v>5216</v>
      </c>
      <c r="C1538">
        <v>250</v>
      </c>
      <c r="D1538">
        <v>750</v>
      </c>
      <c r="E1538">
        <v>50</v>
      </c>
      <c r="F1538" s="69">
        <v>45000</v>
      </c>
    </row>
    <row r="1539" spans="1:6">
      <c r="A1539">
        <v>1538</v>
      </c>
      <c r="B1539" t="s">
        <v>5220</v>
      </c>
      <c r="C1539">
        <v>250</v>
      </c>
      <c r="D1539">
        <v>750</v>
      </c>
      <c r="E1539">
        <v>50</v>
      </c>
      <c r="F1539" s="73">
        <v>45000</v>
      </c>
    </row>
    <row r="1540" spans="1:6">
      <c r="A1540">
        <v>1539</v>
      </c>
      <c r="B1540" t="s">
        <v>5223</v>
      </c>
      <c r="C1540">
        <v>250</v>
      </c>
      <c r="D1540">
        <v>750</v>
      </c>
      <c r="E1540">
        <v>50</v>
      </c>
      <c r="F1540" s="60">
        <v>44875</v>
      </c>
    </row>
    <row r="1541" spans="1:6">
      <c r="A1541">
        <v>1540</v>
      </c>
      <c r="B1541" t="s">
        <v>5226</v>
      </c>
      <c r="C1541">
        <v>250</v>
      </c>
      <c r="D1541">
        <v>750</v>
      </c>
      <c r="E1541">
        <v>50</v>
      </c>
      <c r="F1541" s="61">
        <v>44872</v>
      </c>
    </row>
    <row r="1542" spans="1:6">
      <c r="A1542">
        <v>1541</v>
      </c>
      <c r="B1542" t="s">
        <v>5229</v>
      </c>
      <c r="C1542">
        <v>500</v>
      </c>
      <c r="D1542">
        <v>500</v>
      </c>
      <c r="E1542">
        <v>50</v>
      </c>
      <c r="F1542" s="69">
        <v>44921</v>
      </c>
    </row>
    <row r="1543" spans="1:6">
      <c r="A1543">
        <v>1542</v>
      </c>
      <c r="B1543" t="s">
        <v>5232</v>
      </c>
      <c r="C1543">
        <v>250</v>
      </c>
      <c r="D1543">
        <v>750</v>
      </c>
      <c r="E1543">
        <v>50</v>
      </c>
      <c r="F1543" s="69">
        <v>45013</v>
      </c>
    </row>
    <row r="1544" spans="1:6">
      <c r="A1544">
        <v>1543</v>
      </c>
      <c r="B1544" t="s">
        <v>5235</v>
      </c>
      <c r="C1544">
        <v>250</v>
      </c>
      <c r="D1544">
        <v>750</v>
      </c>
      <c r="E1544">
        <v>50</v>
      </c>
      <c r="F1544" s="61">
        <v>44876</v>
      </c>
    </row>
    <row r="1545" spans="1:6">
      <c r="A1545">
        <v>1544</v>
      </c>
      <c r="B1545" t="s">
        <v>5238</v>
      </c>
      <c r="C1545">
        <v>250</v>
      </c>
      <c r="D1545">
        <v>750</v>
      </c>
      <c r="E1545">
        <v>50</v>
      </c>
      <c r="F1545" s="60">
        <v>44926</v>
      </c>
    </row>
    <row r="1546" spans="1:6">
      <c r="A1546">
        <v>1545</v>
      </c>
      <c r="B1546" t="s">
        <v>5241</v>
      </c>
      <c r="C1546">
        <v>250</v>
      </c>
      <c r="D1546">
        <v>750</v>
      </c>
      <c r="E1546">
        <v>50</v>
      </c>
      <c r="F1546" s="60">
        <v>44849</v>
      </c>
    </row>
    <row r="1547" spans="1:6">
      <c r="A1547">
        <v>1546</v>
      </c>
      <c r="B1547" t="s">
        <v>5245</v>
      </c>
      <c r="C1547">
        <v>1200</v>
      </c>
      <c r="D1547">
        <v>3600</v>
      </c>
      <c r="E1547">
        <v>240</v>
      </c>
      <c r="F1547" s="77">
        <v>44783</v>
      </c>
    </row>
    <row r="1548" spans="1:6">
      <c r="A1548">
        <v>1547</v>
      </c>
      <c r="B1548" t="s">
        <v>5248</v>
      </c>
      <c r="C1548">
        <v>250</v>
      </c>
      <c r="D1548">
        <v>750</v>
      </c>
      <c r="E1548">
        <v>50</v>
      </c>
      <c r="F1548" s="69">
        <v>45001</v>
      </c>
    </row>
    <row r="1549" spans="1:6">
      <c r="A1549">
        <v>1548</v>
      </c>
      <c r="B1549" t="s">
        <v>5252</v>
      </c>
      <c r="C1549">
        <v>250</v>
      </c>
      <c r="D1549">
        <v>750</v>
      </c>
      <c r="E1549">
        <v>50</v>
      </c>
      <c r="F1549" s="60">
        <v>45015</v>
      </c>
    </row>
    <row r="1550" spans="1:6">
      <c r="A1550">
        <v>1549</v>
      </c>
      <c r="B1550" t="s">
        <v>5255</v>
      </c>
      <c r="C1550">
        <v>250</v>
      </c>
      <c r="D1550">
        <v>750</v>
      </c>
      <c r="E1550">
        <v>50</v>
      </c>
      <c r="F1550" s="69">
        <v>44929</v>
      </c>
    </row>
    <row r="1551" spans="1:6">
      <c r="A1551">
        <v>1550</v>
      </c>
      <c r="B1551" t="s">
        <v>5258</v>
      </c>
      <c r="C1551">
        <v>250</v>
      </c>
      <c r="D1551">
        <v>750</v>
      </c>
      <c r="E1551">
        <v>50</v>
      </c>
      <c r="F1551" s="60">
        <v>44837</v>
      </c>
    </row>
    <row r="1552" spans="1:6">
      <c r="A1552">
        <v>1551</v>
      </c>
      <c r="B1552" t="s">
        <v>5261</v>
      </c>
      <c r="C1552">
        <v>250</v>
      </c>
      <c r="D1552">
        <v>750</v>
      </c>
      <c r="E1552">
        <v>50</v>
      </c>
      <c r="F1552" s="61">
        <v>44631</v>
      </c>
    </row>
    <row r="1553" spans="1:6">
      <c r="A1553">
        <v>1552</v>
      </c>
      <c r="B1553" t="s">
        <v>5264</v>
      </c>
      <c r="C1553">
        <v>250</v>
      </c>
      <c r="D1553">
        <v>750</v>
      </c>
      <c r="E1553">
        <v>50</v>
      </c>
      <c r="F1553" s="61">
        <v>44851</v>
      </c>
    </row>
    <row r="1554" spans="1:6">
      <c r="A1554">
        <v>1553</v>
      </c>
      <c r="B1554" t="s">
        <v>5267</v>
      </c>
      <c r="C1554">
        <v>1000</v>
      </c>
      <c r="D1554">
        <v>0</v>
      </c>
      <c r="E1554">
        <v>50</v>
      </c>
      <c r="F1554" s="60">
        <v>44868</v>
      </c>
    </row>
    <row r="1555" spans="1:6">
      <c r="A1555">
        <v>1554</v>
      </c>
      <c r="B1555" t="s">
        <v>5270</v>
      </c>
      <c r="C1555">
        <v>1000</v>
      </c>
      <c r="D1555">
        <v>0</v>
      </c>
      <c r="E1555">
        <v>50</v>
      </c>
      <c r="F1555" s="60">
        <v>44844</v>
      </c>
    </row>
    <row r="1556" spans="1:6">
      <c r="A1556">
        <v>1555</v>
      </c>
      <c r="B1556" t="s">
        <v>5274</v>
      </c>
      <c r="C1556">
        <v>250</v>
      </c>
      <c r="D1556">
        <v>750</v>
      </c>
      <c r="E1556">
        <v>50</v>
      </c>
      <c r="F1556" s="75">
        <v>44910</v>
      </c>
    </row>
    <row r="1557" spans="1:6">
      <c r="A1557">
        <v>1556</v>
      </c>
      <c r="B1557" t="s">
        <v>5277</v>
      </c>
      <c r="C1557">
        <v>20000</v>
      </c>
      <c r="D1557">
        <v>0</v>
      </c>
      <c r="E1557">
        <v>500</v>
      </c>
      <c r="F1557" s="77">
        <v>44781</v>
      </c>
    </row>
    <row r="1558" spans="1:6">
      <c r="A1558">
        <v>1557</v>
      </c>
      <c r="B1558" t="s">
        <v>5280</v>
      </c>
      <c r="C1558">
        <v>250</v>
      </c>
      <c r="D1558">
        <v>750</v>
      </c>
      <c r="E1558">
        <v>50</v>
      </c>
      <c r="F1558" s="61">
        <v>44863</v>
      </c>
    </row>
    <row r="1559" spans="1:6">
      <c r="A1559">
        <v>1558</v>
      </c>
      <c r="B1559" t="s">
        <v>5283</v>
      </c>
      <c r="C1559">
        <v>250</v>
      </c>
      <c r="D1559">
        <v>750</v>
      </c>
      <c r="E1559">
        <v>50</v>
      </c>
      <c r="F1559" s="75">
        <v>44914</v>
      </c>
    </row>
    <row r="1560" spans="1:6">
      <c r="A1560">
        <v>1559</v>
      </c>
      <c r="B1560" t="s">
        <v>5287</v>
      </c>
      <c r="C1560">
        <v>250</v>
      </c>
      <c r="D1560">
        <v>750</v>
      </c>
      <c r="E1560">
        <v>50</v>
      </c>
      <c r="F1560" s="61">
        <v>44884</v>
      </c>
    </row>
    <row r="1561" spans="1:6">
      <c r="A1561">
        <v>1560</v>
      </c>
      <c r="B1561" t="s">
        <v>5291</v>
      </c>
      <c r="C1561">
        <v>55000</v>
      </c>
      <c r="D1561">
        <v>45000</v>
      </c>
      <c r="E1561">
        <v>5000</v>
      </c>
      <c r="F1561" s="79">
        <v>44953</v>
      </c>
    </row>
    <row r="1562" spans="1:6">
      <c r="A1562">
        <v>1561</v>
      </c>
      <c r="B1562" t="s">
        <v>5294</v>
      </c>
      <c r="C1562">
        <v>10000</v>
      </c>
      <c r="D1562">
        <v>0</v>
      </c>
      <c r="E1562">
        <v>500</v>
      </c>
      <c r="F1562" s="64" t="s">
        <v>16747</v>
      </c>
    </row>
    <row r="1563" spans="1:6">
      <c r="A1563">
        <v>1562</v>
      </c>
      <c r="B1563" t="s">
        <v>5298</v>
      </c>
      <c r="C1563">
        <v>20000</v>
      </c>
      <c r="D1563">
        <v>0</v>
      </c>
      <c r="E1563">
        <v>1000</v>
      </c>
      <c r="F1563" s="64" t="s">
        <v>16748</v>
      </c>
    </row>
    <row r="1564" ht="15" spans="1:6">
      <c r="A1564">
        <v>1563</v>
      </c>
      <c r="B1564" t="s">
        <v>5302</v>
      </c>
      <c r="C1564">
        <v>1000000</v>
      </c>
      <c r="D1564">
        <v>500000</v>
      </c>
      <c r="E1564" t="s">
        <v>16642</v>
      </c>
      <c r="F1564" s="81">
        <f>IFERROR(__xludf.DUMMYFUNCTION("""COMPUTED_VALUE"""),45079)</f>
        <v>45079</v>
      </c>
    </row>
    <row r="1565" spans="1:6">
      <c r="A1565">
        <v>1564</v>
      </c>
      <c r="B1565" t="s">
        <v>5303</v>
      </c>
      <c r="C1565">
        <v>250</v>
      </c>
      <c r="D1565">
        <v>750</v>
      </c>
      <c r="E1565">
        <v>50</v>
      </c>
      <c r="F1565" s="61">
        <v>44919</v>
      </c>
    </row>
    <row r="1566" spans="1:6">
      <c r="A1566">
        <v>1565</v>
      </c>
      <c r="B1566" t="s">
        <v>5306</v>
      </c>
      <c r="C1566">
        <v>250</v>
      </c>
      <c r="D1566">
        <v>750</v>
      </c>
      <c r="E1566">
        <v>50</v>
      </c>
      <c r="F1566" s="71">
        <v>44875</v>
      </c>
    </row>
    <row r="1567" ht="15" spans="1:6">
      <c r="A1567">
        <v>1566</v>
      </c>
      <c r="B1567" t="s">
        <v>5309</v>
      </c>
      <c r="C1567">
        <v>1000000</v>
      </c>
      <c r="D1567">
        <v>500000</v>
      </c>
      <c r="E1567" t="s">
        <v>16642</v>
      </c>
      <c r="F1567" s="88">
        <f>IFERROR(__xludf.DUMMYFUNCTION("""COMPUTED_VALUE"""),45084)</f>
        <v>45084</v>
      </c>
    </row>
    <row r="1568" spans="1:6">
      <c r="A1568">
        <v>1567</v>
      </c>
      <c r="B1568" t="s">
        <v>5310</v>
      </c>
      <c r="C1568">
        <v>250</v>
      </c>
      <c r="D1568">
        <v>750</v>
      </c>
      <c r="E1568">
        <v>50</v>
      </c>
      <c r="F1568" s="60">
        <v>44833</v>
      </c>
    </row>
    <row r="1569" spans="1:6">
      <c r="A1569">
        <v>1568</v>
      </c>
      <c r="B1569" t="s">
        <v>5314</v>
      </c>
      <c r="C1569">
        <v>100000</v>
      </c>
      <c r="D1569">
        <v>0</v>
      </c>
      <c r="E1569" t="s">
        <v>16642</v>
      </c>
      <c r="F1569" s="85"/>
    </row>
    <row r="1570" spans="1:6">
      <c r="A1570">
        <v>1569</v>
      </c>
      <c r="B1570" t="s">
        <v>5314</v>
      </c>
      <c r="C1570">
        <v>200000</v>
      </c>
      <c r="D1570">
        <v>0</v>
      </c>
      <c r="E1570" t="s">
        <v>16642</v>
      </c>
      <c r="F1570" s="96">
        <v>44979</v>
      </c>
    </row>
    <row r="1571" spans="1:6">
      <c r="A1571">
        <v>1570</v>
      </c>
      <c r="B1571" t="s">
        <v>5318</v>
      </c>
      <c r="C1571">
        <v>7500</v>
      </c>
      <c r="D1571">
        <v>22500</v>
      </c>
      <c r="E1571">
        <v>1500</v>
      </c>
      <c r="F1571" s="119">
        <v>44907</v>
      </c>
    </row>
    <row r="1572" spans="1:6">
      <c r="A1572">
        <v>1571</v>
      </c>
      <c r="B1572" t="s">
        <v>5318</v>
      </c>
      <c r="C1572">
        <v>100000</v>
      </c>
      <c r="D1572">
        <v>0</v>
      </c>
      <c r="E1572" t="s">
        <v>16642</v>
      </c>
      <c r="F1572" s="96">
        <v>44950</v>
      </c>
    </row>
    <row r="1573" spans="1:6">
      <c r="A1573">
        <v>1572</v>
      </c>
      <c r="B1573" t="s">
        <v>5321</v>
      </c>
      <c r="C1573">
        <v>100000</v>
      </c>
      <c r="D1573">
        <v>0</v>
      </c>
      <c r="E1573">
        <v>5000</v>
      </c>
      <c r="F1573" s="64" t="s">
        <v>16654</v>
      </c>
    </row>
    <row r="1574" spans="1:6">
      <c r="A1574">
        <v>1573</v>
      </c>
      <c r="B1574" t="s">
        <v>5325</v>
      </c>
      <c r="C1574">
        <v>200000</v>
      </c>
      <c r="D1574">
        <v>0</v>
      </c>
      <c r="E1574" t="s">
        <v>16642</v>
      </c>
      <c r="F1574" s="76">
        <v>44915</v>
      </c>
    </row>
    <row r="1575" spans="1:6">
      <c r="A1575">
        <v>1574</v>
      </c>
      <c r="B1575" t="s">
        <v>5329</v>
      </c>
      <c r="C1575">
        <v>200000</v>
      </c>
      <c r="D1575">
        <v>0</v>
      </c>
      <c r="E1575" t="s">
        <v>16642</v>
      </c>
      <c r="F1575" s="100"/>
    </row>
    <row r="1576" spans="1:6">
      <c r="A1576">
        <v>1575</v>
      </c>
      <c r="B1576" t="s">
        <v>5331</v>
      </c>
      <c r="C1576">
        <v>100000</v>
      </c>
      <c r="D1576">
        <v>0</v>
      </c>
      <c r="E1576" t="s">
        <v>16642</v>
      </c>
      <c r="F1576" s="100"/>
    </row>
    <row r="1577" spans="1:6">
      <c r="A1577">
        <v>1576</v>
      </c>
      <c r="B1577" t="s">
        <v>5335</v>
      </c>
      <c r="C1577">
        <v>1000</v>
      </c>
      <c r="D1577">
        <v>0</v>
      </c>
      <c r="E1577">
        <v>50</v>
      </c>
      <c r="F1577" s="77">
        <v>44848</v>
      </c>
    </row>
    <row r="1578" spans="1:6">
      <c r="A1578">
        <v>1577</v>
      </c>
      <c r="B1578" t="s">
        <v>5338</v>
      </c>
      <c r="C1578">
        <v>1000</v>
      </c>
      <c r="D1578">
        <v>0</v>
      </c>
      <c r="E1578">
        <v>50</v>
      </c>
      <c r="F1578" s="77">
        <v>44848</v>
      </c>
    </row>
    <row r="1579" spans="1:6">
      <c r="A1579">
        <v>1578</v>
      </c>
      <c r="B1579" t="s">
        <v>5341</v>
      </c>
      <c r="C1579">
        <v>2500</v>
      </c>
      <c r="D1579">
        <v>7500</v>
      </c>
      <c r="E1579">
        <v>500</v>
      </c>
      <c r="F1579" s="77">
        <v>44848</v>
      </c>
    </row>
    <row r="1580" spans="1:6">
      <c r="A1580">
        <v>1579</v>
      </c>
      <c r="B1580" t="s">
        <v>5344</v>
      </c>
      <c r="C1580">
        <v>100000</v>
      </c>
      <c r="D1580">
        <v>0</v>
      </c>
      <c r="E1580" t="s">
        <v>16642</v>
      </c>
      <c r="F1580" s="96">
        <v>44929</v>
      </c>
    </row>
    <row r="1581" spans="1:6">
      <c r="A1581">
        <v>1580</v>
      </c>
      <c r="B1581" t="s">
        <v>5344</v>
      </c>
      <c r="C1581">
        <v>100000</v>
      </c>
      <c r="D1581">
        <v>0</v>
      </c>
      <c r="E1581" t="s">
        <v>16642</v>
      </c>
      <c r="F1581" s="85"/>
    </row>
    <row r="1582" spans="1:6">
      <c r="A1582">
        <v>1581</v>
      </c>
      <c r="B1582" t="s">
        <v>5348</v>
      </c>
      <c r="C1582">
        <v>10000</v>
      </c>
      <c r="D1582">
        <v>0</v>
      </c>
      <c r="E1582">
        <v>500</v>
      </c>
      <c r="F1582" s="79">
        <v>44949</v>
      </c>
    </row>
    <row r="1583" spans="1:6">
      <c r="A1583">
        <v>1582</v>
      </c>
      <c r="B1583" t="s">
        <v>5351</v>
      </c>
      <c r="C1583">
        <v>250</v>
      </c>
      <c r="D1583">
        <v>750</v>
      </c>
      <c r="E1583">
        <v>50</v>
      </c>
      <c r="F1583" s="61">
        <v>44870</v>
      </c>
    </row>
    <row r="1584" spans="1:6">
      <c r="A1584">
        <v>1583</v>
      </c>
      <c r="B1584" t="s">
        <v>5355</v>
      </c>
      <c r="C1584">
        <v>1000</v>
      </c>
      <c r="D1584">
        <v>0</v>
      </c>
      <c r="E1584">
        <v>50</v>
      </c>
      <c r="F1584" s="67">
        <v>44984</v>
      </c>
    </row>
    <row r="1585" spans="1:6">
      <c r="A1585">
        <v>1584</v>
      </c>
      <c r="B1585" t="s">
        <v>5358</v>
      </c>
      <c r="C1585">
        <v>1000000</v>
      </c>
      <c r="D1585">
        <v>500000</v>
      </c>
      <c r="E1585" t="s">
        <v>16642</v>
      </c>
      <c r="F1585" s="80">
        <f>IFERROR(__xludf.DUMMYFUNCTION("""COMPUTED_VALUE"""),45080)</f>
        <v>45080</v>
      </c>
    </row>
    <row r="1586" spans="1:6">
      <c r="A1586">
        <v>1585</v>
      </c>
      <c r="B1586" t="s">
        <v>5359</v>
      </c>
      <c r="C1586">
        <v>1000</v>
      </c>
      <c r="D1586">
        <v>0</v>
      </c>
      <c r="E1586">
        <v>50</v>
      </c>
      <c r="F1586" s="77">
        <v>44762</v>
      </c>
    </row>
    <row r="1587" spans="1:6">
      <c r="A1587">
        <v>1586</v>
      </c>
      <c r="B1587" t="s">
        <v>5362</v>
      </c>
      <c r="C1587">
        <v>1250</v>
      </c>
      <c r="D1587">
        <v>3750</v>
      </c>
      <c r="E1587">
        <v>250</v>
      </c>
      <c r="F1587" s="64" t="s">
        <v>16749</v>
      </c>
    </row>
    <row r="1588" spans="1:6">
      <c r="A1588">
        <v>1587</v>
      </c>
      <c r="B1588" t="s">
        <v>5366</v>
      </c>
      <c r="C1588">
        <v>1000</v>
      </c>
      <c r="D1588">
        <v>0</v>
      </c>
      <c r="E1588">
        <v>50</v>
      </c>
      <c r="F1588" s="65">
        <v>44516</v>
      </c>
    </row>
    <row r="1589" spans="1:6">
      <c r="A1589">
        <v>1588</v>
      </c>
      <c r="B1589" t="s">
        <v>5370</v>
      </c>
      <c r="C1589">
        <v>100000</v>
      </c>
      <c r="D1589">
        <v>0</v>
      </c>
      <c r="E1589" t="s">
        <v>16642</v>
      </c>
      <c r="F1589" s="66"/>
    </row>
    <row r="1590" spans="1:6">
      <c r="A1590">
        <v>1589</v>
      </c>
      <c r="B1590" t="s">
        <v>5375</v>
      </c>
      <c r="C1590">
        <v>1250</v>
      </c>
      <c r="D1590">
        <v>3750</v>
      </c>
      <c r="E1590">
        <v>250</v>
      </c>
      <c r="F1590" s="77">
        <v>44821</v>
      </c>
    </row>
    <row r="1591" spans="1:6">
      <c r="A1591">
        <v>1590</v>
      </c>
      <c r="B1591" t="s">
        <v>5378</v>
      </c>
      <c r="C1591">
        <v>25000</v>
      </c>
      <c r="D1591">
        <v>75000</v>
      </c>
      <c r="E1591">
        <v>5000</v>
      </c>
      <c r="F1591" s="74">
        <v>44964</v>
      </c>
    </row>
    <row r="1592" spans="1:6">
      <c r="A1592">
        <v>1591</v>
      </c>
      <c r="B1592" t="s">
        <v>5381</v>
      </c>
      <c r="C1592">
        <v>250</v>
      </c>
      <c r="D1592">
        <v>750</v>
      </c>
      <c r="E1592">
        <v>50</v>
      </c>
      <c r="F1592" s="60">
        <v>44950</v>
      </c>
    </row>
    <row r="1593" spans="1:6">
      <c r="A1593">
        <v>1592</v>
      </c>
      <c r="B1593" t="s">
        <v>5384</v>
      </c>
      <c r="C1593">
        <v>250</v>
      </c>
      <c r="D1593">
        <v>750</v>
      </c>
      <c r="E1593">
        <v>50</v>
      </c>
      <c r="F1593" s="60">
        <v>44930</v>
      </c>
    </row>
    <row r="1594" spans="1:6">
      <c r="A1594">
        <v>1593</v>
      </c>
      <c r="B1594" t="s">
        <v>5387</v>
      </c>
      <c r="C1594">
        <v>500</v>
      </c>
      <c r="D1594">
        <v>500</v>
      </c>
      <c r="E1594">
        <v>50</v>
      </c>
      <c r="F1594" s="73">
        <v>44929</v>
      </c>
    </row>
    <row r="1595" spans="1:6">
      <c r="A1595">
        <v>1594</v>
      </c>
      <c r="B1595" t="s">
        <v>5391</v>
      </c>
      <c r="C1595">
        <v>250</v>
      </c>
      <c r="D1595">
        <v>750</v>
      </c>
      <c r="E1595">
        <v>50</v>
      </c>
      <c r="F1595" s="60">
        <v>44872</v>
      </c>
    </row>
    <row r="1596" spans="1:6">
      <c r="A1596">
        <v>1595</v>
      </c>
      <c r="B1596" t="s">
        <v>5394</v>
      </c>
      <c r="C1596">
        <v>250</v>
      </c>
      <c r="D1596">
        <v>750</v>
      </c>
      <c r="E1596">
        <v>50</v>
      </c>
      <c r="F1596" s="60">
        <v>44805</v>
      </c>
    </row>
    <row r="1597" spans="1:6">
      <c r="A1597">
        <v>1596</v>
      </c>
      <c r="B1597" t="s">
        <v>5398</v>
      </c>
      <c r="C1597">
        <v>250</v>
      </c>
      <c r="D1597">
        <v>750</v>
      </c>
      <c r="E1597">
        <v>50</v>
      </c>
      <c r="F1597" s="61">
        <v>44825</v>
      </c>
    </row>
    <row r="1598" spans="1:6">
      <c r="A1598">
        <v>1597</v>
      </c>
      <c r="B1598" t="s">
        <v>5402</v>
      </c>
      <c r="C1598">
        <v>250</v>
      </c>
      <c r="D1598">
        <v>750</v>
      </c>
      <c r="E1598">
        <v>50</v>
      </c>
      <c r="F1598" s="60">
        <v>45029</v>
      </c>
    </row>
    <row r="1599" spans="1:6">
      <c r="A1599">
        <v>1598</v>
      </c>
      <c r="B1599" t="s">
        <v>5405</v>
      </c>
      <c r="C1599">
        <v>5000</v>
      </c>
      <c r="D1599">
        <v>15000</v>
      </c>
      <c r="E1599">
        <v>1000</v>
      </c>
      <c r="F1599" s="77">
        <v>44847</v>
      </c>
    </row>
    <row r="1600" spans="1:6">
      <c r="A1600">
        <v>1599</v>
      </c>
      <c r="B1600" t="s">
        <v>5408</v>
      </c>
      <c r="C1600">
        <v>250</v>
      </c>
      <c r="D1600">
        <v>750</v>
      </c>
      <c r="E1600">
        <v>50</v>
      </c>
      <c r="F1600" s="61">
        <v>44973</v>
      </c>
    </row>
    <row r="1601" spans="1:6">
      <c r="A1601">
        <v>1600</v>
      </c>
      <c r="B1601" t="s">
        <v>5411</v>
      </c>
      <c r="C1601">
        <v>250</v>
      </c>
      <c r="D1601">
        <v>750</v>
      </c>
      <c r="E1601">
        <v>50</v>
      </c>
      <c r="F1601" s="73">
        <v>44954</v>
      </c>
    </row>
    <row r="1602" spans="1:6">
      <c r="A1602">
        <v>1601</v>
      </c>
      <c r="B1602" t="s">
        <v>5414</v>
      </c>
      <c r="C1602">
        <v>250</v>
      </c>
      <c r="D1602">
        <v>750</v>
      </c>
      <c r="E1602">
        <v>50</v>
      </c>
      <c r="F1602" s="60">
        <v>44840</v>
      </c>
    </row>
    <row r="1603" spans="1:6">
      <c r="A1603">
        <v>1602</v>
      </c>
      <c r="B1603" t="s">
        <v>5417</v>
      </c>
      <c r="C1603">
        <v>1000</v>
      </c>
      <c r="D1603">
        <v>4000</v>
      </c>
      <c r="E1603">
        <v>250</v>
      </c>
      <c r="F1603" s="72">
        <v>44826</v>
      </c>
    </row>
    <row r="1604" spans="1:6">
      <c r="A1604">
        <v>1603</v>
      </c>
      <c r="B1604" t="s">
        <v>5421</v>
      </c>
      <c r="C1604">
        <v>250</v>
      </c>
      <c r="D1604">
        <v>750</v>
      </c>
      <c r="E1604">
        <v>50</v>
      </c>
      <c r="F1604" s="60">
        <v>44912</v>
      </c>
    </row>
    <row r="1605" spans="1:6">
      <c r="A1605">
        <v>1604</v>
      </c>
      <c r="B1605" t="s">
        <v>5425</v>
      </c>
      <c r="C1605">
        <v>250</v>
      </c>
      <c r="D1605">
        <v>750</v>
      </c>
      <c r="E1605">
        <v>50</v>
      </c>
      <c r="F1605" s="61">
        <v>44840</v>
      </c>
    </row>
    <row r="1606" spans="1:6">
      <c r="A1606">
        <v>1605</v>
      </c>
      <c r="B1606" t="s">
        <v>5428</v>
      </c>
      <c r="C1606">
        <v>1000</v>
      </c>
      <c r="D1606">
        <v>0</v>
      </c>
      <c r="E1606">
        <v>50</v>
      </c>
      <c r="F1606" s="61">
        <v>44928</v>
      </c>
    </row>
    <row r="1607" spans="1:6">
      <c r="A1607">
        <v>1606</v>
      </c>
      <c r="B1607" t="s">
        <v>5432</v>
      </c>
      <c r="C1607">
        <v>5000</v>
      </c>
      <c r="D1607">
        <v>0</v>
      </c>
      <c r="E1607">
        <v>250</v>
      </c>
      <c r="F1607" s="79">
        <v>44938</v>
      </c>
    </row>
    <row r="1608" spans="1:6">
      <c r="A1608">
        <v>1607</v>
      </c>
      <c r="B1608" t="s">
        <v>5435</v>
      </c>
      <c r="C1608">
        <v>250</v>
      </c>
      <c r="D1608">
        <v>750</v>
      </c>
      <c r="E1608">
        <v>50</v>
      </c>
      <c r="F1608" s="60">
        <v>44820</v>
      </c>
    </row>
    <row r="1609" spans="1:6">
      <c r="A1609">
        <v>1608</v>
      </c>
      <c r="B1609" t="s">
        <v>5439</v>
      </c>
      <c r="C1609">
        <v>250</v>
      </c>
      <c r="D1609">
        <v>750</v>
      </c>
      <c r="E1609">
        <v>50</v>
      </c>
      <c r="F1609" s="75">
        <v>44849</v>
      </c>
    </row>
    <row r="1610" spans="1:6">
      <c r="A1610">
        <v>1609</v>
      </c>
      <c r="B1610" t="s">
        <v>5443</v>
      </c>
      <c r="C1610">
        <v>250</v>
      </c>
      <c r="D1610">
        <v>750</v>
      </c>
      <c r="E1610">
        <v>50</v>
      </c>
      <c r="F1610" s="70">
        <v>44865</v>
      </c>
    </row>
    <row r="1611" spans="1:6">
      <c r="A1611">
        <v>1610</v>
      </c>
      <c r="B1611" t="s">
        <v>5447</v>
      </c>
      <c r="C1611">
        <v>250</v>
      </c>
      <c r="D1611">
        <v>750</v>
      </c>
      <c r="E1611">
        <v>50</v>
      </c>
      <c r="F1611" s="60">
        <v>44930</v>
      </c>
    </row>
    <row r="1612" spans="1:6">
      <c r="A1612">
        <v>1611</v>
      </c>
      <c r="B1612" t="s">
        <v>5450</v>
      </c>
      <c r="C1612">
        <v>250</v>
      </c>
      <c r="D1612">
        <v>750</v>
      </c>
      <c r="E1612">
        <v>50</v>
      </c>
      <c r="F1612" s="60">
        <v>44894</v>
      </c>
    </row>
    <row r="1613" spans="1:6">
      <c r="A1613">
        <v>1612</v>
      </c>
      <c r="B1613" t="s">
        <v>5453</v>
      </c>
      <c r="C1613">
        <v>7500</v>
      </c>
      <c r="D1613">
        <v>22500</v>
      </c>
      <c r="E1613">
        <v>1500</v>
      </c>
      <c r="F1613" s="102">
        <v>44960</v>
      </c>
    </row>
    <row r="1614" spans="1:6">
      <c r="A1614">
        <v>1613</v>
      </c>
      <c r="B1614" t="s">
        <v>5456</v>
      </c>
      <c r="C1614">
        <v>2000</v>
      </c>
      <c r="D1614">
        <v>0</v>
      </c>
      <c r="E1614">
        <v>100</v>
      </c>
      <c r="F1614" s="64" t="s">
        <v>16750</v>
      </c>
    </row>
    <row r="1615" spans="1:6">
      <c r="A1615">
        <v>1614</v>
      </c>
      <c r="B1615" t="s">
        <v>5460</v>
      </c>
      <c r="C1615">
        <v>6000</v>
      </c>
      <c r="D1615">
        <v>0</v>
      </c>
      <c r="E1615">
        <v>300</v>
      </c>
      <c r="F1615" s="65">
        <v>44608</v>
      </c>
    </row>
    <row r="1616" spans="1:6">
      <c r="A1616">
        <v>1615</v>
      </c>
      <c r="B1616" t="s">
        <v>5464</v>
      </c>
      <c r="C1616">
        <v>200000</v>
      </c>
      <c r="D1616">
        <v>0</v>
      </c>
      <c r="E1616" t="s">
        <v>16642</v>
      </c>
      <c r="F1616" s="66"/>
    </row>
    <row r="1617" spans="1:6">
      <c r="A1617">
        <v>1616</v>
      </c>
      <c r="B1617" t="s">
        <v>5469</v>
      </c>
      <c r="C1617">
        <v>10000</v>
      </c>
      <c r="D1617">
        <v>0</v>
      </c>
      <c r="E1617">
        <v>500</v>
      </c>
      <c r="F1617" s="65">
        <v>44518</v>
      </c>
    </row>
    <row r="1618" spans="1:6">
      <c r="A1618">
        <v>1617</v>
      </c>
      <c r="B1618" t="s">
        <v>5474</v>
      </c>
      <c r="C1618">
        <v>250</v>
      </c>
      <c r="D1618">
        <v>750</v>
      </c>
      <c r="E1618">
        <v>50</v>
      </c>
      <c r="F1618" s="61">
        <v>44910</v>
      </c>
    </row>
    <row r="1619" spans="1:6">
      <c r="A1619">
        <v>1618</v>
      </c>
      <c r="B1619" t="s">
        <v>5478</v>
      </c>
      <c r="C1619">
        <v>250</v>
      </c>
      <c r="D1619">
        <v>750</v>
      </c>
      <c r="E1619">
        <v>50</v>
      </c>
      <c r="F1619" s="61">
        <v>44912</v>
      </c>
    </row>
    <row r="1620" spans="1:6">
      <c r="A1620">
        <v>1619</v>
      </c>
      <c r="B1620" t="s">
        <v>5482</v>
      </c>
      <c r="C1620">
        <v>500</v>
      </c>
      <c r="D1620">
        <v>500</v>
      </c>
      <c r="E1620">
        <v>50</v>
      </c>
      <c r="F1620" s="61">
        <v>44903</v>
      </c>
    </row>
    <row r="1621" spans="1:6">
      <c r="A1621">
        <v>1620</v>
      </c>
      <c r="B1621" t="s">
        <v>5486</v>
      </c>
      <c r="C1621">
        <v>250</v>
      </c>
      <c r="D1621">
        <v>750</v>
      </c>
      <c r="E1621">
        <v>50</v>
      </c>
      <c r="F1621" s="61">
        <v>44912</v>
      </c>
    </row>
    <row r="1622" spans="1:6">
      <c r="A1622">
        <v>1621</v>
      </c>
      <c r="B1622" t="s">
        <v>5490</v>
      </c>
      <c r="C1622">
        <v>250</v>
      </c>
      <c r="D1622">
        <v>750</v>
      </c>
      <c r="E1622">
        <v>50</v>
      </c>
      <c r="F1622" s="61">
        <v>44907</v>
      </c>
    </row>
    <row r="1623" spans="1:6">
      <c r="A1623">
        <v>1622</v>
      </c>
      <c r="B1623" t="s">
        <v>5493</v>
      </c>
      <c r="C1623">
        <v>20000</v>
      </c>
      <c r="D1623">
        <v>0</v>
      </c>
      <c r="E1623">
        <v>1000</v>
      </c>
      <c r="F1623" s="64" t="s">
        <v>16747</v>
      </c>
    </row>
    <row r="1624" spans="1:6">
      <c r="A1624">
        <v>1623</v>
      </c>
      <c r="B1624" t="s">
        <v>5497</v>
      </c>
      <c r="C1624">
        <v>250</v>
      </c>
      <c r="D1624">
        <v>750</v>
      </c>
      <c r="E1624">
        <v>50</v>
      </c>
      <c r="F1624" s="117" t="s">
        <v>16669</v>
      </c>
    </row>
    <row r="1625" ht="15" spans="1:6">
      <c r="A1625">
        <v>1624</v>
      </c>
      <c r="B1625" t="s">
        <v>5500</v>
      </c>
      <c r="C1625">
        <v>1000000</v>
      </c>
      <c r="D1625">
        <v>500000</v>
      </c>
      <c r="E1625" t="s">
        <v>16642</v>
      </c>
      <c r="F1625" s="81">
        <f>IFERROR(__xludf.DUMMYFUNCTION("""COMPUTED_VALUE"""),45082)</f>
        <v>45082</v>
      </c>
    </row>
    <row r="1626" ht="15" spans="1:6">
      <c r="A1626">
        <v>1625</v>
      </c>
      <c r="B1626" t="s">
        <v>5501</v>
      </c>
      <c r="C1626">
        <v>1000000</v>
      </c>
      <c r="D1626">
        <v>500000</v>
      </c>
      <c r="E1626" t="s">
        <v>16642</v>
      </c>
      <c r="F1626" s="81">
        <f>IFERROR(__xludf.DUMMYFUNCTION("""COMPUTED_VALUE"""),45082)</f>
        <v>45082</v>
      </c>
    </row>
    <row r="1627" spans="1:6">
      <c r="A1627">
        <v>1626</v>
      </c>
      <c r="B1627" t="s">
        <v>5502</v>
      </c>
      <c r="C1627">
        <v>250</v>
      </c>
      <c r="D1627">
        <v>750</v>
      </c>
      <c r="E1627">
        <v>50</v>
      </c>
      <c r="F1627" s="61">
        <v>44855</v>
      </c>
    </row>
    <row r="1628" spans="1:6">
      <c r="A1628">
        <v>1627</v>
      </c>
      <c r="B1628" t="s">
        <v>5506</v>
      </c>
      <c r="C1628">
        <v>250</v>
      </c>
      <c r="D1628">
        <v>750</v>
      </c>
      <c r="E1628">
        <v>50</v>
      </c>
      <c r="F1628" s="60">
        <v>44855</v>
      </c>
    </row>
    <row r="1629" spans="1:6">
      <c r="A1629">
        <v>1628</v>
      </c>
      <c r="B1629" t="s">
        <v>5509</v>
      </c>
      <c r="C1629">
        <v>250</v>
      </c>
      <c r="D1629">
        <v>750</v>
      </c>
      <c r="E1629">
        <v>50</v>
      </c>
      <c r="F1629" s="60">
        <v>45042</v>
      </c>
    </row>
    <row r="1630" spans="1:6">
      <c r="A1630">
        <v>1629</v>
      </c>
      <c r="B1630" t="s">
        <v>5512</v>
      </c>
      <c r="C1630">
        <v>20000</v>
      </c>
      <c r="D1630">
        <v>0</v>
      </c>
      <c r="E1630">
        <v>1000</v>
      </c>
      <c r="F1630" s="64" t="s">
        <v>16751</v>
      </c>
    </row>
    <row r="1631" spans="1:6">
      <c r="A1631">
        <v>1630</v>
      </c>
      <c r="B1631" t="s">
        <v>5516</v>
      </c>
      <c r="C1631">
        <v>250</v>
      </c>
      <c r="D1631">
        <v>750</v>
      </c>
      <c r="E1631">
        <v>50</v>
      </c>
      <c r="F1631" s="87" t="s">
        <v>16752</v>
      </c>
    </row>
    <row r="1632" spans="1:6">
      <c r="A1632">
        <v>1631</v>
      </c>
      <c r="B1632" t="s">
        <v>5519</v>
      </c>
      <c r="C1632">
        <v>250</v>
      </c>
      <c r="D1632">
        <v>750</v>
      </c>
      <c r="E1632">
        <v>50</v>
      </c>
      <c r="F1632" s="70" t="s">
        <v>16753</v>
      </c>
    </row>
    <row r="1633" spans="1:6">
      <c r="A1633">
        <v>1632</v>
      </c>
      <c r="B1633" t="s">
        <v>5522</v>
      </c>
      <c r="C1633">
        <v>250</v>
      </c>
      <c r="D1633">
        <v>750</v>
      </c>
      <c r="E1633">
        <v>50</v>
      </c>
      <c r="F1633" s="60">
        <v>44903</v>
      </c>
    </row>
    <row r="1634" spans="1:6">
      <c r="A1634">
        <v>1633</v>
      </c>
      <c r="B1634" t="s">
        <v>5526</v>
      </c>
      <c r="C1634">
        <v>250</v>
      </c>
      <c r="D1634">
        <v>750</v>
      </c>
      <c r="E1634">
        <v>50</v>
      </c>
      <c r="F1634" s="61">
        <v>44928</v>
      </c>
    </row>
    <row r="1635" spans="1:6">
      <c r="A1635">
        <v>1634</v>
      </c>
      <c r="B1635" t="s">
        <v>5529</v>
      </c>
      <c r="C1635">
        <v>1000</v>
      </c>
      <c r="D1635">
        <v>0</v>
      </c>
      <c r="E1635">
        <v>50</v>
      </c>
      <c r="F1635" s="64" t="s">
        <v>16662</v>
      </c>
    </row>
    <row r="1636" spans="1:6">
      <c r="A1636">
        <v>1635</v>
      </c>
      <c r="B1636" t="s">
        <v>5533</v>
      </c>
      <c r="C1636">
        <v>25000</v>
      </c>
      <c r="D1636">
        <v>75000</v>
      </c>
      <c r="E1636">
        <v>5000</v>
      </c>
      <c r="F1636" s="65">
        <v>44725</v>
      </c>
    </row>
    <row r="1637" spans="1:6">
      <c r="A1637">
        <v>1636</v>
      </c>
      <c r="B1637" t="s">
        <v>5537</v>
      </c>
      <c r="C1637">
        <v>100000</v>
      </c>
      <c r="D1637">
        <v>0</v>
      </c>
      <c r="E1637" t="s">
        <v>16642</v>
      </c>
      <c r="F1637" s="66"/>
    </row>
    <row r="1638" spans="1:6">
      <c r="A1638">
        <v>1637</v>
      </c>
      <c r="B1638" t="s">
        <v>5542</v>
      </c>
      <c r="C1638">
        <v>12500</v>
      </c>
      <c r="D1638">
        <v>37500</v>
      </c>
      <c r="E1638">
        <v>2500</v>
      </c>
      <c r="F1638" s="74">
        <v>45034</v>
      </c>
    </row>
    <row r="1639" spans="1:6">
      <c r="A1639">
        <v>1638</v>
      </c>
      <c r="B1639" t="s">
        <v>5545</v>
      </c>
      <c r="C1639">
        <v>250</v>
      </c>
      <c r="D1639">
        <v>750</v>
      </c>
      <c r="E1639">
        <v>50</v>
      </c>
      <c r="F1639" s="73">
        <v>44930</v>
      </c>
    </row>
    <row r="1640" spans="1:6">
      <c r="A1640">
        <v>1639</v>
      </c>
      <c r="B1640" t="s">
        <v>5548</v>
      </c>
      <c r="C1640">
        <v>1000</v>
      </c>
      <c r="D1640">
        <v>0</v>
      </c>
      <c r="E1640">
        <v>50</v>
      </c>
      <c r="F1640" s="61">
        <v>45016</v>
      </c>
    </row>
    <row r="1641" spans="1:6">
      <c r="A1641">
        <v>1640</v>
      </c>
      <c r="B1641" t="s">
        <v>5551</v>
      </c>
      <c r="C1641">
        <v>250</v>
      </c>
      <c r="D1641">
        <v>750</v>
      </c>
      <c r="E1641">
        <v>50</v>
      </c>
      <c r="F1641" s="61">
        <v>44952</v>
      </c>
    </row>
    <row r="1642" spans="1:6">
      <c r="A1642">
        <v>1641</v>
      </c>
      <c r="B1642" t="s">
        <v>5554</v>
      </c>
      <c r="C1642">
        <v>250</v>
      </c>
      <c r="D1642">
        <v>750</v>
      </c>
      <c r="E1642">
        <v>50</v>
      </c>
      <c r="F1642" s="60">
        <v>44812</v>
      </c>
    </row>
    <row r="1643" spans="1:6">
      <c r="A1643">
        <v>1642</v>
      </c>
      <c r="B1643" t="s">
        <v>5558</v>
      </c>
      <c r="C1643">
        <v>5000</v>
      </c>
      <c r="D1643">
        <v>0</v>
      </c>
      <c r="E1643">
        <v>250</v>
      </c>
      <c r="F1643" s="77">
        <v>44796</v>
      </c>
    </row>
    <row r="1644" spans="1:6">
      <c r="A1644">
        <v>1643</v>
      </c>
      <c r="B1644" t="s">
        <v>5561</v>
      </c>
      <c r="C1644">
        <v>250</v>
      </c>
      <c r="D1644">
        <v>750</v>
      </c>
      <c r="E1644">
        <v>50</v>
      </c>
      <c r="F1644" s="67">
        <v>45026</v>
      </c>
    </row>
    <row r="1645" spans="1:6">
      <c r="A1645">
        <v>1644</v>
      </c>
      <c r="B1645" t="s">
        <v>5564</v>
      </c>
      <c r="C1645">
        <v>1000</v>
      </c>
      <c r="D1645">
        <v>0</v>
      </c>
      <c r="E1645">
        <v>50</v>
      </c>
      <c r="F1645" s="61">
        <v>45048</v>
      </c>
    </row>
    <row r="1646" spans="1:6">
      <c r="A1646">
        <v>1645</v>
      </c>
      <c r="B1646" t="s">
        <v>5567</v>
      </c>
      <c r="C1646">
        <v>250</v>
      </c>
      <c r="D1646">
        <v>750</v>
      </c>
      <c r="E1646">
        <v>50</v>
      </c>
      <c r="F1646" s="60">
        <v>45105</v>
      </c>
    </row>
    <row r="1647" spans="1:6">
      <c r="A1647">
        <v>1646</v>
      </c>
      <c r="B1647" t="s">
        <v>5570</v>
      </c>
      <c r="C1647">
        <v>250</v>
      </c>
      <c r="D1647">
        <v>750</v>
      </c>
      <c r="E1647">
        <v>50</v>
      </c>
      <c r="F1647" s="61">
        <v>44806</v>
      </c>
    </row>
    <row r="1648" spans="1:6">
      <c r="A1648">
        <v>1647</v>
      </c>
      <c r="B1648" t="s">
        <v>5573</v>
      </c>
      <c r="C1648">
        <v>1000</v>
      </c>
      <c r="D1648">
        <v>0</v>
      </c>
      <c r="E1648">
        <v>50</v>
      </c>
      <c r="F1648" s="77">
        <v>44659</v>
      </c>
    </row>
    <row r="1649" ht="15" spans="1:6">
      <c r="A1649">
        <v>1648</v>
      </c>
      <c r="B1649" t="s">
        <v>5576</v>
      </c>
      <c r="C1649">
        <v>1500000</v>
      </c>
      <c r="D1649">
        <v>0</v>
      </c>
      <c r="E1649" t="s">
        <v>16642</v>
      </c>
      <c r="F1649" s="81">
        <f>IFERROR(__xludf.DUMMYFUNCTION("""COMPUTED_VALUE"""),45084)</f>
        <v>45084</v>
      </c>
    </row>
    <row r="1650" spans="1:6">
      <c r="A1650">
        <v>1649</v>
      </c>
      <c r="B1650" t="s">
        <v>5577</v>
      </c>
      <c r="C1650">
        <v>1000</v>
      </c>
      <c r="D1650">
        <v>0</v>
      </c>
      <c r="E1650">
        <v>50</v>
      </c>
      <c r="F1650" s="77">
        <v>44798</v>
      </c>
    </row>
    <row r="1651" spans="1:6">
      <c r="A1651">
        <v>1650</v>
      </c>
      <c r="B1651" t="s">
        <v>5580</v>
      </c>
      <c r="C1651">
        <v>1000</v>
      </c>
      <c r="D1651">
        <v>0</v>
      </c>
      <c r="E1651">
        <v>50</v>
      </c>
      <c r="F1651" s="77">
        <v>44798</v>
      </c>
    </row>
    <row r="1652" spans="1:6">
      <c r="A1652">
        <v>1651</v>
      </c>
      <c r="B1652" t="s">
        <v>5583</v>
      </c>
      <c r="C1652">
        <v>1000</v>
      </c>
      <c r="D1652">
        <v>0</v>
      </c>
      <c r="E1652">
        <v>50</v>
      </c>
      <c r="F1652" s="77">
        <v>44798</v>
      </c>
    </row>
    <row r="1653" spans="1:6">
      <c r="A1653">
        <v>1652</v>
      </c>
      <c r="B1653" t="s">
        <v>5586</v>
      </c>
      <c r="C1653">
        <v>26000</v>
      </c>
      <c r="D1653">
        <v>0</v>
      </c>
      <c r="E1653">
        <v>50</v>
      </c>
      <c r="F1653" s="124" t="s">
        <v>16754</v>
      </c>
    </row>
    <row r="1654" spans="1:6">
      <c r="A1654">
        <v>1653</v>
      </c>
      <c r="B1654" t="s">
        <v>5590</v>
      </c>
      <c r="C1654">
        <v>250</v>
      </c>
      <c r="D1654">
        <v>750</v>
      </c>
      <c r="E1654">
        <v>50</v>
      </c>
      <c r="F1654" s="71">
        <v>44926</v>
      </c>
    </row>
    <row r="1655" spans="1:6">
      <c r="A1655">
        <v>1654</v>
      </c>
      <c r="B1655" t="s">
        <v>5593</v>
      </c>
      <c r="C1655">
        <v>250</v>
      </c>
      <c r="D1655">
        <v>750</v>
      </c>
      <c r="E1655">
        <v>50</v>
      </c>
      <c r="F1655" s="60">
        <v>44929</v>
      </c>
    </row>
    <row r="1656" spans="1:6">
      <c r="A1656">
        <v>1655</v>
      </c>
      <c r="B1656" t="s">
        <v>5596</v>
      </c>
      <c r="C1656">
        <v>2500</v>
      </c>
      <c r="D1656">
        <v>7500</v>
      </c>
      <c r="E1656">
        <v>500</v>
      </c>
      <c r="F1656" s="79">
        <v>44942</v>
      </c>
    </row>
    <row r="1657" spans="1:6">
      <c r="A1657">
        <v>1656</v>
      </c>
      <c r="B1657" t="s">
        <v>5599</v>
      </c>
      <c r="C1657">
        <v>250</v>
      </c>
      <c r="D1657">
        <v>750</v>
      </c>
      <c r="E1657">
        <v>50</v>
      </c>
      <c r="F1657" s="61">
        <v>44849</v>
      </c>
    </row>
    <row r="1658" spans="1:6">
      <c r="A1658">
        <v>1657</v>
      </c>
      <c r="B1658" t="s">
        <v>5602</v>
      </c>
      <c r="C1658">
        <v>250</v>
      </c>
      <c r="D1658">
        <v>750</v>
      </c>
      <c r="E1658">
        <v>50</v>
      </c>
      <c r="F1658" s="61">
        <v>44824</v>
      </c>
    </row>
    <row r="1659" spans="1:6">
      <c r="A1659">
        <v>1658</v>
      </c>
      <c r="B1659" t="s">
        <v>5606</v>
      </c>
      <c r="C1659">
        <v>100000</v>
      </c>
      <c r="D1659">
        <v>0</v>
      </c>
      <c r="E1659" t="s">
        <v>16642</v>
      </c>
      <c r="F1659" s="100"/>
    </row>
    <row r="1660" ht="15" spans="1:6">
      <c r="A1660">
        <v>1659</v>
      </c>
      <c r="B1660" t="s">
        <v>5610</v>
      </c>
      <c r="C1660">
        <v>1000000</v>
      </c>
      <c r="D1660">
        <v>500000</v>
      </c>
      <c r="E1660" t="s">
        <v>16642</v>
      </c>
      <c r="F1660" s="88">
        <f>IFERROR(__xludf.DUMMYFUNCTION("""COMPUTED_VALUE"""),45084)</f>
        <v>45084</v>
      </c>
    </row>
    <row r="1661" spans="1:6">
      <c r="A1661">
        <v>1660</v>
      </c>
      <c r="B1661" t="s">
        <v>5611</v>
      </c>
      <c r="C1661">
        <v>250</v>
      </c>
      <c r="D1661">
        <v>750</v>
      </c>
      <c r="E1661">
        <v>50</v>
      </c>
      <c r="F1661" s="61">
        <v>44896</v>
      </c>
    </row>
    <row r="1662" spans="1:6">
      <c r="A1662">
        <v>1661</v>
      </c>
      <c r="B1662" t="s">
        <v>5615</v>
      </c>
      <c r="C1662">
        <v>20000</v>
      </c>
      <c r="D1662">
        <v>0</v>
      </c>
      <c r="E1662">
        <v>1000</v>
      </c>
      <c r="F1662" s="67">
        <v>44988</v>
      </c>
    </row>
    <row r="1663" spans="1:6">
      <c r="A1663">
        <v>1662</v>
      </c>
      <c r="B1663" t="s">
        <v>5618</v>
      </c>
      <c r="C1663">
        <v>100000</v>
      </c>
      <c r="D1663">
        <v>0</v>
      </c>
      <c r="E1663" t="s">
        <v>16642</v>
      </c>
      <c r="F1663" s="76">
        <v>44939</v>
      </c>
    </row>
    <row r="1664" spans="1:6">
      <c r="A1664">
        <v>1663</v>
      </c>
      <c r="B1664" t="s">
        <v>5622</v>
      </c>
      <c r="C1664">
        <v>12500</v>
      </c>
      <c r="D1664">
        <v>37500</v>
      </c>
      <c r="E1664">
        <v>2500</v>
      </c>
      <c r="F1664" s="64" t="s">
        <v>16704</v>
      </c>
    </row>
    <row r="1665" spans="1:6">
      <c r="A1665">
        <v>1664</v>
      </c>
      <c r="B1665" t="s">
        <v>5625</v>
      </c>
      <c r="C1665">
        <v>5000</v>
      </c>
      <c r="D1665">
        <v>15000</v>
      </c>
      <c r="E1665">
        <v>1000</v>
      </c>
      <c r="F1665" s="77">
        <v>44910</v>
      </c>
    </row>
    <row r="1666" spans="1:6">
      <c r="A1666">
        <v>1665</v>
      </c>
      <c r="B1666" t="s">
        <v>5628</v>
      </c>
      <c r="C1666">
        <v>100000</v>
      </c>
      <c r="D1666">
        <v>0</v>
      </c>
      <c r="E1666" t="s">
        <v>16642</v>
      </c>
      <c r="F1666" s="82">
        <v>44806</v>
      </c>
    </row>
    <row r="1667" spans="1:6">
      <c r="A1667">
        <v>1666</v>
      </c>
      <c r="B1667" t="s">
        <v>5633</v>
      </c>
      <c r="C1667">
        <v>25000</v>
      </c>
      <c r="D1667">
        <v>75000</v>
      </c>
      <c r="E1667">
        <v>5000</v>
      </c>
      <c r="F1667" s="91" t="s">
        <v>16649</v>
      </c>
    </row>
    <row r="1668" spans="1:6">
      <c r="A1668">
        <v>1667</v>
      </c>
      <c r="B1668" t="s">
        <v>5633</v>
      </c>
      <c r="C1668">
        <v>100000</v>
      </c>
      <c r="D1668">
        <v>0</v>
      </c>
      <c r="E1668" t="s">
        <v>16642</v>
      </c>
      <c r="F1668" s="89"/>
    </row>
    <row r="1669" spans="1:6">
      <c r="A1669">
        <v>1668</v>
      </c>
      <c r="B1669" t="s">
        <v>5637</v>
      </c>
      <c r="C1669">
        <v>250</v>
      </c>
      <c r="D1669">
        <v>750</v>
      </c>
      <c r="E1669">
        <v>50</v>
      </c>
      <c r="F1669" s="72">
        <v>44845</v>
      </c>
    </row>
    <row r="1670" spans="1:6">
      <c r="A1670">
        <v>1669</v>
      </c>
      <c r="B1670" t="s">
        <v>5640</v>
      </c>
      <c r="C1670">
        <v>250</v>
      </c>
      <c r="D1670">
        <v>750</v>
      </c>
      <c r="E1670">
        <v>50</v>
      </c>
      <c r="F1670" s="60">
        <v>45015</v>
      </c>
    </row>
    <row r="1671" spans="1:6">
      <c r="A1671">
        <v>1670</v>
      </c>
      <c r="B1671" t="s">
        <v>5643</v>
      </c>
      <c r="C1671">
        <v>250</v>
      </c>
      <c r="D1671">
        <v>750</v>
      </c>
      <c r="E1671">
        <v>50</v>
      </c>
      <c r="F1671" s="60">
        <v>44862</v>
      </c>
    </row>
    <row r="1672" spans="1:6">
      <c r="A1672">
        <v>1671</v>
      </c>
      <c r="B1672" t="s">
        <v>5646</v>
      </c>
      <c r="C1672">
        <v>250</v>
      </c>
      <c r="D1672">
        <v>750</v>
      </c>
      <c r="E1672">
        <v>50</v>
      </c>
      <c r="F1672" s="60">
        <v>44921</v>
      </c>
    </row>
    <row r="1673" spans="1:6">
      <c r="A1673">
        <v>1672</v>
      </c>
      <c r="B1673" t="s">
        <v>5649</v>
      </c>
      <c r="C1673">
        <v>250</v>
      </c>
      <c r="D1673">
        <v>750</v>
      </c>
      <c r="E1673">
        <v>50</v>
      </c>
      <c r="F1673" s="72">
        <v>44924</v>
      </c>
    </row>
    <row r="1674" spans="1:6">
      <c r="A1674">
        <v>1673</v>
      </c>
      <c r="B1674" t="s">
        <v>5652</v>
      </c>
      <c r="C1674">
        <v>5500</v>
      </c>
      <c r="D1674">
        <v>4500</v>
      </c>
      <c r="E1674">
        <v>500</v>
      </c>
      <c r="F1674" s="65">
        <v>44269</v>
      </c>
    </row>
    <row r="1675" spans="1:6">
      <c r="A1675">
        <v>1674</v>
      </c>
      <c r="B1675" t="s">
        <v>5656</v>
      </c>
      <c r="C1675">
        <v>250</v>
      </c>
      <c r="D1675">
        <v>750</v>
      </c>
      <c r="E1675">
        <v>50</v>
      </c>
      <c r="F1675" s="61">
        <v>44867</v>
      </c>
    </row>
    <row r="1676" spans="1:6">
      <c r="A1676">
        <v>1675</v>
      </c>
      <c r="B1676" t="s">
        <v>5659</v>
      </c>
      <c r="C1676">
        <v>500000</v>
      </c>
      <c r="D1676">
        <v>0</v>
      </c>
      <c r="E1676">
        <v>25000</v>
      </c>
      <c r="F1676" s="67">
        <v>45199</v>
      </c>
    </row>
    <row r="1677" spans="1:6">
      <c r="A1677">
        <v>1676</v>
      </c>
      <c r="B1677" t="s">
        <v>5662</v>
      </c>
      <c r="C1677">
        <v>250</v>
      </c>
      <c r="D1677">
        <v>750</v>
      </c>
      <c r="E1677">
        <v>50</v>
      </c>
      <c r="F1677" s="60">
        <v>44903</v>
      </c>
    </row>
    <row r="1678" spans="1:6">
      <c r="A1678">
        <v>1677</v>
      </c>
      <c r="B1678" t="s">
        <v>5666</v>
      </c>
      <c r="C1678">
        <v>1000</v>
      </c>
      <c r="D1678">
        <v>0</v>
      </c>
      <c r="E1678">
        <v>50</v>
      </c>
      <c r="F1678" s="73">
        <v>44728</v>
      </c>
    </row>
    <row r="1679" spans="1:6">
      <c r="A1679">
        <v>1678</v>
      </c>
      <c r="B1679" t="s">
        <v>5670</v>
      </c>
      <c r="C1679">
        <v>250</v>
      </c>
      <c r="D1679">
        <v>750</v>
      </c>
      <c r="E1679">
        <v>50</v>
      </c>
      <c r="F1679" s="61">
        <v>44912</v>
      </c>
    </row>
    <row r="1680" spans="1:6">
      <c r="A1680">
        <v>1679</v>
      </c>
      <c r="B1680" t="s">
        <v>5673</v>
      </c>
      <c r="C1680">
        <v>250</v>
      </c>
      <c r="D1680">
        <v>750</v>
      </c>
      <c r="E1680">
        <v>50</v>
      </c>
      <c r="F1680" s="61">
        <v>44897</v>
      </c>
    </row>
    <row r="1681" spans="1:6">
      <c r="A1681">
        <v>1680</v>
      </c>
      <c r="B1681" t="s">
        <v>5677</v>
      </c>
      <c r="C1681">
        <v>250</v>
      </c>
      <c r="D1681">
        <v>750</v>
      </c>
      <c r="E1681">
        <v>50</v>
      </c>
      <c r="F1681" s="61">
        <v>44904</v>
      </c>
    </row>
    <row r="1682" spans="1:6">
      <c r="A1682">
        <v>1681</v>
      </c>
      <c r="B1682" t="s">
        <v>5680</v>
      </c>
      <c r="C1682">
        <v>250</v>
      </c>
      <c r="D1682">
        <v>750</v>
      </c>
      <c r="E1682">
        <v>50</v>
      </c>
      <c r="F1682" s="69">
        <v>44855</v>
      </c>
    </row>
    <row r="1683" spans="1:6">
      <c r="A1683">
        <v>1682</v>
      </c>
      <c r="B1683" t="s">
        <v>5684</v>
      </c>
      <c r="C1683">
        <v>250</v>
      </c>
      <c r="D1683">
        <v>750</v>
      </c>
      <c r="E1683">
        <v>50</v>
      </c>
      <c r="F1683" s="73">
        <v>44900</v>
      </c>
    </row>
    <row r="1684" spans="1:6">
      <c r="A1684">
        <v>1683</v>
      </c>
      <c r="B1684" t="s">
        <v>5688</v>
      </c>
      <c r="C1684">
        <v>250</v>
      </c>
      <c r="D1684">
        <v>750</v>
      </c>
      <c r="E1684">
        <v>50</v>
      </c>
      <c r="F1684" s="73">
        <v>44479</v>
      </c>
    </row>
    <row r="1685" spans="1:6">
      <c r="A1685">
        <v>1684</v>
      </c>
      <c r="B1685" t="s">
        <v>5691</v>
      </c>
      <c r="C1685">
        <v>1000</v>
      </c>
      <c r="D1685">
        <v>0</v>
      </c>
      <c r="E1685">
        <v>50</v>
      </c>
      <c r="F1685" s="73">
        <v>44968</v>
      </c>
    </row>
    <row r="1686" spans="1:6">
      <c r="A1686">
        <v>1685</v>
      </c>
      <c r="B1686" t="s">
        <v>5695</v>
      </c>
      <c r="C1686">
        <v>250</v>
      </c>
      <c r="D1686">
        <v>750</v>
      </c>
      <c r="E1686">
        <v>50</v>
      </c>
      <c r="F1686" s="61">
        <v>45062</v>
      </c>
    </row>
    <row r="1687" spans="1:6">
      <c r="A1687">
        <v>1686</v>
      </c>
      <c r="B1687" t="s">
        <v>5698</v>
      </c>
      <c r="C1687">
        <v>250</v>
      </c>
      <c r="D1687">
        <v>750</v>
      </c>
      <c r="E1687">
        <v>50</v>
      </c>
      <c r="F1687" s="60">
        <v>44851</v>
      </c>
    </row>
    <row r="1688" spans="1:6">
      <c r="A1688">
        <v>1687</v>
      </c>
      <c r="B1688" t="s">
        <v>5702</v>
      </c>
      <c r="C1688">
        <v>3000</v>
      </c>
      <c r="D1688">
        <v>0</v>
      </c>
      <c r="E1688">
        <v>150</v>
      </c>
      <c r="F1688" s="65">
        <v>44600</v>
      </c>
    </row>
    <row r="1689" spans="1:6">
      <c r="A1689">
        <v>1688</v>
      </c>
      <c r="B1689" t="s">
        <v>5706</v>
      </c>
      <c r="C1689">
        <v>1250</v>
      </c>
      <c r="D1689">
        <v>3750</v>
      </c>
      <c r="E1689">
        <v>250</v>
      </c>
      <c r="F1689" s="74">
        <v>44936</v>
      </c>
    </row>
    <row r="1690" spans="1:6">
      <c r="A1690">
        <v>1689</v>
      </c>
      <c r="B1690" t="s">
        <v>5709</v>
      </c>
      <c r="C1690">
        <v>2500</v>
      </c>
      <c r="D1690">
        <v>7500</v>
      </c>
      <c r="E1690">
        <v>500</v>
      </c>
      <c r="F1690" s="60">
        <v>44853</v>
      </c>
    </row>
    <row r="1691" spans="1:6">
      <c r="A1691">
        <v>1690</v>
      </c>
      <c r="B1691" t="s">
        <v>5712</v>
      </c>
      <c r="C1691">
        <v>100000</v>
      </c>
      <c r="D1691">
        <v>0</v>
      </c>
      <c r="E1691" t="s">
        <v>16642</v>
      </c>
      <c r="F1691" s="66"/>
    </row>
    <row r="1692" spans="1:6">
      <c r="A1692">
        <v>1691</v>
      </c>
      <c r="B1692" t="s">
        <v>5717</v>
      </c>
      <c r="C1692">
        <v>1000</v>
      </c>
      <c r="D1692">
        <v>0</v>
      </c>
      <c r="E1692">
        <v>50</v>
      </c>
      <c r="F1692" s="65">
        <v>44517</v>
      </c>
    </row>
    <row r="1693" spans="1:6">
      <c r="A1693">
        <v>1692</v>
      </c>
      <c r="B1693" t="s">
        <v>5722</v>
      </c>
      <c r="C1693">
        <v>50000</v>
      </c>
      <c r="D1693">
        <v>0</v>
      </c>
      <c r="E1693">
        <v>2500</v>
      </c>
      <c r="F1693" s="64" t="s">
        <v>16755</v>
      </c>
    </row>
    <row r="1694" spans="1:6">
      <c r="A1694">
        <v>1693</v>
      </c>
      <c r="B1694" t="s">
        <v>5726</v>
      </c>
      <c r="C1694">
        <v>250</v>
      </c>
      <c r="D1694">
        <v>750</v>
      </c>
      <c r="E1694">
        <v>50</v>
      </c>
      <c r="F1694" s="72">
        <v>44965</v>
      </c>
    </row>
    <row r="1695" spans="1:6">
      <c r="A1695">
        <v>1694</v>
      </c>
      <c r="B1695" t="s">
        <v>5729</v>
      </c>
      <c r="C1695">
        <v>3000</v>
      </c>
      <c r="D1695">
        <v>0</v>
      </c>
      <c r="E1695">
        <v>150</v>
      </c>
      <c r="F1695" s="64" t="s">
        <v>16691</v>
      </c>
    </row>
    <row r="1696" ht="15" spans="1:6">
      <c r="A1696">
        <v>1695</v>
      </c>
      <c r="B1696" t="s">
        <v>5733</v>
      </c>
      <c r="C1696">
        <v>1500000</v>
      </c>
      <c r="D1696">
        <v>0</v>
      </c>
      <c r="E1696" t="s">
        <v>16642</v>
      </c>
      <c r="F1696" s="98">
        <f>IFERROR(__xludf.DUMMYFUNCTION("""COMPUTED_VALUE"""),45082)</f>
        <v>45082</v>
      </c>
    </row>
    <row r="1697" ht="15" spans="1:6">
      <c r="A1697">
        <v>1696</v>
      </c>
      <c r="B1697" t="s">
        <v>5733</v>
      </c>
      <c r="C1697">
        <v>1000000</v>
      </c>
      <c r="D1697">
        <v>500000</v>
      </c>
      <c r="E1697" t="s">
        <v>16642</v>
      </c>
      <c r="F1697" s="98">
        <f>IFERROR(__xludf.DUMMYFUNCTION("""COMPUTED_VALUE"""),45084)</f>
        <v>45084</v>
      </c>
    </row>
    <row r="1698" spans="1:6">
      <c r="A1698">
        <v>1697</v>
      </c>
      <c r="B1698" t="s">
        <v>5734</v>
      </c>
      <c r="C1698">
        <v>5000</v>
      </c>
      <c r="D1698">
        <v>0</v>
      </c>
      <c r="E1698">
        <v>250</v>
      </c>
      <c r="F1698" s="67">
        <v>45050</v>
      </c>
    </row>
    <row r="1699" spans="1:6">
      <c r="A1699">
        <v>1698</v>
      </c>
      <c r="B1699" t="s">
        <v>5737</v>
      </c>
      <c r="C1699">
        <v>250</v>
      </c>
      <c r="D1699">
        <v>750</v>
      </c>
      <c r="E1699">
        <v>50</v>
      </c>
      <c r="F1699" s="61">
        <v>44840</v>
      </c>
    </row>
    <row r="1700" spans="1:6">
      <c r="A1700">
        <v>1699</v>
      </c>
      <c r="B1700" t="s">
        <v>5741</v>
      </c>
      <c r="C1700">
        <v>250</v>
      </c>
      <c r="D1700">
        <v>750</v>
      </c>
      <c r="E1700">
        <v>50</v>
      </c>
      <c r="F1700" s="61">
        <v>44807</v>
      </c>
    </row>
    <row r="1701" spans="1:6">
      <c r="A1701">
        <v>1700</v>
      </c>
      <c r="B1701" t="s">
        <v>5744</v>
      </c>
      <c r="C1701">
        <v>250</v>
      </c>
      <c r="D1701">
        <v>750</v>
      </c>
      <c r="E1701">
        <v>50</v>
      </c>
      <c r="F1701" s="60">
        <v>44905</v>
      </c>
    </row>
    <row r="1702" spans="1:6">
      <c r="A1702">
        <v>1701</v>
      </c>
      <c r="B1702" t="s">
        <v>5747</v>
      </c>
      <c r="C1702">
        <v>1000</v>
      </c>
      <c r="D1702">
        <v>0</v>
      </c>
      <c r="E1702">
        <v>50</v>
      </c>
      <c r="F1702" s="65">
        <v>44614</v>
      </c>
    </row>
    <row r="1703" spans="1:6">
      <c r="A1703">
        <v>1702</v>
      </c>
      <c r="B1703" t="s">
        <v>5751</v>
      </c>
      <c r="C1703">
        <v>500</v>
      </c>
      <c r="D1703">
        <v>1500</v>
      </c>
      <c r="E1703">
        <v>100</v>
      </c>
      <c r="F1703" s="60">
        <v>44891</v>
      </c>
    </row>
    <row r="1704" spans="1:6">
      <c r="A1704">
        <v>1703</v>
      </c>
      <c r="B1704" t="s">
        <v>5754</v>
      </c>
      <c r="C1704">
        <v>250</v>
      </c>
      <c r="D1704">
        <v>750</v>
      </c>
      <c r="E1704">
        <v>50</v>
      </c>
      <c r="F1704" s="60">
        <v>44950</v>
      </c>
    </row>
    <row r="1705" spans="1:6">
      <c r="A1705">
        <v>1704</v>
      </c>
      <c r="B1705" t="s">
        <v>5757</v>
      </c>
      <c r="C1705">
        <v>500</v>
      </c>
      <c r="D1705">
        <v>1500</v>
      </c>
      <c r="E1705">
        <v>100</v>
      </c>
      <c r="F1705" s="61">
        <v>44896</v>
      </c>
    </row>
    <row r="1706" spans="1:6">
      <c r="A1706">
        <v>1705</v>
      </c>
      <c r="B1706" t="s">
        <v>5761</v>
      </c>
      <c r="C1706">
        <v>250</v>
      </c>
      <c r="D1706">
        <v>750</v>
      </c>
      <c r="E1706">
        <v>50</v>
      </c>
      <c r="F1706" s="61">
        <v>44887</v>
      </c>
    </row>
    <row r="1707" spans="1:6">
      <c r="A1707">
        <v>1706</v>
      </c>
      <c r="B1707" t="s">
        <v>5765</v>
      </c>
      <c r="C1707">
        <v>250</v>
      </c>
      <c r="D1707">
        <v>750</v>
      </c>
      <c r="E1707">
        <v>50</v>
      </c>
      <c r="F1707" s="60">
        <v>44876</v>
      </c>
    </row>
    <row r="1708" spans="1:6">
      <c r="A1708">
        <v>1707</v>
      </c>
      <c r="B1708" t="s">
        <v>5769</v>
      </c>
      <c r="C1708">
        <v>1000</v>
      </c>
      <c r="D1708">
        <v>0</v>
      </c>
      <c r="E1708">
        <v>50</v>
      </c>
      <c r="F1708" s="77">
        <v>44872</v>
      </c>
    </row>
    <row r="1709" spans="1:6">
      <c r="A1709">
        <v>1708</v>
      </c>
      <c r="B1709" t="s">
        <v>5772</v>
      </c>
      <c r="C1709">
        <v>250</v>
      </c>
      <c r="D1709">
        <v>750</v>
      </c>
      <c r="E1709">
        <v>50</v>
      </c>
      <c r="F1709" s="61">
        <v>44910</v>
      </c>
    </row>
    <row r="1710" spans="1:6">
      <c r="A1710">
        <v>1709</v>
      </c>
      <c r="B1710" t="s">
        <v>5775</v>
      </c>
      <c r="C1710">
        <v>250</v>
      </c>
      <c r="D1710">
        <v>750</v>
      </c>
      <c r="E1710">
        <v>50</v>
      </c>
      <c r="F1710" s="60">
        <v>44858</v>
      </c>
    </row>
    <row r="1711" spans="1:6">
      <c r="A1711">
        <v>1710</v>
      </c>
      <c r="B1711" t="s">
        <v>5778</v>
      </c>
      <c r="C1711">
        <v>250</v>
      </c>
      <c r="D1711">
        <v>750</v>
      </c>
      <c r="E1711">
        <v>50</v>
      </c>
      <c r="F1711" s="60">
        <v>45038</v>
      </c>
    </row>
    <row r="1712" spans="1:6">
      <c r="A1712">
        <v>1711</v>
      </c>
      <c r="B1712" t="s">
        <v>5781</v>
      </c>
      <c r="C1712">
        <v>250</v>
      </c>
      <c r="D1712">
        <v>750</v>
      </c>
      <c r="E1712">
        <v>50</v>
      </c>
      <c r="F1712" s="69">
        <v>45287</v>
      </c>
    </row>
    <row r="1713" spans="1:6">
      <c r="A1713">
        <v>1712</v>
      </c>
      <c r="B1713" t="s">
        <v>5784</v>
      </c>
      <c r="C1713">
        <v>750</v>
      </c>
      <c r="D1713">
        <v>250</v>
      </c>
      <c r="E1713">
        <v>50</v>
      </c>
      <c r="F1713" s="69">
        <v>44857</v>
      </c>
    </row>
    <row r="1714" spans="1:6">
      <c r="A1714">
        <v>1713</v>
      </c>
      <c r="B1714" t="s">
        <v>5787</v>
      </c>
      <c r="C1714">
        <v>250</v>
      </c>
      <c r="D1714">
        <v>750</v>
      </c>
      <c r="E1714">
        <v>50</v>
      </c>
      <c r="F1714" s="61">
        <v>45000</v>
      </c>
    </row>
    <row r="1715" spans="1:6">
      <c r="A1715">
        <v>1714</v>
      </c>
      <c r="B1715" t="s">
        <v>5790</v>
      </c>
      <c r="C1715">
        <v>250</v>
      </c>
      <c r="D1715">
        <v>750</v>
      </c>
      <c r="E1715">
        <v>50</v>
      </c>
      <c r="F1715" s="60">
        <v>44921</v>
      </c>
    </row>
    <row r="1716" spans="1:6">
      <c r="A1716">
        <v>1715</v>
      </c>
      <c r="B1716" t="s">
        <v>5793</v>
      </c>
      <c r="C1716">
        <v>750</v>
      </c>
      <c r="D1716">
        <v>250</v>
      </c>
      <c r="E1716">
        <v>50</v>
      </c>
      <c r="F1716" s="73">
        <v>44854</v>
      </c>
    </row>
    <row r="1717" spans="1:6">
      <c r="A1717">
        <v>1716</v>
      </c>
      <c r="B1717" t="s">
        <v>5796</v>
      </c>
      <c r="C1717">
        <v>250</v>
      </c>
      <c r="D1717">
        <v>750</v>
      </c>
      <c r="E1717">
        <v>50</v>
      </c>
      <c r="F1717" s="60">
        <v>44867</v>
      </c>
    </row>
    <row r="1718" spans="1:6">
      <c r="A1718">
        <v>1717</v>
      </c>
      <c r="B1718" t="s">
        <v>5799</v>
      </c>
      <c r="C1718">
        <v>250</v>
      </c>
      <c r="D1718">
        <v>750</v>
      </c>
      <c r="E1718">
        <v>50</v>
      </c>
      <c r="F1718" s="60">
        <v>44858</v>
      </c>
    </row>
    <row r="1719" spans="1:6">
      <c r="A1719">
        <v>1718</v>
      </c>
      <c r="B1719" t="s">
        <v>5802</v>
      </c>
      <c r="C1719">
        <v>250</v>
      </c>
      <c r="D1719">
        <v>750</v>
      </c>
      <c r="E1719">
        <v>50</v>
      </c>
      <c r="F1719" s="61">
        <v>44924</v>
      </c>
    </row>
    <row r="1720" spans="1:6">
      <c r="A1720">
        <v>1719</v>
      </c>
      <c r="B1720" t="s">
        <v>5806</v>
      </c>
      <c r="C1720">
        <v>250</v>
      </c>
      <c r="D1720">
        <v>750</v>
      </c>
      <c r="E1720">
        <v>50</v>
      </c>
      <c r="F1720" s="100" t="s">
        <v>16669</v>
      </c>
    </row>
    <row r="1721" spans="1:6">
      <c r="A1721">
        <v>1720</v>
      </c>
      <c r="B1721" t="s">
        <v>5809</v>
      </c>
      <c r="C1721">
        <v>20000</v>
      </c>
      <c r="D1721">
        <v>0</v>
      </c>
      <c r="E1721">
        <v>1000</v>
      </c>
      <c r="F1721" s="64" t="s">
        <v>16662</v>
      </c>
    </row>
    <row r="1722" spans="1:6">
      <c r="A1722">
        <v>1721</v>
      </c>
      <c r="B1722" t="s">
        <v>5813</v>
      </c>
      <c r="C1722">
        <v>1000</v>
      </c>
      <c r="D1722">
        <v>0</v>
      </c>
      <c r="E1722">
        <v>50</v>
      </c>
      <c r="F1722" s="64" t="s">
        <v>16756</v>
      </c>
    </row>
    <row r="1723" spans="1:6">
      <c r="A1723">
        <v>1722</v>
      </c>
      <c r="B1723" t="s">
        <v>5817</v>
      </c>
      <c r="C1723">
        <v>47500</v>
      </c>
      <c r="D1723">
        <v>0</v>
      </c>
      <c r="E1723">
        <v>2375</v>
      </c>
      <c r="F1723" s="77">
        <v>44603</v>
      </c>
    </row>
    <row r="1724" spans="1:6">
      <c r="A1724">
        <v>1723</v>
      </c>
      <c r="B1724" t="s">
        <v>5820</v>
      </c>
      <c r="C1724">
        <v>55000</v>
      </c>
      <c r="D1724">
        <v>0</v>
      </c>
      <c r="E1724">
        <v>2750</v>
      </c>
      <c r="F1724" s="64" t="s">
        <v>16757</v>
      </c>
    </row>
    <row r="1725" spans="1:6">
      <c r="A1725">
        <v>1724</v>
      </c>
      <c r="B1725" t="s">
        <v>5825</v>
      </c>
      <c r="C1725">
        <v>250</v>
      </c>
      <c r="D1725">
        <v>750</v>
      </c>
      <c r="E1725">
        <v>50</v>
      </c>
      <c r="F1725" s="71">
        <v>44875</v>
      </c>
    </row>
    <row r="1726" spans="1:6">
      <c r="A1726">
        <v>1725</v>
      </c>
      <c r="B1726" t="s">
        <v>5828</v>
      </c>
      <c r="C1726">
        <v>12500</v>
      </c>
      <c r="D1726">
        <v>37500</v>
      </c>
      <c r="E1726">
        <v>2500</v>
      </c>
      <c r="F1726" s="67">
        <v>45059</v>
      </c>
    </row>
    <row r="1727" spans="1:6">
      <c r="A1727">
        <v>1726</v>
      </c>
      <c r="B1727" t="s">
        <v>5831</v>
      </c>
      <c r="C1727">
        <v>250</v>
      </c>
      <c r="D1727">
        <v>750</v>
      </c>
      <c r="E1727">
        <v>50</v>
      </c>
      <c r="F1727" s="77">
        <v>44895</v>
      </c>
    </row>
    <row r="1728" spans="1:6">
      <c r="A1728">
        <v>1727</v>
      </c>
      <c r="B1728" t="s">
        <v>5834</v>
      </c>
      <c r="C1728">
        <v>2000</v>
      </c>
      <c r="D1728">
        <v>0</v>
      </c>
      <c r="E1728">
        <v>100</v>
      </c>
      <c r="F1728" s="64" t="s">
        <v>16758</v>
      </c>
    </row>
    <row r="1729" ht="15" spans="1:6">
      <c r="A1729">
        <v>1728</v>
      </c>
      <c r="B1729" t="s">
        <v>5838</v>
      </c>
      <c r="C1729">
        <v>1000000</v>
      </c>
      <c r="D1729">
        <v>500000</v>
      </c>
      <c r="E1729" t="s">
        <v>16642</v>
      </c>
      <c r="F1729" s="81">
        <f>IFERROR(__xludf.DUMMYFUNCTION("""COMPUTED_VALUE"""),45083)</f>
        <v>45083</v>
      </c>
    </row>
    <row r="1730" spans="1:6">
      <c r="A1730">
        <v>1729</v>
      </c>
      <c r="B1730" t="s">
        <v>5839</v>
      </c>
      <c r="C1730">
        <v>250</v>
      </c>
      <c r="D1730">
        <v>750</v>
      </c>
      <c r="E1730">
        <v>50</v>
      </c>
      <c r="F1730" s="101">
        <v>44782</v>
      </c>
    </row>
    <row r="1731" spans="1:6">
      <c r="A1731">
        <v>1730</v>
      </c>
      <c r="B1731" t="s">
        <v>5842</v>
      </c>
      <c r="C1731">
        <v>2500</v>
      </c>
      <c r="D1731">
        <v>0</v>
      </c>
      <c r="E1731">
        <v>50</v>
      </c>
      <c r="F1731" s="77">
        <v>44813</v>
      </c>
    </row>
    <row r="1732" spans="1:6">
      <c r="A1732">
        <v>1731</v>
      </c>
      <c r="B1732" t="s">
        <v>5845</v>
      </c>
      <c r="C1732">
        <v>5000</v>
      </c>
      <c r="D1732">
        <v>15000</v>
      </c>
      <c r="E1732">
        <v>1000</v>
      </c>
      <c r="F1732" s="77">
        <v>44903</v>
      </c>
    </row>
    <row r="1733" spans="1:6">
      <c r="A1733">
        <v>1732</v>
      </c>
      <c r="B1733" t="s">
        <v>5848</v>
      </c>
      <c r="C1733">
        <v>50000</v>
      </c>
      <c r="D1733">
        <v>0</v>
      </c>
      <c r="E1733">
        <v>2500</v>
      </c>
      <c r="F1733" s="83">
        <v>44697</v>
      </c>
    </row>
    <row r="1734" spans="1:6">
      <c r="A1734">
        <v>1733</v>
      </c>
      <c r="B1734" t="s">
        <v>5848</v>
      </c>
      <c r="C1734">
        <v>100000</v>
      </c>
      <c r="D1734">
        <v>0</v>
      </c>
      <c r="E1734" t="s">
        <v>16642</v>
      </c>
      <c r="F1734" s="89"/>
    </row>
    <row r="1735" spans="1:6">
      <c r="A1735">
        <v>1734</v>
      </c>
      <c r="B1735" t="s">
        <v>5852</v>
      </c>
      <c r="C1735">
        <v>7500</v>
      </c>
      <c r="D1735">
        <v>22500</v>
      </c>
      <c r="E1735">
        <v>1500</v>
      </c>
      <c r="F1735" s="64" t="s">
        <v>16703</v>
      </c>
    </row>
    <row r="1736" spans="1:6">
      <c r="A1736">
        <v>1735</v>
      </c>
      <c r="B1736" t="s">
        <v>5856</v>
      </c>
      <c r="C1736">
        <v>100000</v>
      </c>
      <c r="D1736">
        <v>0</v>
      </c>
      <c r="E1736" t="s">
        <v>16642</v>
      </c>
      <c r="F1736" s="76">
        <v>44931</v>
      </c>
    </row>
    <row r="1737" spans="1:6">
      <c r="A1737">
        <v>1736</v>
      </c>
      <c r="B1737" t="s">
        <v>5860</v>
      </c>
      <c r="C1737">
        <v>100000</v>
      </c>
      <c r="D1737">
        <v>0</v>
      </c>
      <c r="E1737" t="s">
        <v>16642</v>
      </c>
      <c r="F1737" s="100"/>
    </row>
    <row r="1738" spans="1:6">
      <c r="A1738">
        <v>1737</v>
      </c>
      <c r="B1738" t="s">
        <v>5865</v>
      </c>
      <c r="C1738">
        <v>200000</v>
      </c>
      <c r="D1738">
        <v>0</v>
      </c>
      <c r="E1738" t="s">
        <v>16642</v>
      </c>
      <c r="F1738" s="100"/>
    </row>
    <row r="1739" spans="1:6">
      <c r="A1739">
        <v>1738</v>
      </c>
      <c r="B1739" t="s">
        <v>5870</v>
      </c>
      <c r="C1739">
        <v>100000</v>
      </c>
      <c r="D1739">
        <v>0</v>
      </c>
      <c r="E1739" t="s">
        <v>16642</v>
      </c>
      <c r="F1739" s="100"/>
    </row>
    <row r="1740" spans="1:6">
      <c r="A1740">
        <v>1739</v>
      </c>
      <c r="B1740" t="s">
        <v>5875</v>
      </c>
      <c r="C1740">
        <v>250</v>
      </c>
      <c r="D1740">
        <v>750</v>
      </c>
      <c r="E1740">
        <v>50</v>
      </c>
      <c r="F1740" s="77">
        <v>44824</v>
      </c>
    </row>
    <row r="1741" ht="15" spans="1:6">
      <c r="A1741">
        <v>1740</v>
      </c>
      <c r="B1741" t="s">
        <v>5878</v>
      </c>
      <c r="C1741">
        <v>1500000</v>
      </c>
      <c r="E1741" t="s">
        <v>16642</v>
      </c>
      <c r="F1741" s="88">
        <f>IFERROR(__xludf.DUMMYFUNCTION("""COMPUTED_VALUE"""),45084)</f>
        <v>45084</v>
      </c>
    </row>
    <row r="1742" spans="1:6">
      <c r="A1742">
        <v>1741</v>
      </c>
      <c r="B1742" t="s">
        <v>5879</v>
      </c>
      <c r="C1742">
        <v>250</v>
      </c>
      <c r="D1742">
        <v>750</v>
      </c>
      <c r="E1742">
        <v>50</v>
      </c>
      <c r="F1742" s="60">
        <v>44904</v>
      </c>
    </row>
    <row r="1743" spans="1:6">
      <c r="A1743">
        <v>1742</v>
      </c>
      <c r="B1743" t="s">
        <v>5883</v>
      </c>
      <c r="C1743">
        <v>100000</v>
      </c>
      <c r="D1743">
        <v>0</v>
      </c>
      <c r="E1743" t="s">
        <v>16642</v>
      </c>
      <c r="F1743" s="82">
        <v>44802</v>
      </c>
    </row>
    <row r="1744" ht="15" spans="1:6">
      <c r="A1744">
        <v>1743</v>
      </c>
      <c r="B1744" t="s">
        <v>5888</v>
      </c>
      <c r="C1744">
        <v>1000000</v>
      </c>
      <c r="D1744">
        <v>500000</v>
      </c>
      <c r="E1744" t="s">
        <v>16642</v>
      </c>
      <c r="F1744" s="81">
        <f>IFERROR(__xludf.DUMMYFUNCTION("""COMPUTED_VALUE"""),45082)</f>
        <v>45082</v>
      </c>
    </row>
    <row r="1745" ht="15" spans="1:6">
      <c r="A1745">
        <v>1744</v>
      </c>
      <c r="B1745" t="s">
        <v>5889</v>
      </c>
      <c r="C1745">
        <v>1000000</v>
      </c>
      <c r="D1745">
        <v>500000</v>
      </c>
      <c r="E1745" t="s">
        <v>16642</v>
      </c>
      <c r="F1745" s="81">
        <f>IFERROR(__xludf.DUMMYFUNCTION("""COMPUTED_VALUE"""),45084)</f>
        <v>45084</v>
      </c>
    </row>
    <row r="1746" spans="1:6">
      <c r="A1746">
        <v>1745</v>
      </c>
      <c r="B1746" t="s">
        <v>5890</v>
      </c>
      <c r="C1746">
        <v>100000</v>
      </c>
      <c r="D1746">
        <v>0</v>
      </c>
      <c r="E1746" t="s">
        <v>16642</v>
      </c>
      <c r="F1746" s="76">
        <v>44938</v>
      </c>
    </row>
    <row r="1747" spans="1:6">
      <c r="A1747">
        <v>1746</v>
      </c>
      <c r="B1747" t="s">
        <v>5895</v>
      </c>
      <c r="C1747">
        <v>250</v>
      </c>
      <c r="D1747">
        <v>750</v>
      </c>
      <c r="E1747">
        <v>50</v>
      </c>
      <c r="F1747" s="60">
        <v>44921</v>
      </c>
    </row>
    <row r="1748" spans="1:6">
      <c r="A1748">
        <v>1747</v>
      </c>
      <c r="B1748" t="s">
        <v>5900</v>
      </c>
      <c r="C1748">
        <v>1000</v>
      </c>
      <c r="D1748">
        <v>0</v>
      </c>
      <c r="E1748">
        <v>50</v>
      </c>
      <c r="F1748" s="87" t="s">
        <v>16759</v>
      </c>
    </row>
    <row r="1749" spans="1:6">
      <c r="A1749">
        <v>1748</v>
      </c>
      <c r="B1749" t="s">
        <v>5903</v>
      </c>
      <c r="C1749">
        <v>1000</v>
      </c>
      <c r="D1749">
        <v>0</v>
      </c>
      <c r="E1749">
        <v>50</v>
      </c>
      <c r="F1749" s="77">
        <v>44859</v>
      </c>
    </row>
    <row r="1750" spans="1:6">
      <c r="A1750">
        <v>1749</v>
      </c>
      <c r="B1750" t="s">
        <v>5906</v>
      </c>
      <c r="C1750">
        <v>20000</v>
      </c>
      <c r="D1750">
        <v>0</v>
      </c>
      <c r="E1750">
        <v>1000</v>
      </c>
      <c r="F1750" s="65">
        <v>44603</v>
      </c>
    </row>
    <row r="1751" spans="1:6">
      <c r="A1751">
        <v>1750</v>
      </c>
      <c r="B1751" t="s">
        <v>5910</v>
      </c>
      <c r="C1751">
        <v>500</v>
      </c>
      <c r="D1751">
        <v>1500</v>
      </c>
      <c r="E1751">
        <v>100</v>
      </c>
      <c r="F1751" s="118">
        <v>44919</v>
      </c>
    </row>
    <row r="1752" spans="1:6">
      <c r="A1752">
        <v>1751</v>
      </c>
      <c r="B1752" t="s">
        <v>5913</v>
      </c>
      <c r="C1752">
        <v>1250</v>
      </c>
      <c r="D1752">
        <v>3750</v>
      </c>
      <c r="E1752">
        <v>250</v>
      </c>
      <c r="F1752" s="61">
        <v>44846</v>
      </c>
    </row>
    <row r="1753" spans="1:6">
      <c r="A1753">
        <v>1752</v>
      </c>
      <c r="B1753" t="s">
        <v>5917</v>
      </c>
      <c r="C1753">
        <v>100000</v>
      </c>
      <c r="D1753">
        <v>0</v>
      </c>
      <c r="E1753" t="s">
        <v>16642</v>
      </c>
      <c r="F1753" s="76">
        <v>44935</v>
      </c>
    </row>
    <row r="1754" spans="1:6">
      <c r="A1754">
        <v>1753</v>
      </c>
      <c r="B1754" t="s">
        <v>5921</v>
      </c>
      <c r="C1754">
        <v>100000</v>
      </c>
      <c r="D1754">
        <v>0</v>
      </c>
      <c r="E1754" t="s">
        <v>16642</v>
      </c>
      <c r="F1754" s="104"/>
    </row>
    <row r="1755" spans="1:6">
      <c r="A1755">
        <v>1754</v>
      </c>
      <c r="B1755" t="s">
        <v>5926</v>
      </c>
      <c r="C1755">
        <v>5000</v>
      </c>
      <c r="D1755">
        <v>0</v>
      </c>
      <c r="E1755">
        <v>250</v>
      </c>
      <c r="F1755" s="125" t="s">
        <v>16723</v>
      </c>
    </row>
    <row r="1756" spans="1:6">
      <c r="A1756">
        <v>1755</v>
      </c>
      <c r="B1756" t="s">
        <v>5930</v>
      </c>
      <c r="C1756">
        <v>10000</v>
      </c>
      <c r="D1756">
        <v>0</v>
      </c>
      <c r="E1756">
        <v>500</v>
      </c>
      <c r="F1756" s="65">
        <v>44475</v>
      </c>
    </row>
    <row r="1757" ht="15" spans="1:6">
      <c r="A1757">
        <v>1756</v>
      </c>
      <c r="B1757" t="s">
        <v>5936</v>
      </c>
      <c r="C1757">
        <v>1000000</v>
      </c>
      <c r="D1757">
        <v>500000</v>
      </c>
      <c r="E1757" t="s">
        <v>16642</v>
      </c>
      <c r="F1757" s="81">
        <f>IFERROR(__xludf.DUMMYFUNCTION("""COMPUTED_VALUE"""),45087)</f>
        <v>45087</v>
      </c>
    </row>
    <row r="1758" ht="15" spans="1:6">
      <c r="A1758">
        <v>1757</v>
      </c>
      <c r="B1758" t="s">
        <v>5939</v>
      </c>
      <c r="C1758">
        <v>1500000</v>
      </c>
      <c r="D1758">
        <v>0</v>
      </c>
      <c r="E1758" t="s">
        <v>16642</v>
      </c>
      <c r="F1758" s="81">
        <f>IFERROR(__xludf.DUMMYFUNCTION("""COMPUTED_VALUE"""),45082)</f>
        <v>45082</v>
      </c>
    </row>
    <row r="1759" spans="1:6">
      <c r="A1759">
        <v>1758</v>
      </c>
      <c r="B1759" t="s">
        <v>5940</v>
      </c>
      <c r="C1759">
        <v>1000</v>
      </c>
      <c r="D1759">
        <v>0</v>
      </c>
      <c r="E1759">
        <v>50</v>
      </c>
      <c r="F1759" s="64" t="s">
        <v>16760</v>
      </c>
    </row>
    <row r="1760" spans="1:6">
      <c r="A1760">
        <v>1759</v>
      </c>
      <c r="B1760" t="s">
        <v>5946</v>
      </c>
      <c r="C1760">
        <v>25000</v>
      </c>
      <c r="D1760">
        <v>75000</v>
      </c>
      <c r="E1760">
        <v>5000</v>
      </c>
      <c r="F1760" s="67">
        <v>44988</v>
      </c>
    </row>
    <row r="1761" spans="1:6">
      <c r="A1761">
        <v>1760</v>
      </c>
      <c r="B1761" t="s">
        <v>5949</v>
      </c>
      <c r="C1761">
        <v>20000</v>
      </c>
      <c r="D1761">
        <v>0</v>
      </c>
      <c r="E1761">
        <v>1000</v>
      </c>
      <c r="F1761" s="64" t="s">
        <v>16715</v>
      </c>
    </row>
    <row r="1762" spans="1:6">
      <c r="A1762">
        <v>1761</v>
      </c>
      <c r="B1762" t="s">
        <v>5953</v>
      </c>
      <c r="C1762">
        <v>20000</v>
      </c>
      <c r="D1762">
        <v>0</v>
      </c>
      <c r="E1762">
        <v>1000</v>
      </c>
      <c r="F1762" s="64" t="s">
        <v>16715</v>
      </c>
    </row>
    <row r="1763" spans="1:6">
      <c r="A1763">
        <v>1762</v>
      </c>
      <c r="B1763" t="s">
        <v>5957</v>
      </c>
      <c r="C1763">
        <v>250</v>
      </c>
      <c r="D1763">
        <v>750</v>
      </c>
      <c r="E1763">
        <v>50</v>
      </c>
      <c r="F1763" s="61">
        <v>44998</v>
      </c>
    </row>
    <row r="1764" spans="1:6">
      <c r="A1764">
        <v>1763</v>
      </c>
      <c r="B1764" t="s">
        <v>5960</v>
      </c>
      <c r="C1764">
        <v>250</v>
      </c>
      <c r="D1764">
        <v>750</v>
      </c>
      <c r="E1764">
        <v>50</v>
      </c>
      <c r="F1764" s="69">
        <v>44929</v>
      </c>
    </row>
    <row r="1765" spans="1:6">
      <c r="A1765">
        <v>1764</v>
      </c>
      <c r="B1765" t="s">
        <v>5963</v>
      </c>
      <c r="C1765">
        <v>1000</v>
      </c>
      <c r="D1765">
        <v>0</v>
      </c>
      <c r="E1765">
        <v>50</v>
      </c>
      <c r="F1765" s="60">
        <v>45041</v>
      </c>
    </row>
    <row r="1766" spans="1:6">
      <c r="A1766">
        <v>1765</v>
      </c>
      <c r="B1766" t="s">
        <v>5966</v>
      </c>
      <c r="C1766">
        <v>250</v>
      </c>
      <c r="D1766">
        <v>750</v>
      </c>
      <c r="E1766">
        <v>50</v>
      </c>
      <c r="F1766" s="61">
        <v>44856</v>
      </c>
    </row>
    <row r="1767" spans="1:6">
      <c r="A1767">
        <v>1766</v>
      </c>
      <c r="B1767" t="s">
        <v>5970</v>
      </c>
      <c r="C1767">
        <v>250</v>
      </c>
      <c r="D1767">
        <v>750</v>
      </c>
      <c r="E1767">
        <v>50</v>
      </c>
      <c r="F1767" s="60">
        <v>44869</v>
      </c>
    </row>
    <row r="1768" spans="1:6">
      <c r="A1768">
        <v>1767</v>
      </c>
      <c r="B1768" t="s">
        <v>5973</v>
      </c>
      <c r="C1768">
        <v>250</v>
      </c>
      <c r="D1768">
        <v>750</v>
      </c>
      <c r="E1768">
        <v>50</v>
      </c>
      <c r="F1768" s="73">
        <v>44954</v>
      </c>
    </row>
    <row r="1769" spans="1:6">
      <c r="A1769">
        <v>1768</v>
      </c>
      <c r="B1769" t="s">
        <v>5976</v>
      </c>
      <c r="C1769">
        <v>250</v>
      </c>
      <c r="D1769">
        <v>750</v>
      </c>
      <c r="E1769">
        <v>50</v>
      </c>
      <c r="F1769" s="70">
        <v>44867</v>
      </c>
    </row>
    <row r="1770" spans="1:6">
      <c r="A1770">
        <v>1769</v>
      </c>
      <c r="B1770" t="s">
        <v>5980</v>
      </c>
      <c r="C1770">
        <v>250</v>
      </c>
      <c r="D1770">
        <v>750</v>
      </c>
      <c r="E1770">
        <v>50</v>
      </c>
      <c r="F1770" s="72">
        <v>44898</v>
      </c>
    </row>
    <row r="1771" spans="1:6">
      <c r="A1771">
        <v>1770</v>
      </c>
      <c r="B1771" t="s">
        <v>5984</v>
      </c>
      <c r="C1771">
        <v>250</v>
      </c>
      <c r="D1771">
        <v>750</v>
      </c>
      <c r="E1771">
        <v>50</v>
      </c>
      <c r="F1771" s="61">
        <v>44866</v>
      </c>
    </row>
    <row r="1772" spans="1:6">
      <c r="A1772">
        <v>1771</v>
      </c>
      <c r="B1772" t="s">
        <v>5987</v>
      </c>
      <c r="C1772">
        <v>250</v>
      </c>
      <c r="D1772">
        <v>750</v>
      </c>
      <c r="E1772">
        <v>50</v>
      </c>
      <c r="F1772" s="60">
        <v>44901</v>
      </c>
    </row>
    <row r="1773" spans="1:6">
      <c r="A1773">
        <v>1772</v>
      </c>
      <c r="B1773" t="s">
        <v>5990</v>
      </c>
      <c r="C1773">
        <v>250</v>
      </c>
      <c r="D1773">
        <v>750</v>
      </c>
      <c r="E1773">
        <v>50</v>
      </c>
      <c r="F1773" s="70">
        <v>44840</v>
      </c>
    </row>
    <row r="1774" spans="1:6">
      <c r="A1774">
        <v>1773</v>
      </c>
      <c r="B1774" t="s">
        <v>5993</v>
      </c>
      <c r="C1774">
        <v>5000</v>
      </c>
      <c r="D1774">
        <v>15000</v>
      </c>
      <c r="E1774">
        <v>1000</v>
      </c>
      <c r="F1774" s="65">
        <v>44730</v>
      </c>
    </row>
    <row r="1775" spans="1:6">
      <c r="A1775">
        <v>1774</v>
      </c>
      <c r="B1775" t="s">
        <v>5997</v>
      </c>
      <c r="C1775">
        <v>10000</v>
      </c>
      <c r="D1775">
        <v>0</v>
      </c>
      <c r="E1775">
        <v>500</v>
      </c>
      <c r="F1775" s="77">
        <v>44784</v>
      </c>
    </row>
    <row r="1776" spans="1:6">
      <c r="A1776">
        <v>1775</v>
      </c>
      <c r="B1776" t="s">
        <v>6000</v>
      </c>
      <c r="C1776">
        <v>250</v>
      </c>
      <c r="D1776">
        <v>750</v>
      </c>
      <c r="E1776">
        <v>50</v>
      </c>
      <c r="F1776" s="61">
        <v>44932</v>
      </c>
    </row>
    <row r="1777" spans="1:6">
      <c r="A1777">
        <v>1776</v>
      </c>
      <c r="B1777" t="s">
        <v>6003</v>
      </c>
      <c r="C1777">
        <v>250</v>
      </c>
      <c r="D1777">
        <v>750</v>
      </c>
      <c r="E1777">
        <v>50</v>
      </c>
      <c r="F1777" s="60">
        <v>44873</v>
      </c>
    </row>
    <row r="1778" spans="1:6">
      <c r="A1778">
        <v>1777</v>
      </c>
      <c r="B1778" t="s">
        <v>6006</v>
      </c>
      <c r="C1778">
        <v>250</v>
      </c>
      <c r="D1778">
        <v>750</v>
      </c>
      <c r="E1778">
        <v>50</v>
      </c>
      <c r="F1778" s="61">
        <v>44855</v>
      </c>
    </row>
    <row r="1779" spans="1:6">
      <c r="A1779">
        <v>1778</v>
      </c>
      <c r="B1779" t="s">
        <v>6009</v>
      </c>
      <c r="C1779">
        <v>250</v>
      </c>
      <c r="D1779">
        <v>750</v>
      </c>
      <c r="E1779">
        <v>50</v>
      </c>
      <c r="F1779" s="72">
        <v>44849</v>
      </c>
    </row>
    <row r="1780" spans="1:6">
      <c r="A1780">
        <v>1779</v>
      </c>
      <c r="B1780" t="s">
        <v>6012</v>
      </c>
      <c r="C1780">
        <v>250</v>
      </c>
      <c r="D1780">
        <v>750</v>
      </c>
      <c r="E1780">
        <v>50</v>
      </c>
      <c r="F1780" s="60">
        <v>44923</v>
      </c>
    </row>
    <row r="1781" spans="1:6">
      <c r="A1781">
        <v>1780</v>
      </c>
      <c r="B1781" t="s">
        <v>6015</v>
      </c>
      <c r="C1781">
        <v>250</v>
      </c>
      <c r="D1781">
        <v>750</v>
      </c>
      <c r="E1781">
        <v>50</v>
      </c>
      <c r="F1781" s="75">
        <v>44866</v>
      </c>
    </row>
    <row r="1782" spans="1:6">
      <c r="A1782">
        <v>1781</v>
      </c>
      <c r="B1782" t="s">
        <v>6018</v>
      </c>
      <c r="C1782">
        <v>250</v>
      </c>
      <c r="D1782">
        <v>750</v>
      </c>
      <c r="E1782">
        <v>50</v>
      </c>
      <c r="F1782" s="87" t="s">
        <v>16761</v>
      </c>
    </row>
    <row r="1783" spans="1:6">
      <c r="A1783">
        <v>1782</v>
      </c>
      <c r="B1783" t="s">
        <v>6021</v>
      </c>
      <c r="C1783">
        <v>250</v>
      </c>
      <c r="D1783">
        <v>750</v>
      </c>
      <c r="E1783">
        <v>50</v>
      </c>
      <c r="F1783" s="60">
        <v>44926</v>
      </c>
    </row>
    <row r="1784" spans="1:6">
      <c r="A1784">
        <v>1783</v>
      </c>
      <c r="B1784" t="s">
        <v>6024</v>
      </c>
      <c r="C1784">
        <v>250</v>
      </c>
      <c r="D1784">
        <v>750</v>
      </c>
      <c r="E1784">
        <v>50</v>
      </c>
      <c r="F1784" s="61">
        <v>44875</v>
      </c>
    </row>
    <row r="1785" spans="1:6">
      <c r="A1785">
        <v>1784</v>
      </c>
      <c r="B1785" t="s">
        <v>6028</v>
      </c>
      <c r="C1785">
        <v>250</v>
      </c>
      <c r="D1785">
        <v>750</v>
      </c>
      <c r="E1785">
        <v>50</v>
      </c>
      <c r="F1785" s="60">
        <v>44931</v>
      </c>
    </row>
    <row r="1786" spans="1:6">
      <c r="A1786">
        <v>1785</v>
      </c>
      <c r="B1786" t="s">
        <v>6031</v>
      </c>
      <c r="C1786">
        <v>250</v>
      </c>
      <c r="D1786">
        <v>750</v>
      </c>
      <c r="E1786">
        <v>50</v>
      </c>
      <c r="F1786" s="60">
        <v>44869</v>
      </c>
    </row>
    <row r="1787" spans="1:6">
      <c r="A1787">
        <v>1786</v>
      </c>
      <c r="B1787" t="s">
        <v>6034</v>
      </c>
      <c r="C1787">
        <v>500</v>
      </c>
      <c r="D1787">
        <v>1500</v>
      </c>
      <c r="E1787">
        <v>100</v>
      </c>
      <c r="F1787" s="64" t="s">
        <v>16762</v>
      </c>
    </row>
    <row r="1788" spans="1:6">
      <c r="A1788">
        <v>1787</v>
      </c>
      <c r="B1788" t="s">
        <v>6037</v>
      </c>
      <c r="C1788">
        <v>250</v>
      </c>
      <c r="D1788">
        <v>750</v>
      </c>
      <c r="E1788">
        <v>50</v>
      </c>
      <c r="F1788" s="60">
        <v>44875</v>
      </c>
    </row>
    <row r="1789" spans="1:6">
      <c r="A1789">
        <v>1788</v>
      </c>
      <c r="B1789" t="s">
        <v>6040</v>
      </c>
      <c r="C1789">
        <v>250</v>
      </c>
      <c r="D1789">
        <v>750</v>
      </c>
      <c r="E1789">
        <v>50</v>
      </c>
      <c r="F1789" s="61">
        <v>44925</v>
      </c>
    </row>
    <row r="1790" spans="1:6">
      <c r="A1790">
        <v>1789</v>
      </c>
      <c r="B1790" t="s">
        <v>6043</v>
      </c>
      <c r="C1790">
        <v>250</v>
      </c>
      <c r="D1790">
        <v>750</v>
      </c>
      <c r="E1790">
        <v>50</v>
      </c>
      <c r="F1790" s="60">
        <v>44862</v>
      </c>
    </row>
    <row r="1791" spans="1:6">
      <c r="A1791">
        <v>1790</v>
      </c>
      <c r="B1791" t="s">
        <v>6046</v>
      </c>
      <c r="C1791">
        <v>250</v>
      </c>
      <c r="D1791">
        <v>750</v>
      </c>
      <c r="E1791">
        <v>50</v>
      </c>
      <c r="F1791" s="69">
        <v>44931</v>
      </c>
    </row>
    <row r="1792" spans="1:6">
      <c r="A1792">
        <v>1791</v>
      </c>
      <c r="B1792" t="s">
        <v>6049</v>
      </c>
      <c r="C1792">
        <v>250</v>
      </c>
      <c r="D1792">
        <v>750</v>
      </c>
      <c r="E1792">
        <v>50</v>
      </c>
      <c r="F1792" s="75">
        <v>44910</v>
      </c>
    </row>
    <row r="1793" spans="1:6">
      <c r="A1793">
        <v>1792</v>
      </c>
      <c r="B1793" t="s">
        <v>6052</v>
      </c>
      <c r="C1793">
        <v>26000</v>
      </c>
      <c r="D1793">
        <v>0</v>
      </c>
      <c r="E1793">
        <v>550</v>
      </c>
      <c r="F1793" s="65">
        <v>44345</v>
      </c>
    </row>
    <row r="1794" spans="1:6">
      <c r="A1794">
        <v>1793</v>
      </c>
      <c r="B1794" t="s">
        <v>6056</v>
      </c>
      <c r="C1794">
        <v>250</v>
      </c>
      <c r="D1794">
        <v>750</v>
      </c>
      <c r="E1794">
        <v>50</v>
      </c>
      <c r="F1794" s="61">
        <v>44856</v>
      </c>
    </row>
    <row r="1795" spans="1:6">
      <c r="A1795">
        <v>1794</v>
      </c>
      <c r="B1795" t="s">
        <v>6059</v>
      </c>
      <c r="C1795">
        <v>250</v>
      </c>
      <c r="D1795">
        <v>750</v>
      </c>
      <c r="E1795">
        <v>50</v>
      </c>
      <c r="F1795" s="60">
        <v>44845</v>
      </c>
    </row>
    <row r="1796" spans="1:6">
      <c r="A1796">
        <v>1795</v>
      </c>
      <c r="B1796" t="s">
        <v>6062</v>
      </c>
      <c r="C1796">
        <v>250</v>
      </c>
      <c r="D1796">
        <v>750</v>
      </c>
      <c r="E1796">
        <v>50</v>
      </c>
      <c r="F1796" s="73">
        <v>44968</v>
      </c>
    </row>
    <row r="1797" spans="1:6">
      <c r="A1797">
        <v>1796</v>
      </c>
      <c r="B1797" t="s">
        <v>6066</v>
      </c>
      <c r="C1797">
        <v>100000</v>
      </c>
      <c r="D1797">
        <v>0</v>
      </c>
      <c r="E1797" t="s">
        <v>16642</v>
      </c>
      <c r="F1797" s="66"/>
    </row>
    <row r="1798" spans="1:6">
      <c r="A1798">
        <v>1797</v>
      </c>
      <c r="B1798" t="s">
        <v>6071</v>
      </c>
      <c r="C1798">
        <v>250</v>
      </c>
      <c r="D1798">
        <v>750</v>
      </c>
      <c r="E1798">
        <v>50</v>
      </c>
      <c r="F1798" s="60">
        <v>44855</v>
      </c>
    </row>
    <row r="1799" spans="1:6">
      <c r="A1799">
        <v>1798</v>
      </c>
      <c r="B1799" t="s">
        <v>6075</v>
      </c>
      <c r="C1799">
        <v>1000</v>
      </c>
      <c r="D1799">
        <v>0</v>
      </c>
      <c r="E1799">
        <v>50</v>
      </c>
      <c r="F1799" s="60">
        <v>44862</v>
      </c>
    </row>
    <row r="1800" spans="1:6">
      <c r="A1800">
        <v>1799</v>
      </c>
      <c r="B1800" t="s">
        <v>6079</v>
      </c>
      <c r="C1800">
        <v>1000</v>
      </c>
      <c r="D1800">
        <v>0</v>
      </c>
      <c r="E1800">
        <v>50</v>
      </c>
      <c r="F1800" s="73">
        <v>44959</v>
      </c>
    </row>
    <row r="1801" spans="1:6">
      <c r="A1801">
        <v>1800</v>
      </c>
      <c r="B1801" t="s">
        <v>6082</v>
      </c>
      <c r="C1801">
        <v>250</v>
      </c>
      <c r="D1801">
        <v>750</v>
      </c>
      <c r="E1801">
        <v>50</v>
      </c>
      <c r="F1801" s="61">
        <v>45001</v>
      </c>
    </row>
    <row r="1802" spans="1:6">
      <c r="A1802">
        <v>1801</v>
      </c>
      <c r="B1802" t="s">
        <v>6085</v>
      </c>
      <c r="C1802">
        <v>250</v>
      </c>
      <c r="D1802">
        <v>750</v>
      </c>
      <c r="E1802">
        <v>50</v>
      </c>
      <c r="F1802" s="60">
        <v>44877</v>
      </c>
    </row>
    <row r="1803" spans="1:6">
      <c r="A1803">
        <v>1802</v>
      </c>
      <c r="B1803" t="s">
        <v>6088</v>
      </c>
      <c r="C1803">
        <v>250</v>
      </c>
      <c r="D1803">
        <v>750</v>
      </c>
      <c r="E1803">
        <v>50</v>
      </c>
      <c r="F1803" s="61">
        <v>44883</v>
      </c>
    </row>
    <row r="1804" spans="1:6">
      <c r="A1804">
        <v>1803</v>
      </c>
      <c r="B1804" t="s">
        <v>6091</v>
      </c>
      <c r="C1804">
        <v>250</v>
      </c>
      <c r="D1804">
        <v>750</v>
      </c>
      <c r="E1804">
        <v>50</v>
      </c>
      <c r="F1804" s="61">
        <v>44858</v>
      </c>
    </row>
    <row r="1805" spans="1:6">
      <c r="A1805">
        <v>1804</v>
      </c>
      <c r="B1805" t="s">
        <v>6095</v>
      </c>
      <c r="C1805">
        <v>250</v>
      </c>
      <c r="D1805">
        <v>750</v>
      </c>
      <c r="E1805">
        <v>50</v>
      </c>
      <c r="F1805" s="60">
        <v>44869</v>
      </c>
    </row>
    <row r="1806" spans="1:6">
      <c r="A1806">
        <v>1805</v>
      </c>
      <c r="B1806" t="s">
        <v>6098</v>
      </c>
      <c r="C1806">
        <v>250</v>
      </c>
      <c r="D1806">
        <v>750</v>
      </c>
      <c r="E1806">
        <v>50</v>
      </c>
      <c r="F1806" s="60">
        <v>44930</v>
      </c>
    </row>
    <row r="1807" spans="1:6">
      <c r="A1807">
        <v>1806</v>
      </c>
      <c r="B1807" t="s">
        <v>6101</v>
      </c>
      <c r="C1807">
        <v>250</v>
      </c>
      <c r="D1807">
        <v>750</v>
      </c>
      <c r="E1807">
        <v>50</v>
      </c>
      <c r="F1807" s="61">
        <v>44959</v>
      </c>
    </row>
    <row r="1808" spans="1:6">
      <c r="A1808">
        <v>1807</v>
      </c>
      <c r="B1808" t="s">
        <v>6104</v>
      </c>
      <c r="C1808">
        <v>250</v>
      </c>
      <c r="D1808">
        <v>750</v>
      </c>
      <c r="E1808">
        <v>50</v>
      </c>
      <c r="F1808" s="61">
        <v>44874</v>
      </c>
    </row>
    <row r="1809" spans="1:6">
      <c r="A1809">
        <v>1808</v>
      </c>
      <c r="B1809" t="s">
        <v>6108</v>
      </c>
      <c r="C1809">
        <v>20000</v>
      </c>
      <c r="D1809">
        <v>0</v>
      </c>
      <c r="E1809">
        <v>1000</v>
      </c>
      <c r="F1809" s="64" t="s">
        <v>16763</v>
      </c>
    </row>
    <row r="1810" spans="1:6">
      <c r="A1810">
        <v>1809</v>
      </c>
      <c r="B1810" t="s">
        <v>6112</v>
      </c>
      <c r="C1810">
        <v>250</v>
      </c>
      <c r="D1810">
        <v>750</v>
      </c>
      <c r="E1810">
        <v>50</v>
      </c>
      <c r="F1810" s="69">
        <v>44944</v>
      </c>
    </row>
    <row r="1811" spans="1:6">
      <c r="A1811">
        <v>1810</v>
      </c>
      <c r="B1811" t="s">
        <v>6115</v>
      </c>
      <c r="C1811">
        <v>250</v>
      </c>
      <c r="D1811">
        <v>750</v>
      </c>
      <c r="E1811">
        <v>50</v>
      </c>
      <c r="F1811" s="60">
        <v>44877</v>
      </c>
    </row>
    <row r="1812" spans="1:6">
      <c r="A1812">
        <v>1811</v>
      </c>
      <c r="B1812" t="s">
        <v>6119</v>
      </c>
      <c r="C1812">
        <v>250</v>
      </c>
      <c r="D1812">
        <v>750</v>
      </c>
      <c r="E1812">
        <v>50</v>
      </c>
      <c r="F1812" s="61">
        <v>44998</v>
      </c>
    </row>
    <row r="1813" spans="1:6">
      <c r="A1813">
        <v>1812</v>
      </c>
      <c r="B1813" t="s">
        <v>6122</v>
      </c>
      <c r="C1813">
        <v>250</v>
      </c>
      <c r="D1813">
        <v>750</v>
      </c>
      <c r="E1813">
        <v>50</v>
      </c>
      <c r="F1813" s="73">
        <v>44845</v>
      </c>
    </row>
    <row r="1814" spans="1:6">
      <c r="A1814">
        <v>1813</v>
      </c>
      <c r="B1814" t="s">
        <v>6125</v>
      </c>
      <c r="C1814">
        <v>75000</v>
      </c>
      <c r="D1814">
        <v>0</v>
      </c>
      <c r="E1814">
        <v>3750</v>
      </c>
      <c r="F1814" s="65">
        <v>44609</v>
      </c>
    </row>
    <row r="1815" ht="15" spans="1:6">
      <c r="A1815">
        <v>1814</v>
      </c>
      <c r="B1815" t="s">
        <v>6130</v>
      </c>
      <c r="C1815">
        <v>1500000</v>
      </c>
      <c r="E1815" t="s">
        <v>16642</v>
      </c>
      <c r="F1815" s="98">
        <f>IFERROR(__xludf.DUMMYFUNCTION("""COMPUTED_VALUE"""),45079)</f>
        <v>45079</v>
      </c>
    </row>
    <row r="1816" ht="15" spans="1:6">
      <c r="A1816">
        <v>1815</v>
      </c>
      <c r="B1816" t="s">
        <v>6130</v>
      </c>
      <c r="C1816">
        <v>1500000</v>
      </c>
      <c r="E1816" t="s">
        <v>16642</v>
      </c>
      <c r="F1816" s="98">
        <f>IFERROR(__xludf.DUMMYFUNCTION("""COMPUTED_VALUE"""),45079)</f>
        <v>45079</v>
      </c>
    </row>
    <row r="1817" spans="1:6">
      <c r="A1817">
        <v>1816</v>
      </c>
      <c r="B1817" t="s">
        <v>6131</v>
      </c>
      <c r="C1817">
        <v>1000</v>
      </c>
      <c r="D1817">
        <v>0</v>
      </c>
      <c r="E1817">
        <v>50</v>
      </c>
      <c r="F1817" s="67">
        <v>44928</v>
      </c>
    </row>
    <row r="1818" spans="1:6">
      <c r="A1818">
        <v>1817</v>
      </c>
      <c r="B1818" t="s">
        <v>6134</v>
      </c>
      <c r="C1818">
        <v>250</v>
      </c>
      <c r="D1818">
        <v>750</v>
      </c>
      <c r="E1818">
        <v>50</v>
      </c>
      <c r="F1818" s="65">
        <v>44510</v>
      </c>
    </row>
    <row r="1819" spans="1:6">
      <c r="A1819">
        <v>1818</v>
      </c>
      <c r="B1819" t="s">
        <v>6138</v>
      </c>
      <c r="C1819">
        <v>1000</v>
      </c>
      <c r="D1819">
        <v>0</v>
      </c>
      <c r="E1819">
        <v>50</v>
      </c>
      <c r="F1819" s="65">
        <v>44235</v>
      </c>
    </row>
    <row r="1820" spans="1:6">
      <c r="A1820">
        <v>1819</v>
      </c>
      <c r="B1820" t="s">
        <v>6143</v>
      </c>
      <c r="C1820">
        <v>250</v>
      </c>
      <c r="D1820">
        <v>750</v>
      </c>
      <c r="E1820">
        <v>50</v>
      </c>
      <c r="F1820" s="61">
        <v>44846</v>
      </c>
    </row>
    <row r="1821" spans="1:6">
      <c r="A1821">
        <v>1820</v>
      </c>
      <c r="B1821" t="s">
        <v>6146</v>
      </c>
      <c r="C1821">
        <v>250</v>
      </c>
      <c r="D1821">
        <v>750</v>
      </c>
      <c r="E1821">
        <v>50</v>
      </c>
      <c r="F1821" s="69">
        <v>45071</v>
      </c>
    </row>
    <row r="1822" spans="1:6">
      <c r="A1822">
        <v>1821</v>
      </c>
      <c r="B1822" t="s">
        <v>6149</v>
      </c>
      <c r="C1822">
        <v>1000</v>
      </c>
      <c r="D1822">
        <v>0</v>
      </c>
      <c r="E1822">
        <v>50</v>
      </c>
      <c r="F1822" s="65">
        <v>44489</v>
      </c>
    </row>
    <row r="1823" spans="1:6">
      <c r="A1823">
        <v>1822</v>
      </c>
      <c r="B1823" t="s">
        <v>6153</v>
      </c>
      <c r="C1823">
        <v>1800</v>
      </c>
      <c r="D1823">
        <v>1200</v>
      </c>
      <c r="E1823">
        <v>150</v>
      </c>
      <c r="F1823" s="61">
        <v>44886</v>
      </c>
    </row>
    <row r="1824" spans="1:6">
      <c r="A1824">
        <v>1823</v>
      </c>
      <c r="B1824" t="s">
        <v>6156</v>
      </c>
      <c r="C1824">
        <v>250</v>
      </c>
      <c r="D1824">
        <v>750</v>
      </c>
      <c r="E1824">
        <v>50</v>
      </c>
      <c r="F1824" s="61">
        <v>44807</v>
      </c>
    </row>
    <row r="1825" spans="1:6">
      <c r="A1825">
        <v>1824</v>
      </c>
      <c r="B1825" t="s">
        <v>6159</v>
      </c>
      <c r="C1825">
        <v>500</v>
      </c>
      <c r="D1825">
        <v>500</v>
      </c>
      <c r="E1825">
        <v>50</v>
      </c>
      <c r="F1825" s="60">
        <v>44866</v>
      </c>
    </row>
    <row r="1826" spans="1:6">
      <c r="A1826">
        <v>1825</v>
      </c>
      <c r="B1826" t="s">
        <v>6163</v>
      </c>
      <c r="C1826">
        <v>250</v>
      </c>
      <c r="D1826">
        <v>750</v>
      </c>
      <c r="E1826">
        <v>50</v>
      </c>
      <c r="F1826" s="60">
        <v>44851</v>
      </c>
    </row>
    <row r="1827" spans="1:6">
      <c r="A1827">
        <v>1826</v>
      </c>
      <c r="B1827" t="s">
        <v>6167</v>
      </c>
      <c r="C1827">
        <v>250</v>
      </c>
      <c r="D1827">
        <v>750</v>
      </c>
      <c r="E1827">
        <v>50</v>
      </c>
      <c r="F1827" s="126">
        <v>45024</v>
      </c>
    </row>
    <row r="1828" spans="1:6">
      <c r="A1828">
        <v>1827</v>
      </c>
      <c r="B1828" t="s">
        <v>6170</v>
      </c>
      <c r="C1828">
        <v>250</v>
      </c>
      <c r="D1828">
        <v>750</v>
      </c>
      <c r="E1828">
        <v>50</v>
      </c>
      <c r="F1828" s="69">
        <v>45023</v>
      </c>
    </row>
    <row r="1829" spans="1:6">
      <c r="A1829">
        <v>1828</v>
      </c>
      <c r="B1829" t="s">
        <v>6173</v>
      </c>
      <c r="C1829">
        <v>7500</v>
      </c>
      <c r="D1829">
        <v>22500</v>
      </c>
      <c r="E1829">
        <v>1500</v>
      </c>
      <c r="F1829" s="77">
        <v>44768</v>
      </c>
    </row>
    <row r="1830" spans="1:6">
      <c r="A1830">
        <v>1829</v>
      </c>
      <c r="B1830" t="s">
        <v>6176</v>
      </c>
      <c r="C1830">
        <v>250</v>
      </c>
      <c r="D1830">
        <v>750</v>
      </c>
      <c r="E1830">
        <v>50</v>
      </c>
      <c r="F1830" s="73">
        <v>44877</v>
      </c>
    </row>
    <row r="1831" spans="1:6">
      <c r="A1831">
        <v>1830</v>
      </c>
      <c r="B1831" t="s">
        <v>6179</v>
      </c>
      <c r="C1831">
        <v>1000</v>
      </c>
      <c r="D1831">
        <v>0</v>
      </c>
      <c r="E1831">
        <v>50</v>
      </c>
      <c r="F1831" s="61">
        <v>44884</v>
      </c>
    </row>
    <row r="1832" spans="1:6">
      <c r="A1832">
        <v>1831</v>
      </c>
      <c r="B1832" t="s">
        <v>6182</v>
      </c>
      <c r="C1832">
        <v>250</v>
      </c>
      <c r="D1832">
        <v>750</v>
      </c>
      <c r="E1832">
        <v>50</v>
      </c>
      <c r="F1832" s="69">
        <v>45005</v>
      </c>
    </row>
    <row r="1833" spans="1:6">
      <c r="A1833">
        <v>1832</v>
      </c>
      <c r="B1833" t="s">
        <v>6185</v>
      </c>
      <c r="C1833">
        <v>250</v>
      </c>
      <c r="D1833">
        <v>750</v>
      </c>
      <c r="E1833">
        <v>50</v>
      </c>
      <c r="F1833" s="75">
        <v>44849</v>
      </c>
    </row>
    <row r="1834" spans="1:6">
      <c r="A1834">
        <v>1833</v>
      </c>
      <c r="B1834" t="s">
        <v>6189</v>
      </c>
      <c r="C1834">
        <v>250</v>
      </c>
      <c r="D1834">
        <v>750</v>
      </c>
      <c r="E1834">
        <v>50</v>
      </c>
      <c r="F1834" s="60">
        <v>44918</v>
      </c>
    </row>
    <row r="1835" spans="1:6">
      <c r="A1835">
        <v>1834</v>
      </c>
      <c r="B1835" t="s">
        <v>6193</v>
      </c>
      <c r="C1835">
        <v>30000</v>
      </c>
      <c r="D1835">
        <v>0</v>
      </c>
      <c r="E1835">
        <v>500</v>
      </c>
      <c r="F1835" s="77">
        <v>44803</v>
      </c>
    </row>
    <row r="1836" spans="1:6">
      <c r="A1836">
        <v>1835</v>
      </c>
      <c r="B1836" t="s">
        <v>6196</v>
      </c>
      <c r="C1836">
        <v>12500</v>
      </c>
      <c r="D1836">
        <v>37500</v>
      </c>
      <c r="E1836">
        <v>2500</v>
      </c>
      <c r="F1836" s="64" t="s">
        <v>16764</v>
      </c>
    </row>
    <row r="1837" spans="1:6">
      <c r="A1837">
        <v>1836</v>
      </c>
      <c r="B1837" t="s">
        <v>6200</v>
      </c>
      <c r="C1837">
        <v>100000</v>
      </c>
      <c r="D1837">
        <v>0</v>
      </c>
      <c r="F1837" s="65">
        <v>44310</v>
      </c>
    </row>
    <row r="1838" spans="1:6">
      <c r="A1838">
        <v>1837</v>
      </c>
      <c r="B1838" t="s">
        <v>6205</v>
      </c>
      <c r="C1838">
        <v>100000</v>
      </c>
      <c r="D1838">
        <v>0</v>
      </c>
      <c r="E1838" t="s">
        <v>16642</v>
      </c>
      <c r="F1838" s="96">
        <v>44998</v>
      </c>
    </row>
    <row r="1839" spans="1:6">
      <c r="A1839">
        <v>1838</v>
      </c>
      <c r="B1839" t="s">
        <v>6205</v>
      </c>
      <c r="C1839">
        <v>100000</v>
      </c>
      <c r="D1839">
        <v>0</v>
      </c>
      <c r="E1839" t="s">
        <v>16642</v>
      </c>
      <c r="F1839" s="85"/>
    </row>
    <row r="1840" spans="1:6">
      <c r="A1840">
        <v>1839</v>
      </c>
      <c r="B1840" t="s">
        <v>6209</v>
      </c>
      <c r="C1840">
        <v>20000</v>
      </c>
      <c r="D1840">
        <v>0</v>
      </c>
      <c r="E1840">
        <v>1000</v>
      </c>
      <c r="F1840" s="67">
        <v>45010</v>
      </c>
    </row>
    <row r="1841" spans="1:6">
      <c r="A1841">
        <v>1840</v>
      </c>
      <c r="B1841" t="s">
        <v>6212</v>
      </c>
      <c r="C1841">
        <v>1000</v>
      </c>
      <c r="D1841">
        <v>0</v>
      </c>
      <c r="E1841">
        <v>50</v>
      </c>
      <c r="F1841" s="109">
        <v>44970</v>
      </c>
    </row>
    <row r="1842" spans="1:6">
      <c r="A1842">
        <v>1841</v>
      </c>
      <c r="B1842" t="s">
        <v>6215</v>
      </c>
      <c r="C1842">
        <v>2500</v>
      </c>
      <c r="D1842">
        <v>7500</v>
      </c>
      <c r="E1842">
        <v>500</v>
      </c>
      <c r="F1842" s="74">
        <v>44939</v>
      </c>
    </row>
    <row r="1843" spans="1:6">
      <c r="A1843">
        <v>1842</v>
      </c>
      <c r="B1843" t="s">
        <v>6218</v>
      </c>
      <c r="C1843">
        <v>100000</v>
      </c>
      <c r="D1843">
        <v>0</v>
      </c>
      <c r="E1843" t="s">
        <v>16642</v>
      </c>
      <c r="F1843" s="76">
        <v>44938</v>
      </c>
    </row>
    <row r="1844" spans="1:6">
      <c r="A1844">
        <v>1843</v>
      </c>
      <c r="B1844" t="s">
        <v>6222</v>
      </c>
      <c r="C1844">
        <v>250</v>
      </c>
      <c r="D1844">
        <v>750</v>
      </c>
      <c r="E1844">
        <v>50</v>
      </c>
      <c r="F1844" s="75">
        <v>44840</v>
      </c>
    </row>
    <row r="1845" spans="1:6">
      <c r="A1845">
        <v>1844</v>
      </c>
      <c r="B1845" t="s">
        <v>6226</v>
      </c>
      <c r="C1845">
        <v>250</v>
      </c>
      <c r="D1845">
        <v>750</v>
      </c>
      <c r="E1845">
        <v>50</v>
      </c>
      <c r="F1845" s="61">
        <v>44930</v>
      </c>
    </row>
    <row r="1846" spans="1:6">
      <c r="A1846">
        <v>1845</v>
      </c>
      <c r="B1846" t="s">
        <v>6230</v>
      </c>
      <c r="C1846">
        <v>10000</v>
      </c>
      <c r="D1846">
        <v>0</v>
      </c>
      <c r="E1846">
        <v>500</v>
      </c>
      <c r="F1846" s="67">
        <v>44994</v>
      </c>
    </row>
    <row r="1847" spans="1:6">
      <c r="A1847">
        <v>1846</v>
      </c>
      <c r="B1847" t="s">
        <v>6233</v>
      </c>
      <c r="C1847">
        <v>250</v>
      </c>
      <c r="D1847">
        <v>750</v>
      </c>
      <c r="E1847">
        <v>50</v>
      </c>
      <c r="F1847" s="60">
        <v>44846</v>
      </c>
    </row>
    <row r="1848" spans="1:6">
      <c r="A1848">
        <v>1847</v>
      </c>
      <c r="B1848" t="s">
        <v>6236</v>
      </c>
      <c r="C1848">
        <v>10000</v>
      </c>
      <c r="D1848">
        <v>0</v>
      </c>
      <c r="E1848">
        <v>500</v>
      </c>
      <c r="F1848" s="67">
        <v>44847</v>
      </c>
    </row>
    <row r="1849" spans="1:6">
      <c r="A1849">
        <v>1848</v>
      </c>
      <c r="B1849" t="s">
        <v>6239</v>
      </c>
      <c r="C1849">
        <v>250</v>
      </c>
      <c r="D1849">
        <v>750</v>
      </c>
      <c r="E1849">
        <v>50</v>
      </c>
      <c r="F1849" s="60">
        <v>44849</v>
      </c>
    </row>
    <row r="1850" spans="1:6">
      <c r="A1850">
        <v>1849</v>
      </c>
      <c r="B1850" t="s">
        <v>6242</v>
      </c>
      <c r="C1850">
        <v>10000</v>
      </c>
      <c r="D1850">
        <v>0</v>
      </c>
      <c r="E1850">
        <v>500</v>
      </c>
      <c r="F1850" s="77">
        <v>44826</v>
      </c>
    </row>
    <row r="1851" ht="15" spans="1:6">
      <c r="A1851">
        <v>1850</v>
      </c>
      <c r="B1851" t="s">
        <v>6245</v>
      </c>
      <c r="C1851">
        <v>200000</v>
      </c>
      <c r="D1851">
        <v>3300000</v>
      </c>
      <c r="E1851" t="s">
        <v>16642</v>
      </c>
      <c r="F1851" s="92">
        <v>45143</v>
      </c>
    </row>
    <row r="1852" spans="1:6">
      <c r="A1852">
        <v>1851</v>
      </c>
      <c r="B1852" t="s">
        <v>6250</v>
      </c>
      <c r="C1852">
        <v>100000</v>
      </c>
      <c r="D1852">
        <v>0</v>
      </c>
      <c r="E1852" t="s">
        <v>16642</v>
      </c>
      <c r="F1852" s="66"/>
    </row>
    <row r="1853" spans="1:6">
      <c r="A1853">
        <v>1852</v>
      </c>
      <c r="B1853" t="s">
        <v>6255</v>
      </c>
      <c r="C1853">
        <v>100100</v>
      </c>
      <c r="D1853">
        <v>0</v>
      </c>
      <c r="E1853">
        <v>5005</v>
      </c>
      <c r="F1853" s="67">
        <v>45183</v>
      </c>
    </row>
    <row r="1854" spans="1:6">
      <c r="A1854">
        <v>1853</v>
      </c>
      <c r="B1854" t="s">
        <v>6258</v>
      </c>
      <c r="C1854">
        <v>100000</v>
      </c>
      <c r="D1854">
        <v>0</v>
      </c>
      <c r="E1854" t="s">
        <v>16642</v>
      </c>
      <c r="F1854" s="104"/>
    </row>
    <row r="1855" spans="1:6">
      <c r="A1855">
        <v>1854</v>
      </c>
      <c r="B1855" t="s">
        <v>6263</v>
      </c>
      <c r="C1855">
        <v>250</v>
      </c>
      <c r="D1855">
        <v>750</v>
      </c>
      <c r="E1855">
        <v>50</v>
      </c>
      <c r="F1855" s="61">
        <v>44910</v>
      </c>
    </row>
    <row r="1856" spans="1:6">
      <c r="A1856">
        <v>1855</v>
      </c>
      <c r="B1856" t="s">
        <v>6266</v>
      </c>
      <c r="C1856">
        <v>250</v>
      </c>
      <c r="D1856">
        <v>750</v>
      </c>
      <c r="E1856">
        <v>50</v>
      </c>
      <c r="F1856" s="61">
        <v>44998</v>
      </c>
    </row>
    <row r="1857" spans="1:6">
      <c r="A1857">
        <v>1856</v>
      </c>
      <c r="B1857" t="s">
        <v>6269</v>
      </c>
      <c r="C1857">
        <v>1000</v>
      </c>
      <c r="D1857">
        <v>0</v>
      </c>
      <c r="E1857">
        <v>50</v>
      </c>
      <c r="F1857" s="73">
        <v>44868</v>
      </c>
    </row>
    <row r="1858" spans="1:6">
      <c r="A1858">
        <v>1857</v>
      </c>
      <c r="B1858" t="s">
        <v>6272</v>
      </c>
      <c r="C1858">
        <v>250</v>
      </c>
      <c r="D1858">
        <v>750</v>
      </c>
      <c r="E1858">
        <v>50</v>
      </c>
      <c r="F1858" s="73">
        <v>44935</v>
      </c>
    </row>
    <row r="1859" spans="1:6">
      <c r="A1859">
        <v>1858</v>
      </c>
      <c r="B1859" t="s">
        <v>6275</v>
      </c>
      <c r="C1859">
        <v>250</v>
      </c>
      <c r="D1859">
        <v>750</v>
      </c>
      <c r="E1859">
        <v>50</v>
      </c>
      <c r="F1859" s="60">
        <v>44935</v>
      </c>
    </row>
    <row r="1860" spans="1:6">
      <c r="A1860">
        <v>1859</v>
      </c>
      <c r="B1860" t="s">
        <v>6278</v>
      </c>
      <c r="C1860">
        <v>250</v>
      </c>
      <c r="D1860">
        <v>750</v>
      </c>
      <c r="E1860">
        <v>50</v>
      </c>
      <c r="F1860" s="60">
        <v>44868</v>
      </c>
    </row>
    <row r="1861" spans="1:6">
      <c r="A1861">
        <v>1860</v>
      </c>
      <c r="B1861" t="s">
        <v>6281</v>
      </c>
      <c r="C1861">
        <v>1000</v>
      </c>
      <c r="D1861">
        <v>0</v>
      </c>
      <c r="E1861">
        <v>50</v>
      </c>
      <c r="F1861" s="67">
        <v>45003</v>
      </c>
    </row>
    <row r="1862" spans="1:6">
      <c r="A1862">
        <v>1861</v>
      </c>
      <c r="B1862" t="s">
        <v>6284</v>
      </c>
      <c r="C1862">
        <v>1250</v>
      </c>
      <c r="D1862">
        <v>3750</v>
      </c>
      <c r="E1862">
        <v>250</v>
      </c>
      <c r="F1862" s="61">
        <v>44868</v>
      </c>
    </row>
    <row r="1863" spans="1:6">
      <c r="A1863">
        <v>1862</v>
      </c>
      <c r="B1863" t="s">
        <v>6287</v>
      </c>
      <c r="C1863">
        <v>1000</v>
      </c>
      <c r="D1863">
        <v>0</v>
      </c>
      <c r="E1863">
        <v>50</v>
      </c>
      <c r="F1863" s="75">
        <v>44925</v>
      </c>
    </row>
    <row r="1864" spans="1:6">
      <c r="A1864">
        <v>1863</v>
      </c>
      <c r="B1864" t="s">
        <v>6290</v>
      </c>
      <c r="C1864">
        <v>250</v>
      </c>
      <c r="D1864">
        <v>750</v>
      </c>
      <c r="E1864">
        <v>50</v>
      </c>
      <c r="F1864" s="61">
        <v>44875</v>
      </c>
    </row>
    <row r="1865" spans="1:6">
      <c r="A1865">
        <v>1864</v>
      </c>
      <c r="B1865" t="s">
        <v>6293</v>
      </c>
      <c r="C1865">
        <v>250</v>
      </c>
      <c r="D1865">
        <v>750</v>
      </c>
      <c r="E1865">
        <v>50</v>
      </c>
      <c r="F1865" s="60">
        <v>44975</v>
      </c>
    </row>
    <row r="1866" spans="1:6">
      <c r="A1866">
        <v>1865</v>
      </c>
      <c r="B1866" t="s">
        <v>6296</v>
      </c>
      <c r="C1866">
        <v>1000</v>
      </c>
      <c r="D1866">
        <v>0</v>
      </c>
      <c r="E1866">
        <v>50</v>
      </c>
      <c r="F1866" s="60">
        <v>44868</v>
      </c>
    </row>
    <row r="1867" spans="1:6">
      <c r="A1867">
        <v>1866</v>
      </c>
      <c r="B1867" t="s">
        <v>6299</v>
      </c>
      <c r="C1867">
        <v>250</v>
      </c>
      <c r="D1867">
        <v>750</v>
      </c>
      <c r="E1867">
        <v>50</v>
      </c>
      <c r="F1867" s="60">
        <v>44919</v>
      </c>
    </row>
    <row r="1868" spans="1:6">
      <c r="A1868">
        <v>1867</v>
      </c>
      <c r="B1868" t="s">
        <v>6302</v>
      </c>
      <c r="C1868">
        <v>3000</v>
      </c>
      <c r="D1868">
        <v>0</v>
      </c>
      <c r="E1868">
        <v>150</v>
      </c>
      <c r="F1868" s="79">
        <v>44972</v>
      </c>
    </row>
    <row r="1869" spans="1:6">
      <c r="A1869">
        <v>1868</v>
      </c>
      <c r="B1869" t="s">
        <v>6305</v>
      </c>
      <c r="C1869">
        <v>250</v>
      </c>
      <c r="D1869">
        <v>750</v>
      </c>
      <c r="E1869">
        <v>50</v>
      </c>
      <c r="F1869" s="69">
        <v>45073</v>
      </c>
    </row>
    <row r="1870" spans="1:6">
      <c r="A1870">
        <v>1869</v>
      </c>
      <c r="B1870" t="s">
        <v>6308</v>
      </c>
      <c r="C1870">
        <v>250</v>
      </c>
      <c r="D1870">
        <v>750</v>
      </c>
      <c r="E1870">
        <v>50</v>
      </c>
      <c r="F1870" s="60">
        <v>44905</v>
      </c>
    </row>
    <row r="1871" spans="1:6">
      <c r="A1871">
        <v>1870</v>
      </c>
      <c r="B1871" t="s">
        <v>6311</v>
      </c>
      <c r="C1871">
        <v>1000</v>
      </c>
      <c r="D1871">
        <v>0</v>
      </c>
      <c r="E1871">
        <v>50</v>
      </c>
      <c r="F1871" s="69">
        <v>45006</v>
      </c>
    </row>
    <row r="1872" spans="1:6">
      <c r="A1872">
        <v>1871</v>
      </c>
      <c r="B1872" t="s">
        <v>6315</v>
      </c>
      <c r="C1872">
        <v>1000</v>
      </c>
      <c r="D1872">
        <v>0</v>
      </c>
      <c r="E1872">
        <v>50</v>
      </c>
      <c r="F1872" s="61">
        <v>44917</v>
      </c>
    </row>
    <row r="1873" spans="1:6">
      <c r="A1873">
        <v>1872</v>
      </c>
      <c r="B1873" t="s">
        <v>6318</v>
      </c>
      <c r="C1873">
        <v>100000</v>
      </c>
      <c r="D1873">
        <v>0</v>
      </c>
      <c r="E1873" t="s">
        <v>16642</v>
      </c>
      <c r="F1873" s="76">
        <v>45006</v>
      </c>
    </row>
    <row r="1874" spans="1:6">
      <c r="A1874">
        <v>1873</v>
      </c>
      <c r="B1874" t="s">
        <v>6322</v>
      </c>
      <c r="C1874">
        <v>250</v>
      </c>
      <c r="D1874">
        <v>750</v>
      </c>
      <c r="E1874">
        <v>50</v>
      </c>
      <c r="F1874" s="61">
        <v>44807</v>
      </c>
    </row>
    <row r="1875" spans="1:6">
      <c r="A1875">
        <v>1874</v>
      </c>
      <c r="B1875" t="s">
        <v>6325</v>
      </c>
      <c r="C1875">
        <v>1000</v>
      </c>
      <c r="D1875">
        <v>0</v>
      </c>
      <c r="E1875">
        <v>50</v>
      </c>
      <c r="F1875" s="61">
        <v>44844</v>
      </c>
    </row>
    <row r="1876" spans="1:6">
      <c r="A1876">
        <v>1875</v>
      </c>
      <c r="B1876" t="s">
        <v>6328</v>
      </c>
      <c r="C1876">
        <v>5000</v>
      </c>
      <c r="D1876">
        <v>0</v>
      </c>
      <c r="E1876">
        <v>250</v>
      </c>
      <c r="F1876" s="61">
        <v>44851</v>
      </c>
    </row>
    <row r="1877" spans="1:6">
      <c r="A1877">
        <v>1876</v>
      </c>
      <c r="B1877" t="s">
        <v>6331</v>
      </c>
      <c r="C1877">
        <v>250</v>
      </c>
      <c r="D1877">
        <v>750</v>
      </c>
      <c r="E1877">
        <v>50</v>
      </c>
      <c r="F1877" s="75">
        <v>44923</v>
      </c>
    </row>
    <row r="1878" ht="15" spans="1:6">
      <c r="A1878">
        <v>1877</v>
      </c>
      <c r="B1878" t="s">
        <v>6334</v>
      </c>
      <c r="C1878">
        <v>1000000</v>
      </c>
      <c r="D1878">
        <v>500000</v>
      </c>
      <c r="E1878" t="s">
        <v>16642</v>
      </c>
      <c r="F1878" s="81">
        <f>IFERROR(__xludf.DUMMYFUNCTION("""COMPUTED_VALUE"""),45078)</f>
        <v>45078</v>
      </c>
    </row>
    <row r="1879" spans="1:6">
      <c r="A1879">
        <v>1878</v>
      </c>
      <c r="B1879" t="s">
        <v>6335</v>
      </c>
      <c r="C1879">
        <v>1000</v>
      </c>
      <c r="D1879">
        <v>0</v>
      </c>
      <c r="E1879">
        <v>50</v>
      </c>
      <c r="F1879" s="77">
        <v>44876</v>
      </c>
    </row>
    <row r="1880" spans="1:6">
      <c r="A1880">
        <v>1879</v>
      </c>
      <c r="B1880" t="s">
        <v>6338</v>
      </c>
      <c r="C1880">
        <v>250</v>
      </c>
      <c r="D1880">
        <v>750</v>
      </c>
      <c r="E1880">
        <v>50</v>
      </c>
      <c r="F1880" s="73">
        <v>44988</v>
      </c>
    </row>
    <row r="1881" ht="15" spans="1:6">
      <c r="A1881">
        <v>1880</v>
      </c>
      <c r="B1881" t="s">
        <v>6342</v>
      </c>
      <c r="C1881">
        <v>1000000</v>
      </c>
      <c r="D1881">
        <v>500000</v>
      </c>
      <c r="E1881" t="s">
        <v>16642</v>
      </c>
      <c r="F1881" s="81">
        <f>IFERROR(__xludf.DUMMYFUNCTION("""COMPUTED_VALUE"""),45084)</f>
        <v>45084</v>
      </c>
    </row>
    <row r="1882" ht="15" spans="1:6">
      <c r="A1882">
        <v>1881</v>
      </c>
      <c r="B1882" t="s">
        <v>6343</v>
      </c>
      <c r="C1882">
        <v>1000000</v>
      </c>
      <c r="D1882">
        <v>500000</v>
      </c>
      <c r="E1882" t="s">
        <v>16642</v>
      </c>
      <c r="F1882" s="81">
        <f>IFERROR(__xludf.DUMMYFUNCTION("""COMPUTED_VALUE"""),45084)</f>
        <v>45084</v>
      </c>
    </row>
    <row r="1883" spans="1:6">
      <c r="A1883">
        <v>1882</v>
      </c>
      <c r="B1883" t="s">
        <v>6344</v>
      </c>
      <c r="C1883">
        <v>10000</v>
      </c>
      <c r="D1883">
        <v>30000</v>
      </c>
      <c r="E1883">
        <v>2000</v>
      </c>
      <c r="F1883" s="65">
        <v>44746</v>
      </c>
    </row>
    <row r="1884" spans="1:6">
      <c r="A1884">
        <v>1883</v>
      </c>
      <c r="B1884" t="s">
        <v>6348</v>
      </c>
      <c r="C1884">
        <v>10000</v>
      </c>
      <c r="D1884">
        <v>0</v>
      </c>
      <c r="E1884">
        <v>500</v>
      </c>
      <c r="F1884" s="64" t="s">
        <v>16765</v>
      </c>
    </row>
    <row r="1885" spans="1:6">
      <c r="A1885">
        <v>1884</v>
      </c>
      <c r="B1885" t="s">
        <v>6352</v>
      </c>
      <c r="C1885">
        <v>1000</v>
      </c>
      <c r="D1885">
        <v>0</v>
      </c>
      <c r="E1885">
        <v>50</v>
      </c>
      <c r="F1885" s="65">
        <v>44614</v>
      </c>
    </row>
    <row r="1886" spans="1:6">
      <c r="A1886">
        <v>1885</v>
      </c>
      <c r="B1886" t="s">
        <v>6356</v>
      </c>
      <c r="C1886">
        <v>10000</v>
      </c>
      <c r="D1886">
        <v>0</v>
      </c>
      <c r="E1886">
        <v>500</v>
      </c>
      <c r="F1886" s="65">
        <v>44690</v>
      </c>
    </row>
    <row r="1887" spans="1:6">
      <c r="A1887">
        <v>1886</v>
      </c>
      <c r="B1887" t="s">
        <v>6360</v>
      </c>
      <c r="C1887">
        <v>250</v>
      </c>
      <c r="D1887">
        <v>750</v>
      </c>
      <c r="E1887">
        <v>50</v>
      </c>
      <c r="F1887" s="70">
        <v>44849</v>
      </c>
    </row>
    <row r="1888" spans="1:6">
      <c r="A1888">
        <v>1887</v>
      </c>
      <c r="B1888" t="s">
        <v>6363</v>
      </c>
      <c r="C1888">
        <v>500</v>
      </c>
      <c r="D1888">
        <v>1500</v>
      </c>
      <c r="E1888">
        <v>100</v>
      </c>
      <c r="F1888" s="60">
        <v>44889</v>
      </c>
    </row>
    <row r="1889" spans="1:6">
      <c r="A1889">
        <v>1888</v>
      </c>
      <c r="B1889" t="s">
        <v>6367</v>
      </c>
      <c r="C1889">
        <v>250</v>
      </c>
      <c r="D1889">
        <v>750</v>
      </c>
      <c r="E1889">
        <v>50</v>
      </c>
      <c r="F1889" s="72">
        <v>44846</v>
      </c>
    </row>
    <row r="1890" spans="1:6">
      <c r="A1890">
        <v>1889</v>
      </c>
      <c r="B1890" t="s">
        <v>6370</v>
      </c>
      <c r="C1890">
        <v>100000</v>
      </c>
      <c r="D1890">
        <v>0</v>
      </c>
      <c r="E1890" t="s">
        <v>16642</v>
      </c>
      <c r="F1890" s="82">
        <v>44789</v>
      </c>
    </row>
    <row r="1891" spans="1:6">
      <c r="A1891">
        <v>1890</v>
      </c>
      <c r="B1891" t="s">
        <v>6375</v>
      </c>
      <c r="C1891">
        <v>250</v>
      </c>
      <c r="D1891">
        <v>750</v>
      </c>
      <c r="E1891">
        <v>50</v>
      </c>
      <c r="F1891" s="60">
        <v>44867</v>
      </c>
    </row>
    <row r="1892" spans="1:6">
      <c r="A1892">
        <v>1891</v>
      </c>
      <c r="B1892" t="s">
        <v>6378</v>
      </c>
      <c r="C1892">
        <v>10000</v>
      </c>
      <c r="D1892">
        <v>10000</v>
      </c>
      <c r="E1892">
        <v>1000</v>
      </c>
      <c r="F1892" s="77">
        <v>44918</v>
      </c>
    </row>
    <row r="1893" ht="15" spans="1:6">
      <c r="A1893">
        <v>1892</v>
      </c>
      <c r="B1893" t="s">
        <v>6381</v>
      </c>
      <c r="C1893">
        <v>1000000</v>
      </c>
      <c r="D1893">
        <v>500000</v>
      </c>
      <c r="E1893" t="s">
        <v>16642</v>
      </c>
      <c r="F1893" s="81">
        <f>IFERROR(__xludf.DUMMYFUNCTION("""COMPUTED_VALUE"""),45084)</f>
        <v>45084</v>
      </c>
    </row>
    <row r="1894" spans="1:6">
      <c r="A1894">
        <v>1893</v>
      </c>
      <c r="B1894" t="s">
        <v>6382</v>
      </c>
      <c r="C1894">
        <v>10000</v>
      </c>
      <c r="D1894">
        <v>0</v>
      </c>
      <c r="E1894">
        <v>500</v>
      </c>
      <c r="F1894" s="67">
        <v>44938</v>
      </c>
    </row>
    <row r="1895" spans="1:6">
      <c r="A1895">
        <v>1894</v>
      </c>
      <c r="B1895" t="s">
        <v>6385</v>
      </c>
      <c r="C1895">
        <v>25000</v>
      </c>
      <c r="D1895">
        <v>0</v>
      </c>
      <c r="E1895">
        <v>1250</v>
      </c>
      <c r="F1895" s="106">
        <v>44792</v>
      </c>
    </row>
    <row r="1896" spans="1:6">
      <c r="A1896">
        <v>1895</v>
      </c>
      <c r="B1896" t="s">
        <v>6388</v>
      </c>
      <c r="C1896">
        <v>100000</v>
      </c>
      <c r="D1896">
        <v>0</v>
      </c>
      <c r="E1896" t="s">
        <v>16642</v>
      </c>
      <c r="F1896" s="66"/>
    </row>
    <row r="1897" spans="1:6">
      <c r="A1897">
        <v>1896</v>
      </c>
      <c r="B1897" t="s">
        <v>6393</v>
      </c>
      <c r="C1897">
        <v>2000</v>
      </c>
      <c r="D1897">
        <v>0</v>
      </c>
      <c r="E1897">
        <v>100</v>
      </c>
      <c r="F1897" s="77">
        <v>44690</v>
      </c>
    </row>
    <row r="1898" spans="1:6">
      <c r="A1898">
        <v>1897</v>
      </c>
      <c r="B1898" t="s">
        <v>6396</v>
      </c>
      <c r="C1898">
        <v>100000</v>
      </c>
      <c r="D1898">
        <v>0</v>
      </c>
      <c r="E1898" t="s">
        <v>16642</v>
      </c>
      <c r="F1898" s="76">
        <v>45043</v>
      </c>
    </row>
    <row r="1899" spans="1:6">
      <c r="A1899">
        <v>1898</v>
      </c>
      <c r="B1899" t="s">
        <v>6401</v>
      </c>
      <c r="C1899">
        <v>1000</v>
      </c>
      <c r="D1899">
        <v>0</v>
      </c>
      <c r="E1899">
        <v>50</v>
      </c>
      <c r="F1899" s="60">
        <v>44807</v>
      </c>
    </row>
    <row r="1900" spans="1:6">
      <c r="A1900">
        <v>1899</v>
      </c>
      <c r="B1900" t="s">
        <v>6404</v>
      </c>
      <c r="C1900">
        <v>250</v>
      </c>
      <c r="D1900">
        <v>750</v>
      </c>
      <c r="E1900">
        <v>50</v>
      </c>
      <c r="F1900" s="60">
        <v>44915</v>
      </c>
    </row>
    <row r="1901" spans="1:6">
      <c r="A1901">
        <v>1900</v>
      </c>
      <c r="B1901" t="s">
        <v>6407</v>
      </c>
      <c r="C1901">
        <v>100000</v>
      </c>
      <c r="D1901">
        <v>0</v>
      </c>
      <c r="E1901" t="s">
        <v>16642</v>
      </c>
      <c r="F1901" s="100"/>
    </row>
    <row r="1902" spans="1:6">
      <c r="A1902">
        <v>1901</v>
      </c>
      <c r="B1902" t="s">
        <v>6411</v>
      </c>
      <c r="C1902">
        <v>50000</v>
      </c>
      <c r="D1902">
        <v>50000</v>
      </c>
      <c r="E1902">
        <v>5000</v>
      </c>
      <c r="F1902" s="65">
        <v>44441</v>
      </c>
    </row>
    <row r="1903" spans="1:6">
      <c r="A1903">
        <v>1902</v>
      </c>
      <c r="B1903" t="s">
        <v>6416</v>
      </c>
      <c r="C1903">
        <v>7500</v>
      </c>
      <c r="D1903">
        <v>2500</v>
      </c>
      <c r="E1903">
        <v>500</v>
      </c>
      <c r="F1903" s="101">
        <v>44765</v>
      </c>
    </row>
    <row r="1904" spans="1:6">
      <c r="A1904">
        <v>1903</v>
      </c>
      <c r="B1904" t="s">
        <v>6419</v>
      </c>
      <c r="C1904">
        <v>30000</v>
      </c>
      <c r="D1904">
        <v>0</v>
      </c>
      <c r="E1904">
        <v>1500</v>
      </c>
      <c r="F1904" s="64" t="s">
        <v>16647</v>
      </c>
    </row>
    <row r="1905" ht="15" spans="1:6">
      <c r="A1905">
        <v>1904</v>
      </c>
      <c r="B1905" t="s">
        <v>6423</v>
      </c>
      <c r="C1905">
        <v>1000000</v>
      </c>
      <c r="D1905">
        <v>500000</v>
      </c>
      <c r="E1905" t="s">
        <v>16642</v>
      </c>
      <c r="F1905" s="98">
        <f>IFERROR(__xludf.DUMMYFUNCTION("""COMPUTED_VALUE"""),45082)</f>
        <v>45082</v>
      </c>
    </row>
    <row r="1906" spans="1:6">
      <c r="A1906">
        <v>1905</v>
      </c>
      <c r="B1906" t="s">
        <v>6423</v>
      </c>
      <c r="C1906">
        <v>100000</v>
      </c>
      <c r="D1906">
        <v>0</v>
      </c>
      <c r="E1906" t="s">
        <v>16642</v>
      </c>
      <c r="F1906" s="85"/>
    </row>
    <row r="1907" spans="1:6">
      <c r="A1907">
        <v>1906</v>
      </c>
      <c r="B1907" t="s">
        <v>6424</v>
      </c>
      <c r="C1907">
        <v>250</v>
      </c>
      <c r="D1907">
        <v>750</v>
      </c>
      <c r="E1907">
        <v>50</v>
      </c>
      <c r="F1907" s="60">
        <v>44849</v>
      </c>
    </row>
    <row r="1908" spans="1:6">
      <c r="A1908">
        <v>1907</v>
      </c>
      <c r="B1908" t="s">
        <v>6428</v>
      </c>
      <c r="C1908">
        <v>1000</v>
      </c>
      <c r="D1908">
        <v>0</v>
      </c>
      <c r="E1908">
        <v>50</v>
      </c>
      <c r="F1908" s="64" t="s">
        <v>16766</v>
      </c>
    </row>
    <row r="1909" spans="1:6">
      <c r="A1909">
        <v>1908</v>
      </c>
      <c r="B1909" t="s">
        <v>6432</v>
      </c>
      <c r="C1909">
        <v>50000</v>
      </c>
      <c r="D1909">
        <v>0</v>
      </c>
      <c r="F1909" s="65"/>
    </row>
    <row r="1910" spans="1:6">
      <c r="A1910">
        <v>1909</v>
      </c>
      <c r="B1910" t="s">
        <v>6437</v>
      </c>
      <c r="C1910">
        <v>9000</v>
      </c>
      <c r="D1910">
        <v>0</v>
      </c>
      <c r="E1910">
        <v>450</v>
      </c>
      <c r="F1910" s="65">
        <v>44666</v>
      </c>
    </row>
    <row r="1911" spans="1:6">
      <c r="A1911">
        <v>1910</v>
      </c>
      <c r="B1911" t="s">
        <v>6441</v>
      </c>
      <c r="C1911">
        <v>40000</v>
      </c>
      <c r="D1911">
        <v>40000</v>
      </c>
      <c r="E1911">
        <v>4000</v>
      </c>
      <c r="F1911" s="64" t="s">
        <v>16716</v>
      </c>
    </row>
    <row r="1912" spans="1:6">
      <c r="A1912">
        <v>1911</v>
      </c>
      <c r="B1912" t="s">
        <v>6445</v>
      </c>
      <c r="C1912">
        <v>1000</v>
      </c>
      <c r="D1912">
        <v>0</v>
      </c>
      <c r="E1912">
        <v>50</v>
      </c>
      <c r="F1912" s="67">
        <v>45050</v>
      </c>
    </row>
    <row r="1913" spans="1:6">
      <c r="A1913">
        <v>1912</v>
      </c>
      <c r="B1913" t="s">
        <v>6448</v>
      </c>
      <c r="C1913">
        <v>100000</v>
      </c>
      <c r="D1913">
        <v>0</v>
      </c>
      <c r="E1913" t="s">
        <v>16642</v>
      </c>
      <c r="F1913" s="76">
        <v>44823</v>
      </c>
    </row>
    <row r="1914" spans="1:6">
      <c r="A1914">
        <v>1913</v>
      </c>
      <c r="B1914" t="s">
        <v>6452</v>
      </c>
      <c r="C1914">
        <v>250</v>
      </c>
      <c r="D1914">
        <v>750</v>
      </c>
      <c r="E1914">
        <v>50</v>
      </c>
      <c r="F1914" s="60">
        <v>44839</v>
      </c>
    </row>
    <row r="1915" spans="1:6">
      <c r="A1915">
        <v>1914</v>
      </c>
      <c r="B1915" t="s">
        <v>6455</v>
      </c>
      <c r="C1915">
        <v>500000</v>
      </c>
      <c r="D1915">
        <v>500000</v>
      </c>
      <c r="E1915">
        <v>50000</v>
      </c>
      <c r="F1915" s="65">
        <v>44461</v>
      </c>
    </row>
    <row r="1916" spans="1:6">
      <c r="A1916">
        <v>1915</v>
      </c>
      <c r="B1916" t="s">
        <v>6460</v>
      </c>
      <c r="C1916">
        <v>250</v>
      </c>
      <c r="D1916">
        <v>750</v>
      </c>
      <c r="E1916">
        <v>50</v>
      </c>
      <c r="F1916" s="60">
        <v>44884</v>
      </c>
    </row>
    <row r="1917" ht="15" spans="1:6">
      <c r="A1917">
        <v>1916</v>
      </c>
      <c r="B1917" t="s">
        <v>6464</v>
      </c>
      <c r="C1917">
        <v>1000000</v>
      </c>
      <c r="D1917">
        <v>500000</v>
      </c>
      <c r="E1917" t="s">
        <v>16642</v>
      </c>
      <c r="F1917" s="81">
        <f>IFERROR(__xludf.DUMMYFUNCTION("""COMPUTED_VALUE"""),45078)</f>
        <v>45078</v>
      </c>
    </row>
    <row r="1918" spans="1:6">
      <c r="A1918">
        <v>1917</v>
      </c>
      <c r="B1918" t="s">
        <v>6465</v>
      </c>
      <c r="C1918">
        <v>2500</v>
      </c>
      <c r="D1918">
        <v>7500</v>
      </c>
      <c r="E1918">
        <v>500</v>
      </c>
      <c r="F1918" s="64" t="s">
        <v>16656</v>
      </c>
    </row>
    <row r="1919" spans="1:6">
      <c r="A1919">
        <v>1918</v>
      </c>
      <c r="B1919" t="s">
        <v>6469</v>
      </c>
      <c r="C1919">
        <v>250</v>
      </c>
      <c r="D1919">
        <v>750</v>
      </c>
      <c r="E1919">
        <v>50</v>
      </c>
      <c r="F1919" s="60">
        <v>44947</v>
      </c>
    </row>
    <row r="1920" spans="1:6">
      <c r="A1920">
        <v>1919</v>
      </c>
      <c r="B1920" t="s">
        <v>6473</v>
      </c>
      <c r="C1920">
        <v>250</v>
      </c>
      <c r="D1920">
        <v>750</v>
      </c>
      <c r="E1920">
        <v>50</v>
      </c>
      <c r="F1920" s="61">
        <v>44929</v>
      </c>
    </row>
    <row r="1921" spans="1:6">
      <c r="A1921">
        <v>1920</v>
      </c>
      <c r="B1921" t="s">
        <v>6477</v>
      </c>
      <c r="C1921">
        <v>25000</v>
      </c>
      <c r="D1921">
        <v>75000</v>
      </c>
      <c r="E1921">
        <v>5000</v>
      </c>
      <c r="F1921" s="79">
        <v>44938</v>
      </c>
    </row>
    <row r="1922" spans="1:6">
      <c r="A1922">
        <v>1921</v>
      </c>
      <c r="B1922" t="s">
        <v>6480</v>
      </c>
      <c r="C1922">
        <v>200000</v>
      </c>
      <c r="D1922">
        <v>0</v>
      </c>
      <c r="E1922" t="s">
        <v>16642</v>
      </c>
      <c r="F1922" s="100"/>
    </row>
    <row r="1923" spans="1:6">
      <c r="A1923">
        <v>1922</v>
      </c>
      <c r="B1923" t="s">
        <v>6482</v>
      </c>
      <c r="C1923">
        <v>250</v>
      </c>
      <c r="D1923">
        <v>750</v>
      </c>
      <c r="E1923">
        <v>50</v>
      </c>
      <c r="F1923" s="69">
        <v>44876</v>
      </c>
    </row>
    <row r="1924" spans="1:6">
      <c r="A1924">
        <v>1923</v>
      </c>
      <c r="B1924" t="s">
        <v>6485</v>
      </c>
      <c r="C1924">
        <v>1000</v>
      </c>
      <c r="D1924">
        <v>0</v>
      </c>
      <c r="E1924">
        <v>50</v>
      </c>
      <c r="F1924" s="69">
        <v>45068</v>
      </c>
    </row>
    <row r="1925" spans="1:6">
      <c r="A1925">
        <v>1924</v>
      </c>
      <c r="B1925" t="s">
        <v>6489</v>
      </c>
      <c r="C1925">
        <v>250</v>
      </c>
      <c r="D1925">
        <v>750</v>
      </c>
      <c r="E1925">
        <v>50</v>
      </c>
      <c r="F1925" s="60">
        <v>44893</v>
      </c>
    </row>
    <row r="1926" spans="1:6">
      <c r="A1926">
        <v>1925</v>
      </c>
      <c r="B1926" t="s">
        <v>6492</v>
      </c>
      <c r="C1926">
        <v>250</v>
      </c>
      <c r="D1926">
        <v>750</v>
      </c>
      <c r="E1926">
        <v>50</v>
      </c>
      <c r="F1926" s="69">
        <v>44953</v>
      </c>
    </row>
    <row r="1927" spans="1:6">
      <c r="A1927">
        <v>1926</v>
      </c>
      <c r="B1927" t="s">
        <v>6495</v>
      </c>
      <c r="C1927">
        <v>250</v>
      </c>
      <c r="D1927">
        <v>750</v>
      </c>
      <c r="E1927">
        <v>50</v>
      </c>
      <c r="F1927" s="61">
        <v>44851</v>
      </c>
    </row>
    <row r="1928" spans="1:6">
      <c r="A1928">
        <v>1927</v>
      </c>
      <c r="B1928" t="s">
        <v>6499</v>
      </c>
      <c r="C1928">
        <v>250</v>
      </c>
      <c r="D1928">
        <v>750</v>
      </c>
      <c r="E1928">
        <v>50</v>
      </c>
      <c r="F1928" s="70">
        <v>44846</v>
      </c>
    </row>
    <row r="1929" spans="1:6">
      <c r="A1929">
        <v>1928</v>
      </c>
      <c r="B1929" t="s">
        <v>6501</v>
      </c>
      <c r="C1929">
        <v>250</v>
      </c>
      <c r="D1929">
        <v>750</v>
      </c>
      <c r="E1929">
        <v>50</v>
      </c>
      <c r="F1929" s="61">
        <v>44930</v>
      </c>
    </row>
    <row r="1930" spans="1:6">
      <c r="A1930">
        <v>1929</v>
      </c>
      <c r="B1930" t="s">
        <v>6505</v>
      </c>
      <c r="C1930">
        <v>1000</v>
      </c>
      <c r="D1930">
        <v>0</v>
      </c>
      <c r="E1930">
        <v>50</v>
      </c>
      <c r="F1930" s="60">
        <v>44827</v>
      </c>
    </row>
    <row r="1931" spans="1:6">
      <c r="A1931">
        <v>1930</v>
      </c>
      <c r="B1931" t="s">
        <v>6509</v>
      </c>
      <c r="C1931">
        <v>250</v>
      </c>
      <c r="D1931">
        <v>750</v>
      </c>
      <c r="E1931">
        <v>50</v>
      </c>
      <c r="F1931" s="60">
        <v>44840</v>
      </c>
    </row>
    <row r="1932" spans="1:6">
      <c r="A1932">
        <v>1931</v>
      </c>
      <c r="B1932" t="s">
        <v>6512</v>
      </c>
      <c r="C1932">
        <v>250</v>
      </c>
      <c r="D1932">
        <v>750</v>
      </c>
      <c r="E1932">
        <v>50</v>
      </c>
      <c r="F1932" s="61">
        <v>44917</v>
      </c>
    </row>
    <row r="1933" spans="1:6">
      <c r="A1933">
        <v>1932</v>
      </c>
      <c r="B1933" t="s">
        <v>6516</v>
      </c>
      <c r="C1933">
        <v>250</v>
      </c>
      <c r="D1933">
        <v>750</v>
      </c>
      <c r="E1933">
        <v>50</v>
      </c>
      <c r="F1933" s="61">
        <v>44926</v>
      </c>
    </row>
    <row r="1934" spans="1:6">
      <c r="A1934">
        <v>1933</v>
      </c>
      <c r="B1934" t="s">
        <v>6519</v>
      </c>
      <c r="C1934">
        <v>250</v>
      </c>
      <c r="D1934">
        <v>750</v>
      </c>
      <c r="E1934">
        <v>50</v>
      </c>
      <c r="F1934" s="60">
        <v>44925</v>
      </c>
    </row>
    <row r="1935" spans="1:6">
      <c r="A1935">
        <v>1934</v>
      </c>
      <c r="B1935" t="s">
        <v>6522</v>
      </c>
      <c r="C1935">
        <v>50000</v>
      </c>
      <c r="D1935">
        <v>0</v>
      </c>
      <c r="E1935">
        <v>2500</v>
      </c>
      <c r="F1935" s="74">
        <v>45066</v>
      </c>
    </row>
    <row r="1936" spans="1:6">
      <c r="A1936">
        <v>1935</v>
      </c>
      <c r="B1936" t="s">
        <v>6525</v>
      </c>
      <c r="C1936">
        <v>250</v>
      </c>
      <c r="D1936">
        <v>750</v>
      </c>
      <c r="E1936">
        <v>50</v>
      </c>
      <c r="F1936" s="61">
        <v>44901</v>
      </c>
    </row>
    <row r="1937" spans="1:6">
      <c r="A1937">
        <v>1936</v>
      </c>
      <c r="B1937" t="s">
        <v>6529</v>
      </c>
      <c r="C1937">
        <v>250</v>
      </c>
      <c r="D1937">
        <v>750</v>
      </c>
      <c r="E1937">
        <v>50</v>
      </c>
      <c r="F1937" s="61">
        <v>44895</v>
      </c>
    </row>
    <row r="1938" spans="1:6">
      <c r="A1938">
        <v>1937</v>
      </c>
      <c r="B1938" t="s">
        <v>6533</v>
      </c>
      <c r="C1938">
        <v>250</v>
      </c>
      <c r="D1938">
        <v>750</v>
      </c>
      <c r="E1938">
        <v>50</v>
      </c>
      <c r="F1938" s="60">
        <v>44916</v>
      </c>
    </row>
    <row r="1939" spans="1:6">
      <c r="A1939">
        <v>1938</v>
      </c>
      <c r="B1939" t="s">
        <v>6537</v>
      </c>
      <c r="C1939">
        <v>250</v>
      </c>
      <c r="D1939">
        <v>750</v>
      </c>
      <c r="E1939">
        <v>50</v>
      </c>
      <c r="F1939" s="69">
        <v>44891</v>
      </c>
    </row>
    <row r="1940" spans="1:6">
      <c r="A1940">
        <v>1939</v>
      </c>
      <c r="B1940" t="s">
        <v>6540</v>
      </c>
      <c r="C1940">
        <v>250</v>
      </c>
      <c r="D1940">
        <v>750</v>
      </c>
      <c r="E1940">
        <v>50</v>
      </c>
      <c r="F1940" s="72">
        <v>44869</v>
      </c>
    </row>
    <row r="1941" spans="1:6">
      <c r="A1941">
        <v>1940</v>
      </c>
      <c r="B1941" t="s">
        <v>6543</v>
      </c>
      <c r="C1941">
        <v>250</v>
      </c>
      <c r="D1941">
        <v>750</v>
      </c>
      <c r="E1941">
        <v>50</v>
      </c>
      <c r="F1941" s="60">
        <v>44889</v>
      </c>
    </row>
    <row r="1942" ht="15" spans="1:6">
      <c r="A1942">
        <v>1941</v>
      </c>
      <c r="B1942" t="s">
        <v>6547</v>
      </c>
      <c r="C1942">
        <v>1000000</v>
      </c>
      <c r="D1942">
        <v>500000</v>
      </c>
      <c r="E1942" t="s">
        <v>16642</v>
      </c>
      <c r="F1942" s="81">
        <f>IFERROR(__xludf.DUMMYFUNCTION("""COMPUTED_VALUE"""),45083)</f>
        <v>45083</v>
      </c>
    </row>
    <row r="1943" spans="1:6">
      <c r="A1943">
        <v>1942</v>
      </c>
      <c r="B1943" t="s">
        <v>6548</v>
      </c>
      <c r="C1943">
        <v>250</v>
      </c>
      <c r="D1943">
        <v>750</v>
      </c>
      <c r="E1943">
        <v>50</v>
      </c>
      <c r="F1943" s="61">
        <v>44807</v>
      </c>
    </row>
    <row r="1944" spans="1:6">
      <c r="A1944">
        <v>1943</v>
      </c>
      <c r="B1944" t="s">
        <v>6551</v>
      </c>
      <c r="C1944">
        <v>250</v>
      </c>
      <c r="D1944">
        <v>750</v>
      </c>
      <c r="E1944">
        <v>50</v>
      </c>
      <c r="F1944" s="60">
        <v>44845</v>
      </c>
    </row>
    <row r="1945" spans="1:6">
      <c r="A1945">
        <v>1944</v>
      </c>
      <c r="B1945" t="s">
        <v>6555</v>
      </c>
      <c r="C1945">
        <v>250</v>
      </c>
      <c r="D1945">
        <v>750</v>
      </c>
      <c r="E1945">
        <v>50</v>
      </c>
      <c r="F1945" s="61">
        <v>44837</v>
      </c>
    </row>
    <row r="1946" spans="1:6">
      <c r="A1946">
        <v>1945</v>
      </c>
      <c r="B1946" t="s">
        <v>6559</v>
      </c>
      <c r="C1946">
        <v>250</v>
      </c>
      <c r="D1946">
        <v>750</v>
      </c>
      <c r="E1946">
        <v>50</v>
      </c>
      <c r="F1946" s="61">
        <v>44855</v>
      </c>
    </row>
    <row r="1947" spans="1:6">
      <c r="A1947">
        <v>1946</v>
      </c>
      <c r="B1947" t="s">
        <v>6563</v>
      </c>
      <c r="C1947">
        <v>1500</v>
      </c>
      <c r="D1947">
        <v>4500</v>
      </c>
      <c r="E1947">
        <v>300</v>
      </c>
      <c r="F1947" s="77">
        <v>44823</v>
      </c>
    </row>
    <row r="1948" spans="1:6">
      <c r="A1948">
        <v>1947</v>
      </c>
      <c r="B1948" t="s">
        <v>6566</v>
      </c>
      <c r="C1948">
        <v>1000</v>
      </c>
      <c r="D1948">
        <v>0</v>
      </c>
      <c r="E1948">
        <v>50</v>
      </c>
      <c r="F1948" s="77">
        <v>44888</v>
      </c>
    </row>
    <row r="1949" spans="1:6">
      <c r="A1949">
        <v>1948</v>
      </c>
      <c r="B1949" t="s">
        <v>6569</v>
      </c>
      <c r="C1949">
        <v>250</v>
      </c>
      <c r="D1949">
        <v>750</v>
      </c>
      <c r="E1949">
        <v>50</v>
      </c>
      <c r="F1949" s="61">
        <v>44827</v>
      </c>
    </row>
    <row r="1950" spans="1:6">
      <c r="A1950">
        <v>1949</v>
      </c>
      <c r="B1950" t="s">
        <v>6573</v>
      </c>
      <c r="C1950">
        <v>250</v>
      </c>
      <c r="D1950">
        <v>750</v>
      </c>
      <c r="E1950">
        <v>50</v>
      </c>
      <c r="F1950" s="60">
        <v>44844</v>
      </c>
    </row>
    <row r="1951" spans="1:6">
      <c r="A1951">
        <v>1950</v>
      </c>
      <c r="B1951" t="s">
        <v>6576</v>
      </c>
      <c r="C1951">
        <v>262</v>
      </c>
      <c r="D1951">
        <v>738</v>
      </c>
      <c r="E1951">
        <v>50</v>
      </c>
      <c r="F1951" s="77">
        <v>44771</v>
      </c>
    </row>
    <row r="1952" spans="1:6">
      <c r="A1952">
        <v>1951</v>
      </c>
      <c r="B1952" t="s">
        <v>6579</v>
      </c>
      <c r="C1952">
        <v>10000</v>
      </c>
      <c r="D1952">
        <v>0</v>
      </c>
      <c r="E1952">
        <v>500</v>
      </c>
      <c r="F1952" s="79">
        <v>44930</v>
      </c>
    </row>
    <row r="1953" spans="1:6">
      <c r="A1953">
        <v>1952</v>
      </c>
      <c r="B1953" t="s">
        <v>6582</v>
      </c>
      <c r="C1953">
        <v>1000</v>
      </c>
      <c r="D1953">
        <v>0</v>
      </c>
      <c r="E1953">
        <v>50</v>
      </c>
      <c r="F1953" s="60">
        <v>44855</v>
      </c>
    </row>
    <row r="1954" spans="1:6">
      <c r="A1954">
        <v>1953</v>
      </c>
      <c r="B1954" t="s">
        <v>6586</v>
      </c>
      <c r="C1954">
        <v>1000</v>
      </c>
      <c r="D1954">
        <v>0</v>
      </c>
      <c r="E1954">
        <v>50</v>
      </c>
      <c r="F1954" s="60">
        <v>44915</v>
      </c>
    </row>
    <row r="1955" spans="1:6">
      <c r="A1955">
        <v>1954</v>
      </c>
      <c r="B1955" t="s">
        <v>6589</v>
      </c>
      <c r="C1955">
        <v>1000</v>
      </c>
      <c r="D1955">
        <v>0</v>
      </c>
      <c r="E1955">
        <v>50</v>
      </c>
      <c r="F1955" s="67">
        <v>44550</v>
      </c>
    </row>
    <row r="1956" spans="1:6">
      <c r="A1956">
        <v>1955</v>
      </c>
      <c r="B1956" t="s">
        <v>6592</v>
      </c>
      <c r="C1956">
        <v>250</v>
      </c>
      <c r="D1956">
        <v>750</v>
      </c>
      <c r="E1956">
        <v>50</v>
      </c>
      <c r="F1956" s="60">
        <v>44866</v>
      </c>
    </row>
    <row r="1957" spans="1:6">
      <c r="A1957">
        <v>1956</v>
      </c>
      <c r="B1957" t="s">
        <v>6595</v>
      </c>
      <c r="C1957">
        <v>6250</v>
      </c>
      <c r="D1957">
        <v>18750</v>
      </c>
      <c r="E1957">
        <v>1250</v>
      </c>
      <c r="F1957" s="77">
        <v>44770</v>
      </c>
    </row>
    <row r="1958" spans="1:6">
      <c r="A1958">
        <v>1957</v>
      </c>
      <c r="B1958" t="s">
        <v>6598</v>
      </c>
      <c r="C1958">
        <v>500</v>
      </c>
      <c r="D1958">
        <v>500</v>
      </c>
      <c r="E1958">
        <v>50</v>
      </c>
      <c r="F1958" s="61">
        <v>44926</v>
      </c>
    </row>
    <row r="1959" spans="1:6">
      <c r="A1959">
        <v>1958</v>
      </c>
      <c r="B1959" t="s">
        <v>6601</v>
      </c>
      <c r="C1959">
        <v>250</v>
      </c>
      <c r="D1959">
        <v>750</v>
      </c>
      <c r="E1959">
        <v>50</v>
      </c>
      <c r="F1959" s="61">
        <v>44870</v>
      </c>
    </row>
    <row r="1960" spans="1:6">
      <c r="A1960">
        <v>1959</v>
      </c>
      <c r="B1960" t="s">
        <v>6605</v>
      </c>
      <c r="C1960">
        <v>500</v>
      </c>
      <c r="D1960">
        <v>1500</v>
      </c>
      <c r="E1960">
        <v>100</v>
      </c>
      <c r="F1960" s="61">
        <v>44910</v>
      </c>
    </row>
    <row r="1961" spans="1:6">
      <c r="A1961">
        <v>1960</v>
      </c>
      <c r="B1961" t="s">
        <v>6609</v>
      </c>
      <c r="C1961">
        <v>2500</v>
      </c>
      <c r="D1961">
        <v>7500</v>
      </c>
      <c r="E1961">
        <v>500</v>
      </c>
      <c r="F1961" s="75">
        <v>44847</v>
      </c>
    </row>
    <row r="1962" spans="1:6">
      <c r="A1962">
        <v>1961</v>
      </c>
      <c r="B1962" t="s">
        <v>6612</v>
      </c>
      <c r="C1962">
        <v>2500</v>
      </c>
      <c r="D1962">
        <v>7500</v>
      </c>
      <c r="E1962">
        <v>500</v>
      </c>
      <c r="F1962" s="64" t="s">
        <v>16681</v>
      </c>
    </row>
    <row r="1963" spans="1:6">
      <c r="A1963">
        <v>1962</v>
      </c>
      <c r="B1963" t="s">
        <v>6616</v>
      </c>
      <c r="C1963">
        <v>250</v>
      </c>
      <c r="D1963">
        <v>750</v>
      </c>
      <c r="E1963">
        <v>50</v>
      </c>
      <c r="F1963" s="73">
        <v>44845</v>
      </c>
    </row>
    <row r="1964" spans="1:6">
      <c r="A1964">
        <v>1963</v>
      </c>
      <c r="B1964" t="s">
        <v>6619</v>
      </c>
      <c r="C1964">
        <v>250</v>
      </c>
      <c r="D1964">
        <v>750</v>
      </c>
      <c r="E1964">
        <v>50</v>
      </c>
      <c r="F1964" s="61">
        <v>44849</v>
      </c>
    </row>
    <row r="1965" spans="1:6">
      <c r="A1965">
        <v>1964</v>
      </c>
      <c r="B1965" t="s">
        <v>6622</v>
      </c>
      <c r="C1965">
        <v>250</v>
      </c>
      <c r="D1965">
        <v>750</v>
      </c>
      <c r="E1965">
        <v>50</v>
      </c>
      <c r="F1965" s="72">
        <v>44849</v>
      </c>
    </row>
    <row r="1966" spans="1:6">
      <c r="A1966">
        <v>1965</v>
      </c>
      <c r="B1966" t="s">
        <v>6625</v>
      </c>
      <c r="C1966">
        <v>9000</v>
      </c>
      <c r="D1966">
        <v>0</v>
      </c>
      <c r="E1966">
        <v>450</v>
      </c>
      <c r="F1966" s="64" t="s">
        <v>16683</v>
      </c>
    </row>
    <row r="1967" spans="1:6">
      <c r="A1967">
        <v>1966</v>
      </c>
      <c r="B1967" t="s">
        <v>6629</v>
      </c>
      <c r="C1967">
        <v>250</v>
      </c>
      <c r="D1967">
        <v>750</v>
      </c>
      <c r="E1967">
        <v>50</v>
      </c>
      <c r="F1967" s="77">
        <v>44793</v>
      </c>
    </row>
    <row r="1968" spans="1:6">
      <c r="A1968">
        <v>1967</v>
      </c>
      <c r="B1968" t="s">
        <v>6632</v>
      </c>
      <c r="C1968">
        <v>250</v>
      </c>
      <c r="D1968">
        <v>750</v>
      </c>
      <c r="E1968">
        <v>50</v>
      </c>
      <c r="F1968" s="69">
        <v>45008</v>
      </c>
    </row>
    <row r="1969" spans="1:6">
      <c r="A1969">
        <v>1968</v>
      </c>
      <c r="B1969" t="s">
        <v>6635</v>
      </c>
      <c r="C1969">
        <v>750</v>
      </c>
      <c r="D1969">
        <v>250</v>
      </c>
      <c r="E1969">
        <v>50</v>
      </c>
      <c r="F1969" s="69">
        <v>44963</v>
      </c>
    </row>
    <row r="1970" spans="1:6">
      <c r="A1970">
        <v>1969</v>
      </c>
      <c r="B1970" t="s">
        <v>6638</v>
      </c>
      <c r="C1970">
        <v>1000</v>
      </c>
      <c r="D1970">
        <v>0</v>
      </c>
      <c r="E1970">
        <v>50</v>
      </c>
      <c r="F1970" s="101">
        <v>44765</v>
      </c>
    </row>
    <row r="1971" spans="1:6">
      <c r="A1971">
        <v>1970</v>
      </c>
      <c r="B1971" t="s">
        <v>6641</v>
      </c>
      <c r="C1971">
        <v>5000</v>
      </c>
      <c r="D1971">
        <v>15000</v>
      </c>
      <c r="E1971">
        <v>1000</v>
      </c>
      <c r="F1971" s="64" t="s">
        <v>16693</v>
      </c>
    </row>
    <row r="1972" spans="1:6">
      <c r="A1972">
        <v>1971</v>
      </c>
      <c r="B1972" t="s">
        <v>6645</v>
      </c>
      <c r="C1972">
        <v>250</v>
      </c>
      <c r="D1972">
        <v>750</v>
      </c>
      <c r="E1972">
        <v>50</v>
      </c>
      <c r="F1972" s="60">
        <v>44884</v>
      </c>
    </row>
    <row r="1973" spans="1:6">
      <c r="A1973">
        <v>1972</v>
      </c>
      <c r="B1973" t="s">
        <v>6649</v>
      </c>
      <c r="C1973">
        <v>100000</v>
      </c>
      <c r="D1973">
        <v>0</v>
      </c>
      <c r="E1973" t="s">
        <v>16642</v>
      </c>
      <c r="F1973" s="76">
        <v>44869</v>
      </c>
    </row>
    <row r="1974" ht="15" spans="1:6">
      <c r="A1974">
        <v>1973</v>
      </c>
      <c r="B1974" t="s">
        <v>6654</v>
      </c>
      <c r="C1974">
        <v>1000000</v>
      </c>
      <c r="D1974">
        <v>500000</v>
      </c>
      <c r="E1974" t="s">
        <v>16642</v>
      </c>
      <c r="F1974" s="81">
        <f>IFERROR(__xludf.DUMMYFUNCTION("""COMPUTED_VALUE"""),45078)</f>
        <v>45078</v>
      </c>
    </row>
    <row r="1975" spans="1:6">
      <c r="A1975">
        <v>1974</v>
      </c>
      <c r="B1975" t="s">
        <v>6655</v>
      </c>
      <c r="C1975">
        <v>10000</v>
      </c>
      <c r="D1975">
        <v>0</v>
      </c>
      <c r="E1975">
        <v>500</v>
      </c>
      <c r="F1975" s="64" t="s">
        <v>16673</v>
      </c>
    </row>
    <row r="1976" spans="1:6">
      <c r="A1976">
        <v>1975</v>
      </c>
      <c r="B1976" t="s">
        <v>6659</v>
      </c>
      <c r="C1976">
        <v>250</v>
      </c>
      <c r="D1976">
        <v>750</v>
      </c>
      <c r="E1976">
        <v>50</v>
      </c>
      <c r="F1976" s="60">
        <v>44807</v>
      </c>
    </row>
    <row r="1977" spans="1:6">
      <c r="A1977">
        <v>1976</v>
      </c>
      <c r="B1977" t="s">
        <v>6662</v>
      </c>
      <c r="C1977">
        <v>2000</v>
      </c>
      <c r="D1977">
        <v>0</v>
      </c>
      <c r="E1977">
        <v>100</v>
      </c>
      <c r="F1977" s="72">
        <v>44855</v>
      </c>
    </row>
    <row r="1978" spans="1:6">
      <c r="A1978">
        <v>1977</v>
      </c>
      <c r="B1978" t="s">
        <v>6666</v>
      </c>
      <c r="C1978">
        <v>12000</v>
      </c>
      <c r="D1978">
        <v>28000</v>
      </c>
      <c r="E1978">
        <v>2000</v>
      </c>
      <c r="F1978" s="64" t="s">
        <v>16767</v>
      </c>
    </row>
    <row r="1979" spans="1:6">
      <c r="A1979">
        <v>1978</v>
      </c>
      <c r="B1979" t="s">
        <v>6670</v>
      </c>
      <c r="C1979">
        <v>250</v>
      </c>
      <c r="D1979">
        <v>750</v>
      </c>
      <c r="E1979">
        <v>50</v>
      </c>
      <c r="F1979" s="77">
        <v>44795</v>
      </c>
    </row>
    <row r="1980" spans="1:6">
      <c r="A1980">
        <v>1979</v>
      </c>
      <c r="B1980" t="s">
        <v>6673</v>
      </c>
      <c r="C1980">
        <v>2000</v>
      </c>
      <c r="D1980">
        <v>6000</v>
      </c>
      <c r="E1980">
        <v>400</v>
      </c>
      <c r="F1980" s="109">
        <v>45015</v>
      </c>
    </row>
    <row r="1981" spans="1:6">
      <c r="A1981">
        <v>1980</v>
      </c>
      <c r="B1981" t="s">
        <v>6676</v>
      </c>
      <c r="C1981">
        <v>2500</v>
      </c>
      <c r="D1981">
        <v>7500</v>
      </c>
      <c r="E1981">
        <v>500</v>
      </c>
      <c r="F1981" s="65">
        <v>44539</v>
      </c>
    </row>
    <row r="1982" spans="1:6">
      <c r="A1982">
        <v>1981</v>
      </c>
      <c r="B1982" t="s">
        <v>6680</v>
      </c>
      <c r="C1982">
        <v>2000</v>
      </c>
      <c r="D1982">
        <v>0</v>
      </c>
      <c r="E1982">
        <v>100</v>
      </c>
      <c r="F1982" s="64" t="s">
        <v>16768</v>
      </c>
    </row>
    <row r="1983" spans="1:6">
      <c r="A1983">
        <v>1982</v>
      </c>
      <c r="B1983" t="s">
        <v>6684</v>
      </c>
      <c r="C1983">
        <v>50000</v>
      </c>
      <c r="D1983">
        <v>150000</v>
      </c>
      <c r="E1983">
        <v>10000</v>
      </c>
      <c r="F1983" s="65">
        <v>44680</v>
      </c>
    </row>
    <row r="1984" spans="1:6">
      <c r="A1984">
        <v>1983</v>
      </c>
      <c r="B1984" t="s">
        <v>6688</v>
      </c>
      <c r="C1984">
        <v>200000</v>
      </c>
      <c r="D1984">
        <v>0</v>
      </c>
      <c r="E1984" t="s">
        <v>16642</v>
      </c>
      <c r="F1984" s="66"/>
    </row>
    <row r="1985" spans="1:6">
      <c r="A1985">
        <v>1984</v>
      </c>
      <c r="B1985" t="s">
        <v>6691</v>
      </c>
      <c r="C1985">
        <v>1000</v>
      </c>
      <c r="D1985">
        <v>0</v>
      </c>
      <c r="E1985">
        <v>50</v>
      </c>
      <c r="F1985" s="77">
        <v>44684</v>
      </c>
    </row>
    <row r="1986" spans="1:6">
      <c r="A1986">
        <v>1985</v>
      </c>
      <c r="B1986" t="s">
        <v>6694</v>
      </c>
      <c r="C1986">
        <v>250</v>
      </c>
      <c r="D1986">
        <v>750</v>
      </c>
      <c r="E1986">
        <v>50</v>
      </c>
      <c r="F1986" s="61">
        <v>44849</v>
      </c>
    </row>
    <row r="1987" spans="1:6">
      <c r="A1987">
        <v>1986</v>
      </c>
      <c r="B1987" t="s">
        <v>6697</v>
      </c>
      <c r="C1987">
        <v>2500</v>
      </c>
      <c r="D1987">
        <v>7500</v>
      </c>
      <c r="E1987">
        <v>500</v>
      </c>
      <c r="F1987" s="64" t="s">
        <v>16741</v>
      </c>
    </row>
    <row r="1988" ht="15" spans="1:6">
      <c r="A1988">
        <v>1987</v>
      </c>
      <c r="B1988" t="s">
        <v>6700</v>
      </c>
      <c r="C1988">
        <v>1000000</v>
      </c>
      <c r="D1988">
        <v>500000</v>
      </c>
      <c r="E1988" t="s">
        <v>16642</v>
      </c>
      <c r="F1988" s="81">
        <f>IFERROR(__xludf.DUMMYFUNCTION("""COMPUTED_VALUE"""),45078)</f>
        <v>45078</v>
      </c>
    </row>
    <row r="1989" spans="1:6">
      <c r="A1989">
        <v>1988</v>
      </c>
      <c r="B1989" t="s">
        <v>6701</v>
      </c>
      <c r="C1989">
        <v>10000</v>
      </c>
      <c r="D1989">
        <v>0</v>
      </c>
      <c r="E1989">
        <v>500</v>
      </c>
      <c r="F1989" s="64" t="s">
        <v>16760</v>
      </c>
    </row>
    <row r="1990" spans="1:6">
      <c r="A1990">
        <v>1989</v>
      </c>
      <c r="B1990" t="s">
        <v>6704</v>
      </c>
      <c r="C1990">
        <v>2500</v>
      </c>
      <c r="D1990">
        <v>7500</v>
      </c>
      <c r="E1990">
        <v>500</v>
      </c>
      <c r="F1990" s="64" t="s">
        <v>16769</v>
      </c>
    </row>
    <row r="1991" spans="1:6">
      <c r="A1991">
        <v>1990</v>
      </c>
      <c r="B1991" t="s">
        <v>6708</v>
      </c>
      <c r="C1991">
        <v>25000</v>
      </c>
      <c r="D1991">
        <v>75000</v>
      </c>
      <c r="E1991">
        <v>5000</v>
      </c>
      <c r="F1991" s="65">
        <v>44490</v>
      </c>
    </row>
    <row r="1992" spans="1:6">
      <c r="A1992">
        <v>1991</v>
      </c>
      <c r="B1992" t="s">
        <v>6712</v>
      </c>
      <c r="C1992">
        <v>250</v>
      </c>
      <c r="D1992">
        <v>750</v>
      </c>
      <c r="E1992">
        <v>50</v>
      </c>
      <c r="F1992" s="73">
        <v>44845</v>
      </c>
    </row>
    <row r="1993" spans="1:6">
      <c r="A1993">
        <v>1992</v>
      </c>
      <c r="B1993" t="s">
        <v>6715</v>
      </c>
      <c r="C1993">
        <v>10000</v>
      </c>
      <c r="D1993">
        <v>0</v>
      </c>
      <c r="E1993">
        <v>500</v>
      </c>
      <c r="F1993" s="65">
        <v>44858</v>
      </c>
    </row>
    <row r="1994" spans="1:6">
      <c r="A1994">
        <v>1993</v>
      </c>
      <c r="B1994" t="s">
        <v>6719</v>
      </c>
      <c r="C1994">
        <v>3000</v>
      </c>
      <c r="D1994">
        <v>6000</v>
      </c>
      <c r="E1994">
        <v>50</v>
      </c>
      <c r="F1994" s="65">
        <v>44748</v>
      </c>
    </row>
    <row r="1995" spans="1:6">
      <c r="A1995">
        <v>1994</v>
      </c>
      <c r="B1995" t="s">
        <v>6722</v>
      </c>
      <c r="C1995">
        <v>1000</v>
      </c>
      <c r="D1995">
        <v>0</v>
      </c>
      <c r="E1995">
        <v>50</v>
      </c>
      <c r="F1995" s="109">
        <v>44992</v>
      </c>
    </row>
    <row r="1996" ht="15" spans="1:6">
      <c r="A1996">
        <v>1995</v>
      </c>
      <c r="B1996" t="s">
        <v>6725</v>
      </c>
      <c r="C1996">
        <v>1000000</v>
      </c>
      <c r="D1996">
        <v>500000</v>
      </c>
      <c r="E1996" t="s">
        <v>16642</v>
      </c>
      <c r="F1996" s="81">
        <f>IFERROR(__xludf.DUMMYFUNCTION("""COMPUTED_VALUE"""),45084)</f>
        <v>45084</v>
      </c>
    </row>
    <row r="1997" spans="1:6">
      <c r="A1997">
        <v>1996</v>
      </c>
      <c r="B1997" t="s">
        <v>6726</v>
      </c>
      <c r="C1997">
        <v>5000</v>
      </c>
      <c r="D1997">
        <v>15000</v>
      </c>
      <c r="E1997">
        <v>1000</v>
      </c>
      <c r="F1997" s="64" t="s">
        <v>16770</v>
      </c>
    </row>
    <row r="1998" spans="1:6">
      <c r="A1998">
        <v>1997</v>
      </c>
      <c r="B1998" t="s">
        <v>6730</v>
      </c>
      <c r="C1998">
        <v>10000</v>
      </c>
      <c r="D1998">
        <v>30000</v>
      </c>
      <c r="E1998">
        <v>2000</v>
      </c>
      <c r="F1998" s="101">
        <v>44770</v>
      </c>
    </row>
    <row r="1999" spans="1:6">
      <c r="A1999">
        <v>1998</v>
      </c>
      <c r="B1999" t="s">
        <v>6733</v>
      </c>
      <c r="C1999">
        <v>100000</v>
      </c>
      <c r="D1999">
        <v>0</v>
      </c>
      <c r="E1999" t="s">
        <v>16642</v>
      </c>
      <c r="F1999" s="82">
        <v>44790</v>
      </c>
    </row>
    <row r="2000" spans="1:6">
      <c r="A2000">
        <v>1999</v>
      </c>
      <c r="B2000" t="s">
        <v>6736</v>
      </c>
      <c r="C2000">
        <v>50000</v>
      </c>
      <c r="D2000">
        <v>0</v>
      </c>
      <c r="E2000">
        <v>2500</v>
      </c>
      <c r="F2000" s="65">
        <v>44527</v>
      </c>
    </row>
    <row r="2001" spans="1:6">
      <c r="A2001">
        <v>2000</v>
      </c>
      <c r="B2001" t="s">
        <v>6740</v>
      </c>
      <c r="C2001">
        <v>500</v>
      </c>
      <c r="D2001">
        <v>1500</v>
      </c>
      <c r="E2001">
        <v>100</v>
      </c>
      <c r="F2001" s="64" t="s">
        <v>16771</v>
      </c>
    </row>
    <row r="2002" spans="1:6">
      <c r="A2002">
        <v>2001</v>
      </c>
      <c r="B2002" t="s">
        <v>6744</v>
      </c>
      <c r="C2002">
        <v>100000</v>
      </c>
      <c r="D2002">
        <v>0</v>
      </c>
      <c r="E2002" t="s">
        <v>16642</v>
      </c>
      <c r="F2002" s="104"/>
    </row>
    <row r="2003" spans="1:6">
      <c r="A2003">
        <v>2002</v>
      </c>
      <c r="B2003" t="s">
        <v>6747</v>
      </c>
      <c r="C2003">
        <v>10000</v>
      </c>
      <c r="D2003">
        <v>0</v>
      </c>
      <c r="E2003">
        <v>500</v>
      </c>
      <c r="F2003" s="101">
        <v>44671</v>
      </c>
    </row>
    <row r="2004" spans="1:6">
      <c r="A2004">
        <v>2003</v>
      </c>
      <c r="B2004" t="s">
        <v>6751</v>
      </c>
      <c r="C2004">
        <v>5000</v>
      </c>
      <c r="D2004">
        <v>15000</v>
      </c>
      <c r="E2004">
        <v>1000</v>
      </c>
      <c r="F2004" s="67">
        <v>44981</v>
      </c>
    </row>
    <row r="2005" spans="1:6">
      <c r="A2005">
        <v>2004</v>
      </c>
      <c r="B2005" t="s">
        <v>6754</v>
      </c>
      <c r="C2005">
        <v>200000</v>
      </c>
      <c r="D2005">
        <v>0</v>
      </c>
      <c r="E2005" t="s">
        <v>16642</v>
      </c>
      <c r="F2005" s="104"/>
    </row>
    <row r="2006" spans="1:6">
      <c r="A2006">
        <v>2005</v>
      </c>
      <c r="B2006" t="s">
        <v>6759</v>
      </c>
      <c r="C2006">
        <v>4000</v>
      </c>
      <c r="D2006">
        <v>0</v>
      </c>
      <c r="E2006">
        <v>50</v>
      </c>
      <c r="F2006" s="77">
        <v>44912</v>
      </c>
    </row>
    <row r="2007" spans="1:6">
      <c r="A2007">
        <v>2006</v>
      </c>
      <c r="B2007" t="s">
        <v>6762</v>
      </c>
      <c r="C2007">
        <v>20000</v>
      </c>
      <c r="D2007">
        <v>20000</v>
      </c>
      <c r="E2007">
        <v>2000</v>
      </c>
      <c r="F2007" s="67">
        <v>44986</v>
      </c>
    </row>
    <row r="2008" spans="1:6">
      <c r="A2008">
        <v>2007</v>
      </c>
      <c r="B2008" t="s">
        <v>6765</v>
      </c>
      <c r="C2008">
        <v>250</v>
      </c>
      <c r="D2008">
        <v>750</v>
      </c>
      <c r="E2008">
        <v>50</v>
      </c>
      <c r="F2008" s="61">
        <v>44984</v>
      </c>
    </row>
    <row r="2009" spans="1:6">
      <c r="A2009">
        <v>2008</v>
      </c>
      <c r="B2009" t="s">
        <v>6769</v>
      </c>
      <c r="C2009">
        <v>25000</v>
      </c>
      <c r="D2009">
        <v>75000</v>
      </c>
      <c r="E2009">
        <v>5000</v>
      </c>
      <c r="F2009" s="79">
        <v>44939</v>
      </c>
    </row>
    <row r="2010" spans="1:6">
      <c r="A2010">
        <v>2009</v>
      </c>
      <c r="B2010" t="s">
        <v>6772</v>
      </c>
      <c r="C2010">
        <v>25000</v>
      </c>
      <c r="D2010">
        <v>75000</v>
      </c>
      <c r="E2010">
        <v>5000</v>
      </c>
      <c r="F2010" s="79">
        <v>44939</v>
      </c>
    </row>
    <row r="2011" spans="1:6">
      <c r="A2011">
        <v>2010</v>
      </c>
      <c r="B2011" t="s">
        <v>6775</v>
      </c>
      <c r="C2011">
        <v>250</v>
      </c>
      <c r="D2011">
        <v>750</v>
      </c>
      <c r="E2011">
        <v>50</v>
      </c>
      <c r="F2011" s="61">
        <v>44916</v>
      </c>
    </row>
    <row r="2012" spans="1:6">
      <c r="A2012">
        <v>2011</v>
      </c>
      <c r="B2012" t="s">
        <v>6779</v>
      </c>
      <c r="C2012">
        <v>5000</v>
      </c>
      <c r="D2012">
        <v>5000</v>
      </c>
      <c r="E2012">
        <v>500</v>
      </c>
      <c r="F2012" s="83">
        <v>44455</v>
      </c>
    </row>
    <row r="2013" spans="1:6">
      <c r="A2013">
        <v>2012</v>
      </c>
      <c r="B2013" t="s">
        <v>6779</v>
      </c>
      <c r="C2013">
        <v>13000</v>
      </c>
      <c r="D2013">
        <v>27000</v>
      </c>
      <c r="E2013">
        <v>2000</v>
      </c>
      <c r="F2013" s="127">
        <v>45041</v>
      </c>
    </row>
    <row r="2014" spans="1:6">
      <c r="A2014">
        <v>2013</v>
      </c>
      <c r="B2014" t="s">
        <v>6784</v>
      </c>
      <c r="C2014">
        <v>100000</v>
      </c>
      <c r="D2014">
        <v>0</v>
      </c>
      <c r="E2014" t="s">
        <v>16642</v>
      </c>
      <c r="F2014" s="96">
        <v>44875</v>
      </c>
    </row>
    <row r="2015" spans="1:6">
      <c r="A2015">
        <v>2014</v>
      </c>
      <c r="B2015" t="s">
        <v>6784</v>
      </c>
      <c r="C2015">
        <v>0</v>
      </c>
      <c r="D2015">
        <v>0</v>
      </c>
      <c r="E2015" t="s">
        <v>16642</v>
      </c>
      <c r="F2015" s="85"/>
    </row>
    <row r="2016" spans="1:6">
      <c r="A2016">
        <v>2015</v>
      </c>
      <c r="B2016" t="s">
        <v>6788</v>
      </c>
      <c r="C2016">
        <v>2500</v>
      </c>
      <c r="D2016">
        <v>7500</v>
      </c>
      <c r="E2016">
        <v>500</v>
      </c>
      <c r="F2016" s="77">
        <v>44925</v>
      </c>
    </row>
    <row r="2017" spans="1:6">
      <c r="A2017">
        <v>2016</v>
      </c>
      <c r="B2017" t="s">
        <v>6791</v>
      </c>
      <c r="C2017">
        <v>10000</v>
      </c>
      <c r="D2017">
        <v>0</v>
      </c>
      <c r="E2017">
        <v>500</v>
      </c>
      <c r="F2017" s="65">
        <v>44685</v>
      </c>
    </row>
    <row r="2018" spans="1:6">
      <c r="A2018">
        <v>2017</v>
      </c>
      <c r="B2018" t="s">
        <v>6795</v>
      </c>
      <c r="C2018">
        <v>12500</v>
      </c>
      <c r="D2018">
        <v>37500</v>
      </c>
      <c r="E2018">
        <v>2500</v>
      </c>
      <c r="F2018" s="64" t="s">
        <v>16772</v>
      </c>
    </row>
    <row r="2019" spans="1:6">
      <c r="A2019">
        <v>2018</v>
      </c>
      <c r="B2019" t="s">
        <v>6799</v>
      </c>
      <c r="C2019">
        <v>1000000</v>
      </c>
      <c r="D2019">
        <v>500000</v>
      </c>
      <c r="E2019" t="s">
        <v>16642</v>
      </c>
      <c r="F2019" s="80">
        <f>IFERROR(__xludf.DUMMYFUNCTION("""COMPUTED_VALUE"""),45080)</f>
        <v>45080</v>
      </c>
    </row>
    <row r="2020" spans="1:6">
      <c r="A2020">
        <v>2019</v>
      </c>
      <c r="B2020" t="s">
        <v>6800</v>
      </c>
      <c r="C2020">
        <v>10000</v>
      </c>
      <c r="D2020">
        <v>0</v>
      </c>
      <c r="E2020">
        <v>500</v>
      </c>
      <c r="F2020" s="65">
        <v>44699</v>
      </c>
    </row>
    <row r="2021" spans="1:6">
      <c r="A2021">
        <v>2020</v>
      </c>
      <c r="B2021" t="s">
        <v>6804</v>
      </c>
      <c r="C2021">
        <v>100000</v>
      </c>
      <c r="D2021">
        <v>0</v>
      </c>
      <c r="E2021" t="s">
        <v>16642</v>
      </c>
      <c r="F2021" s="104"/>
    </row>
    <row r="2022" spans="1:6">
      <c r="A2022">
        <v>2021</v>
      </c>
      <c r="B2022" t="s">
        <v>6808</v>
      </c>
      <c r="C2022">
        <v>100000</v>
      </c>
      <c r="D2022">
        <v>0</v>
      </c>
      <c r="E2022" t="s">
        <v>16642</v>
      </c>
      <c r="F2022" s="66"/>
    </row>
    <row r="2023" spans="1:6">
      <c r="A2023">
        <v>2022</v>
      </c>
      <c r="B2023" t="s">
        <v>6813</v>
      </c>
      <c r="C2023">
        <v>2000</v>
      </c>
      <c r="D2023">
        <v>0</v>
      </c>
      <c r="E2023">
        <v>100</v>
      </c>
      <c r="F2023" s="77">
        <v>44757</v>
      </c>
    </row>
    <row r="2024" spans="1:6">
      <c r="A2024">
        <v>2023</v>
      </c>
      <c r="B2024" t="s">
        <v>6816</v>
      </c>
      <c r="C2024">
        <v>4000</v>
      </c>
      <c r="D2024">
        <v>0</v>
      </c>
      <c r="E2024">
        <v>50</v>
      </c>
      <c r="F2024" s="79">
        <v>44953</v>
      </c>
    </row>
    <row r="2025" ht="15" spans="1:6">
      <c r="A2025">
        <v>2024</v>
      </c>
      <c r="B2025" t="s">
        <v>6819</v>
      </c>
      <c r="C2025">
        <v>1000000</v>
      </c>
      <c r="D2025">
        <v>500000</v>
      </c>
      <c r="E2025" t="s">
        <v>16642</v>
      </c>
      <c r="F2025" s="81">
        <f>IFERROR(__xludf.DUMMYFUNCTION("""COMPUTED_VALUE"""),45084)</f>
        <v>45084</v>
      </c>
    </row>
    <row r="2026" spans="1:6">
      <c r="A2026">
        <v>2025</v>
      </c>
      <c r="B2026" t="s">
        <v>6820</v>
      </c>
      <c r="C2026">
        <v>250</v>
      </c>
      <c r="D2026">
        <v>750</v>
      </c>
      <c r="E2026">
        <v>50</v>
      </c>
      <c r="F2026" s="65">
        <v>44546</v>
      </c>
    </row>
    <row r="2027" spans="1:6">
      <c r="A2027">
        <v>2026</v>
      </c>
      <c r="B2027" t="s">
        <v>6824</v>
      </c>
      <c r="C2027">
        <v>250</v>
      </c>
      <c r="D2027">
        <v>750</v>
      </c>
      <c r="E2027">
        <v>50</v>
      </c>
      <c r="F2027" s="60">
        <v>44817</v>
      </c>
    </row>
    <row r="2028" spans="1:6">
      <c r="A2028">
        <v>2027</v>
      </c>
      <c r="B2028" t="s">
        <v>6828</v>
      </c>
      <c r="C2028">
        <v>250</v>
      </c>
      <c r="D2028">
        <v>750</v>
      </c>
      <c r="E2028">
        <v>50</v>
      </c>
      <c r="F2028" s="61">
        <v>44982</v>
      </c>
    </row>
    <row r="2029" spans="1:6">
      <c r="A2029">
        <v>2028</v>
      </c>
      <c r="B2029" t="s">
        <v>6831</v>
      </c>
      <c r="C2029">
        <v>250</v>
      </c>
      <c r="D2029">
        <v>750</v>
      </c>
      <c r="E2029">
        <v>50</v>
      </c>
      <c r="F2029" s="128" t="s">
        <v>16663</v>
      </c>
    </row>
    <row r="2030" spans="1:6">
      <c r="A2030">
        <v>2029</v>
      </c>
      <c r="B2030" t="s">
        <v>6834</v>
      </c>
      <c r="C2030">
        <v>2500</v>
      </c>
      <c r="D2030">
        <v>7500</v>
      </c>
      <c r="E2030">
        <v>500</v>
      </c>
      <c r="F2030" s="77">
        <v>44796</v>
      </c>
    </row>
    <row r="2031" spans="1:6">
      <c r="A2031">
        <v>2030</v>
      </c>
      <c r="B2031" t="s">
        <v>6837</v>
      </c>
      <c r="C2031">
        <v>250</v>
      </c>
      <c r="D2031">
        <v>750</v>
      </c>
      <c r="E2031">
        <v>50</v>
      </c>
      <c r="F2031" s="61">
        <v>44901</v>
      </c>
    </row>
    <row r="2032" spans="1:6">
      <c r="A2032">
        <v>2031</v>
      </c>
      <c r="B2032" t="s">
        <v>6840</v>
      </c>
      <c r="C2032">
        <v>1000</v>
      </c>
      <c r="D2032">
        <v>0</v>
      </c>
      <c r="E2032">
        <v>50</v>
      </c>
      <c r="F2032" s="69">
        <v>44932</v>
      </c>
    </row>
    <row r="2033" spans="1:6">
      <c r="A2033">
        <v>2032</v>
      </c>
      <c r="B2033" t="s">
        <v>6844</v>
      </c>
      <c r="C2033">
        <v>500</v>
      </c>
      <c r="D2033">
        <v>500</v>
      </c>
      <c r="E2033">
        <v>50</v>
      </c>
      <c r="F2033" s="73">
        <v>44926</v>
      </c>
    </row>
    <row r="2034" spans="1:6">
      <c r="A2034">
        <v>2033</v>
      </c>
      <c r="B2034" t="s">
        <v>6847</v>
      </c>
      <c r="C2034">
        <v>10000</v>
      </c>
      <c r="D2034">
        <v>0</v>
      </c>
      <c r="E2034">
        <v>100</v>
      </c>
      <c r="F2034" s="77">
        <v>44859</v>
      </c>
    </row>
    <row r="2035" spans="1:6">
      <c r="A2035">
        <v>2034</v>
      </c>
      <c r="B2035" t="s">
        <v>6850</v>
      </c>
      <c r="C2035">
        <v>1000</v>
      </c>
      <c r="D2035">
        <v>0</v>
      </c>
      <c r="E2035">
        <v>50</v>
      </c>
      <c r="F2035" s="61">
        <v>44897</v>
      </c>
    </row>
    <row r="2036" spans="1:6">
      <c r="A2036">
        <v>2035</v>
      </c>
      <c r="B2036" t="s">
        <v>6853</v>
      </c>
      <c r="C2036">
        <v>250</v>
      </c>
      <c r="D2036">
        <v>750</v>
      </c>
      <c r="E2036">
        <v>50</v>
      </c>
      <c r="F2036" s="61">
        <v>44886</v>
      </c>
    </row>
    <row r="2037" spans="1:6">
      <c r="A2037">
        <v>2036</v>
      </c>
      <c r="B2037" t="s">
        <v>6856</v>
      </c>
      <c r="C2037">
        <v>250</v>
      </c>
      <c r="D2037">
        <v>750</v>
      </c>
      <c r="E2037">
        <v>50</v>
      </c>
      <c r="F2037" s="60">
        <v>44869</v>
      </c>
    </row>
    <row r="2038" spans="1:6">
      <c r="A2038">
        <v>2037</v>
      </c>
      <c r="B2038" t="s">
        <v>6860</v>
      </c>
      <c r="C2038">
        <v>250</v>
      </c>
      <c r="D2038">
        <v>750</v>
      </c>
      <c r="E2038">
        <v>50</v>
      </c>
      <c r="F2038" s="61">
        <v>44851</v>
      </c>
    </row>
    <row r="2039" spans="1:6">
      <c r="A2039">
        <v>2038</v>
      </c>
      <c r="B2039" t="s">
        <v>6863</v>
      </c>
      <c r="C2039">
        <v>250</v>
      </c>
      <c r="D2039">
        <v>750</v>
      </c>
      <c r="E2039">
        <v>50</v>
      </c>
      <c r="F2039" s="60">
        <v>44897</v>
      </c>
    </row>
    <row r="2040" spans="1:6">
      <c r="A2040">
        <v>2039</v>
      </c>
      <c r="B2040" t="s">
        <v>6866</v>
      </c>
      <c r="C2040">
        <v>250</v>
      </c>
      <c r="D2040">
        <v>750</v>
      </c>
      <c r="E2040">
        <v>50</v>
      </c>
      <c r="F2040" s="60">
        <v>45049</v>
      </c>
    </row>
    <row r="2041" spans="1:6">
      <c r="A2041">
        <v>2040</v>
      </c>
      <c r="B2041" t="s">
        <v>6869</v>
      </c>
      <c r="C2041">
        <v>250</v>
      </c>
      <c r="D2041">
        <v>750</v>
      </c>
      <c r="E2041">
        <v>50</v>
      </c>
      <c r="F2041" s="61">
        <v>44925</v>
      </c>
    </row>
    <row r="2042" spans="1:6">
      <c r="A2042">
        <v>2041</v>
      </c>
      <c r="B2042" t="s">
        <v>6872</v>
      </c>
      <c r="C2042">
        <v>250</v>
      </c>
      <c r="D2042">
        <v>750</v>
      </c>
      <c r="E2042">
        <v>50</v>
      </c>
      <c r="F2042" s="60">
        <v>44916</v>
      </c>
    </row>
    <row r="2043" spans="1:6">
      <c r="A2043">
        <v>2042</v>
      </c>
      <c r="B2043" t="s">
        <v>6876</v>
      </c>
      <c r="C2043">
        <v>250</v>
      </c>
      <c r="D2043">
        <v>750</v>
      </c>
      <c r="E2043">
        <v>50</v>
      </c>
      <c r="F2043" s="61">
        <v>44863</v>
      </c>
    </row>
    <row r="2044" spans="1:6">
      <c r="A2044">
        <v>2043</v>
      </c>
      <c r="B2044" t="s">
        <v>6880</v>
      </c>
      <c r="C2044">
        <v>500</v>
      </c>
      <c r="D2044">
        <v>1500</v>
      </c>
      <c r="E2044">
        <v>100</v>
      </c>
      <c r="F2044" s="77">
        <v>44851</v>
      </c>
    </row>
    <row r="2045" spans="1:6">
      <c r="A2045">
        <v>2044</v>
      </c>
      <c r="B2045" t="s">
        <v>6883</v>
      </c>
      <c r="C2045">
        <v>250</v>
      </c>
      <c r="D2045">
        <v>750</v>
      </c>
      <c r="E2045">
        <v>50</v>
      </c>
      <c r="F2045" s="71">
        <v>44925</v>
      </c>
    </row>
    <row r="2046" spans="1:6">
      <c r="A2046">
        <v>2045</v>
      </c>
      <c r="B2046" t="s">
        <v>6886</v>
      </c>
      <c r="C2046">
        <v>250</v>
      </c>
      <c r="D2046">
        <v>750</v>
      </c>
      <c r="E2046">
        <v>50</v>
      </c>
      <c r="F2046" s="61">
        <v>44905</v>
      </c>
    </row>
    <row r="2047" spans="1:6">
      <c r="A2047">
        <v>2046</v>
      </c>
      <c r="B2047" t="s">
        <v>6890</v>
      </c>
      <c r="C2047">
        <v>750</v>
      </c>
      <c r="D2047">
        <v>250</v>
      </c>
      <c r="E2047">
        <v>50</v>
      </c>
      <c r="F2047" s="73">
        <v>44916</v>
      </c>
    </row>
    <row r="2048" spans="1:6">
      <c r="A2048">
        <v>2047</v>
      </c>
      <c r="B2048" t="s">
        <v>6893</v>
      </c>
      <c r="C2048">
        <v>200000</v>
      </c>
      <c r="D2048">
        <v>0</v>
      </c>
      <c r="E2048" t="s">
        <v>16642</v>
      </c>
      <c r="F2048" s="76">
        <v>44939</v>
      </c>
    </row>
    <row r="2049" spans="1:6">
      <c r="A2049">
        <v>2048</v>
      </c>
      <c r="B2049" t="s">
        <v>6898</v>
      </c>
      <c r="C2049">
        <v>1000</v>
      </c>
      <c r="D2049">
        <v>0</v>
      </c>
      <c r="E2049">
        <v>50</v>
      </c>
      <c r="F2049" s="60">
        <v>44868</v>
      </c>
    </row>
    <row r="2050" spans="1:6">
      <c r="A2050">
        <v>2049</v>
      </c>
      <c r="B2050" t="s">
        <v>6902</v>
      </c>
      <c r="C2050">
        <v>250</v>
      </c>
      <c r="D2050">
        <v>750</v>
      </c>
      <c r="E2050">
        <v>50</v>
      </c>
      <c r="F2050" s="61">
        <v>44880</v>
      </c>
    </row>
    <row r="2051" spans="1:6">
      <c r="A2051">
        <v>2050</v>
      </c>
      <c r="B2051" t="s">
        <v>6905</v>
      </c>
      <c r="C2051">
        <v>250</v>
      </c>
      <c r="D2051">
        <v>750</v>
      </c>
      <c r="E2051">
        <v>50</v>
      </c>
      <c r="F2051" s="69">
        <v>44941</v>
      </c>
    </row>
    <row r="2052" spans="1:6">
      <c r="A2052">
        <v>2051</v>
      </c>
      <c r="B2052" t="s">
        <v>6909</v>
      </c>
      <c r="C2052">
        <v>250</v>
      </c>
      <c r="D2052">
        <v>750</v>
      </c>
      <c r="E2052">
        <v>50</v>
      </c>
      <c r="F2052" s="60">
        <v>44915</v>
      </c>
    </row>
    <row r="2053" spans="1:6">
      <c r="A2053">
        <v>2052</v>
      </c>
      <c r="B2053" t="s">
        <v>6912</v>
      </c>
      <c r="C2053">
        <v>250</v>
      </c>
      <c r="D2053">
        <v>750</v>
      </c>
      <c r="E2053">
        <v>50</v>
      </c>
      <c r="F2053" s="61">
        <v>44862</v>
      </c>
    </row>
    <row r="2054" spans="1:6">
      <c r="A2054">
        <v>2053</v>
      </c>
      <c r="B2054" t="s">
        <v>6915</v>
      </c>
      <c r="C2054">
        <v>1000</v>
      </c>
      <c r="D2054">
        <v>0</v>
      </c>
      <c r="E2054">
        <v>50</v>
      </c>
      <c r="F2054" s="60">
        <v>44874</v>
      </c>
    </row>
    <row r="2055" spans="1:6">
      <c r="A2055">
        <v>2054</v>
      </c>
      <c r="B2055" t="s">
        <v>6918</v>
      </c>
      <c r="C2055">
        <v>7000</v>
      </c>
      <c r="D2055">
        <v>0</v>
      </c>
      <c r="E2055">
        <v>350</v>
      </c>
      <c r="F2055" s="77">
        <v>44777</v>
      </c>
    </row>
    <row r="2056" spans="1:6">
      <c r="A2056">
        <v>2055</v>
      </c>
      <c r="B2056" t="s">
        <v>6922</v>
      </c>
      <c r="C2056">
        <v>250</v>
      </c>
      <c r="D2056">
        <v>750</v>
      </c>
      <c r="E2056">
        <v>50</v>
      </c>
      <c r="F2056" s="60">
        <v>45000</v>
      </c>
    </row>
    <row r="2057" spans="1:6">
      <c r="A2057">
        <v>2056</v>
      </c>
      <c r="B2057" t="s">
        <v>6925</v>
      </c>
      <c r="C2057">
        <v>250</v>
      </c>
      <c r="D2057">
        <v>750</v>
      </c>
      <c r="E2057">
        <v>50</v>
      </c>
      <c r="F2057" s="60">
        <v>44883</v>
      </c>
    </row>
    <row r="2058" spans="1:6">
      <c r="A2058">
        <v>2057</v>
      </c>
      <c r="B2058" t="s">
        <v>6928</v>
      </c>
      <c r="C2058">
        <v>500</v>
      </c>
      <c r="D2058">
        <v>1500</v>
      </c>
      <c r="E2058">
        <v>100</v>
      </c>
      <c r="F2058" s="60">
        <v>44867</v>
      </c>
    </row>
    <row r="2059" spans="1:6">
      <c r="A2059">
        <v>2058</v>
      </c>
      <c r="B2059" t="s">
        <v>6932</v>
      </c>
      <c r="C2059">
        <v>250</v>
      </c>
      <c r="D2059">
        <v>750</v>
      </c>
      <c r="E2059">
        <v>50</v>
      </c>
      <c r="F2059" s="61">
        <v>44897</v>
      </c>
    </row>
    <row r="2060" spans="1:6">
      <c r="A2060">
        <v>2059</v>
      </c>
      <c r="B2060" t="s">
        <v>6936</v>
      </c>
      <c r="C2060">
        <v>250</v>
      </c>
      <c r="D2060">
        <v>750</v>
      </c>
      <c r="E2060">
        <v>50</v>
      </c>
      <c r="F2060" s="60">
        <v>45071</v>
      </c>
    </row>
    <row r="2061" spans="1:6">
      <c r="A2061">
        <v>2060</v>
      </c>
      <c r="B2061" t="s">
        <v>6939</v>
      </c>
      <c r="C2061">
        <v>250</v>
      </c>
      <c r="D2061">
        <v>750</v>
      </c>
      <c r="E2061">
        <v>50</v>
      </c>
      <c r="F2061" s="61">
        <v>45026</v>
      </c>
    </row>
    <row r="2062" spans="1:6">
      <c r="A2062">
        <v>2061</v>
      </c>
      <c r="B2062" t="s">
        <v>6942</v>
      </c>
      <c r="C2062">
        <v>500</v>
      </c>
      <c r="D2062">
        <v>500</v>
      </c>
      <c r="E2062">
        <v>50</v>
      </c>
      <c r="F2062" s="60">
        <v>44915</v>
      </c>
    </row>
    <row r="2063" spans="1:6">
      <c r="A2063">
        <v>2062</v>
      </c>
      <c r="B2063" t="s">
        <v>6945</v>
      </c>
      <c r="C2063">
        <v>100000</v>
      </c>
      <c r="D2063">
        <v>0</v>
      </c>
      <c r="E2063" t="s">
        <v>16642</v>
      </c>
      <c r="F2063" s="76">
        <v>45070</v>
      </c>
    </row>
    <row r="2064" spans="1:6">
      <c r="A2064">
        <v>2063</v>
      </c>
      <c r="B2064" t="s">
        <v>6949</v>
      </c>
      <c r="C2064">
        <v>1000</v>
      </c>
      <c r="D2064">
        <v>0</v>
      </c>
      <c r="E2064">
        <v>50</v>
      </c>
      <c r="F2064" s="67">
        <v>44959</v>
      </c>
    </row>
    <row r="2065" spans="1:6">
      <c r="A2065">
        <v>2064</v>
      </c>
      <c r="B2065" t="s">
        <v>6952</v>
      </c>
      <c r="C2065">
        <v>250</v>
      </c>
      <c r="D2065">
        <v>750</v>
      </c>
      <c r="E2065">
        <v>50</v>
      </c>
      <c r="F2065" s="61">
        <v>44847</v>
      </c>
    </row>
    <row r="2066" spans="1:6">
      <c r="A2066">
        <v>2065</v>
      </c>
      <c r="B2066" t="s">
        <v>6955</v>
      </c>
      <c r="C2066">
        <v>12500</v>
      </c>
      <c r="D2066">
        <v>37500</v>
      </c>
      <c r="E2066">
        <v>2500</v>
      </c>
      <c r="F2066" s="77">
        <v>44883</v>
      </c>
    </row>
    <row r="2067" spans="1:6">
      <c r="A2067">
        <v>2066</v>
      </c>
      <c r="B2067" t="s">
        <v>6958</v>
      </c>
      <c r="C2067">
        <v>250</v>
      </c>
      <c r="D2067">
        <v>750</v>
      </c>
      <c r="E2067">
        <v>50</v>
      </c>
      <c r="F2067" s="70">
        <v>44925</v>
      </c>
    </row>
    <row r="2068" spans="1:6">
      <c r="A2068">
        <v>2067</v>
      </c>
      <c r="B2068" t="s">
        <v>6961</v>
      </c>
      <c r="C2068">
        <v>250</v>
      </c>
      <c r="D2068">
        <v>750</v>
      </c>
      <c r="E2068">
        <v>50</v>
      </c>
      <c r="F2068" s="73">
        <v>44960</v>
      </c>
    </row>
    <row r="2069" spans="1:6">
      <c r="A2069">
        <v>2068</v>
      </c>
      <c r="B2069" t="s">
        <v>6964</v>
      </c>
      <c r="C2069">
        <v>250</v>
      </c>
      <c r="D2069">
        <v>750</v>
      </c>
      <c r="E2069">
        <v>50</v>
      </c>
      <c r="F2069" s="69">
        <v>45042</v>
      </c>
    </row>
    <row r="2070" spans="1:6">
      <c r="A2070">
        <v>2069</v>
      </c>
      <c r="B2070" t="s">
        <v>6967</v>
      </c>
      <c r="C2070">
        <v>250</v>
      </c>
      <c r="D2070">
        <v>750</v>
      </c>
      <c r="E2070">
        <v>50</v>
      </c>
      <c r="F2070" s="60">
        <v>45040</v>
      </c>
    </row>
    <row r="2071" spans="1:6">
      <c r="A2071">
        <v>2070</v>
      </c>
      <c r="B2071" t="s">
        <v>6970</v>
      </c>
      <c r="C2071">
        <v>250</v>
      </c>
      <c r="D2071">
        <v>750</v>
      </c>
      <c r="E2071">
        <v>50</v>
      </c>
      <c r="F2071" s="73">
        <v>45026</v>
      </c>
    </row>
    <row r="2072" spans="1:6">
      <c r="A2072">
        <v>2071</v>
      </c>
      <c r="B2072" t="s">
        <v>6973</v>
      </c>
      <c r="C2072">
        <v>250</v>
      </c>
      <c r="D2072">
        <v>750</v>
      </c>
      <c r="E2072">
        <v>50</v>
      </c>
      <c r="F2072" s="60">
        <v>44925</v>
      </c>
    </row>
    <row r="2073" spans="1:6">
      <c r="A2073">
        <v>2072</v>
      </c>
      <c r="B2073" t="s">
        <v>6976</v>
      </c>
      <c r="C2073">
        <v>250</v>
      </c>
      <c r="D2073">
        <v>750</v>
      </c>
      <c r="E2073">
        <v>50</v>
      </c>
      <c r="F2073" s="60">
        <v>44903</v>
      </c>
    </row>
    <row r="2074" spans="1:6">
      <c r="A2074">
        <v>2073</v>
      </c>
      <c r="B2074" t="s">
        <v>6979</v>
      </c>
      <c r="C2074">
        <v>250</v>
      </c>
      <c r="D2074">
        <v>750</v>
      </c>
      <c r="E2074">
        <v>50</v>
      </c>
      <c r="F2074" s="60">
        <v>44851</v>
      </c>
    </row>
    <row r="2075" spans="1:6">
      <c r="A2075">
        <v>2074</v>
      </c>
      <c r="B2075" t="s">
        <v>6983</v>
      </c>
      <c r="C2075">
        <v>250</v>
      </c>
      <c r="D2075">
        <v>750</v>
      </c>
      <c r="E2075">
        <v>50</v>
      </c>
      <c r="F2075" s="60">
        <v>44931</v>
      </c>
    </row>
    <row r="2076" spans="1:6">
      <c r="A2076">
        <v>2075</v>
      </c>
      <c r="B2076" t="s">
        <v>6986</v>
      </c>
      <c r="C2076">
        <v>1000</v>
      </c>
      <c r="D2076">
        <v>0</v>
      </c>
      <c r="E2076">
        <v>50</v>
      </c>
      <c r="F2076" s="69">
        <v>44991</v>
      </c>
    </row>
    <row r="2077" spans="1:6">
      <c r="A2077">
        <v>2076</v>
      </c>
      <c r="B2077" t="s">
        <v>6989</v>
      </c>
      <c r="C2077">
        <v>250</v>
      </c>
      <c r="D2077">
        <v>750</v>
      </c>
      <c r="E2077">
        <v>50</v>
      </c>
      <c r="F2077" s="72">
        <v>44849</v>
      </c>
    </row>
    <row r="2078" spans="1:6">
      <c r="A2078">
        <v>2077</v>
      </c>
      <c r="B2078" t="s">
        <v>6992</v>
      </c>
      <c r="C2078">
        <v>2000</v>
      </c>
      <c r="D2078">
        <v>0</v>
      </c>
      <c r="E2078">
        <v>100</v>
      </c>
      <c r="F2078" s="79">
        <v>44954</v>
      </c>
    </row>
    <row r="2079" spans="1:6">
      <c r="A2079">
        <v>2078</v>
      </c>
      <c r="B2079" t="s">
        <v>6995</v>
      </c>
      <c r="C2079">
        <v>250</v>
      </c>
      <c r="D2079">
        <v>750</v>
      </c>
      <c r="E2079">
        <v>50</v>
      </c>
      <c r="F2079" s="60">
        <v>44950</v>
      </c>
    </row>
    <row r="2080" spans="1:6">
      <c r="A2080">
        <v>2079</v>
      </c>
      <c r="B2080" t="s">
        <v>6999</v>
      </c>
      <c r="C2080">
        <v>50000</v>
      </c>
      <c r="D2080">
        <v>0</v>
      </c>
      <c r="F2080" s="65">
        <v>44309</v>
      </c>
    </row>
    <row r="2081" spans="1:6">
      <c r="A2081">
        <v>2080</v>
      </c>
      <c r="B2081" t="s">
        <v>7003</v>
      </c>
      <c r="C2081">
        <v>250</v>
      </c>
      <c r="D2081">
        <v>750</v>
      </c>
      <c r="E2081">
        <v>50</v>
      </c>
      <c r="F2081" s="60">
        <v>44916</v>
      </c>
    </row>
    <row r="2082" spans="1:6">
      <c r="A2082">
        <v>2081</v>
      </c>
      <c r="B2082" t="s">
        <v>7006</v>
      </c>
      <c r="C2082">
        <v>250</v>
      </c>
      <c r="D2082">
        <v>750</v>
      </c>
      <c r="E2082">
        <v>50</v>
      </c>
      <c r="F2082" s="61">
        <v>44877</v>
      </c>
    </row>
    <row r="2083" spans="1:6">
      <c r="A2083">
        <v>2082</v>
      </c>
      <c r="B2083" t="s">
        <v>7009</v>
      </c>
      <c r="C2083">
        <v>100000</v>
      </c>
      <c r="D2083">
        <v>0</v>
      </c>
      <c r="E2083" t="s">
        <v>16642</v>
      </c>
      <c r="F2083" s="100"/>
    </row>
    <row r="2084" spans="1:6">
      <c r="A2084">
        <v>2083</v>
      </c>
      <c r="B2084" t="s">
        <v>7013</v>
      </c>
      <c r="C2084">
        <v>100000</v>
      </c>
      <c r="D2084">
        <v>0</v>
      </c>
      <c r="E2084" t="s">
        <v>16642</v>
      </c>
      <c r="F2084" s="76">
        <v>44936</v>
      </c>
    </row>
    <row r="2085" spans="1:6">
      <c r="A2085">
        <v>2084</v>
      </c>
      <c r="B2085" t="s">
        <v>7016</v>
      </c>
      <c r="C2085">
        <v>250</v>
      </c>
      <c r="D2085">
        <v>750</v>
      </c>
      <c r="E2085">
        <v>50</v>
      </c>
      <c r="F2085" s="69">
        <v>44896</v>
      </c>
    </row>
    <row r="2086" spans="1:6">
      <c r="A2086">
        <v>2085</v>
      </c>
      <c r="B2086" t="s">
        <v>7019</v>
      </c>
      <c r="C2086">
        <v>250</v>
      </c>
      <c r="D2086">
        <v>750</v>
      </c>
      <c r="E2086">
        <v>50</v>
      </c>
      <c r="F2086" s="61">
        <v>44928</v>
      </c>
    </row>
    <row r="2087" spans="1:6">
      <c r="A2087">
        <v>2086</v>
      </c>
      <c r="B2087" t="s">
        <v>7022</v>
      </c>
      <c r="C2087">
        <v>250</v>
      </c>
      <c r="D2087">
        <v>750</v>
      </c>
      <c r="E2087">
        <v>50</v>
      </c>
      <c r="F2087" s="61">
        <v>44922</v>
      </c>
    </row>
    <row r="2088" spans="1:6">
      <c r="A2088">
        <v>2087</v>
      </c>
      <c r="B2088" t="s">
        <v>7026</v>
      </c>
      <c r="C2088">
        <v>250</v>
      </c>
      <c r="D2088">
        <v>750</v>
      </c>
      <c r="E2088">
        <v>50</v>
      </c>
      <c r="F2088" s="60">
        <v>44910</v>
      </c>
    </row>
    <row r="2089" spans="1:6">
      <c r="A2089">
        <v>2088</v>
      </c>
      <c r="B2089" t="s">
        <v>7029</v>
      </c>
      <c r="C2089">
        <v>250</v>
      </c>
      <c r="D2089">
        <v>750</v>
      </c>
      <c r="E2089">
        <v>50</v>
      </c>
      <c r="F2089" s="61">
        <v>44825</v>
      </c>
    </row>
    <row r="2090" spans="1:6">
      <c r="A2090">
        <v>2089</v>
      </c>
      <c r="B2090" t="s">
        <v>7033</v>
      </c>
      <c r="C2090">
        <v>250</v>
      </c>
      <c r="D2090">
        <v>750</v>
      </c>
      <c r="E2090">
        <v>50</v>
      </c>
      <c r="F2090" s="60">
        <v>44950</v>
      </c>
    </row>
    <row r="2091" spans="1:6">
      <c r="A2091">
        <v>2090</v>
      </c>
      <c r="B2091" t="s">
        <v>7036</v>
      </c>
      <c r="C2091">
        <v>250</v>
      </c>
      <c r="D2091">
        <v>750</v>
      </c>
      <c r="E2091">
        <v>50</v>
      </c>
      <c r="F2091" s="69">
        <v>44847</v>
      </c>
    </row>
    <row r="2092" spans="1:6">
      <c r="A2092">
        <v>2091</v>
      </c>
      <c r="B2092" t="s">
        <v>7039</v>
      </c>
      <c r="C2092">
        <v>250</v>
      </c>
      <c r="D2092">
        <v>750</v>
      </c>
      <c r="E2092">
        <v>50</v>
      </c>
      <c r="F2092" s="61">
        <v>44866</v>
      </c>
    </row>
    <row r="2093" spans="1:6">
      <c r="A2093">
        <v>2092</v>
      </c>
      <c r="B2093" t="s">
        <v>7042</v>
      </c>
      <c r="C2093">
        <v>1000000</v>
      </c>
      <c r="D2093">
        <v>500000</v>
      </c>
      <c r="E2093" t="s">
        <v>16642</v>
      </c>
      <c r="F2093" s="90">
        <v>45082</v>
      </c>
    </row>
    <row r="2094" spans="1:6">
      <c r="A2094">
        <v>2093</v>
      </c>
      <c r="B2094" t="s">
        <v>7042</v>
      </c>
      <c r="C2094">
        <v>1000000</v>
      </c>
      <c r="D2094">
        <v>500000</v>
      </c>
      <c r="E2094" t="s">
        <v>16642</v>
      </c>
      <c r="F2094" s="90">
        <v>45080</v>
      </c>
    </row>
    <row r="2095" ht="15" spans="1:6">
      <c r="A2095">
        <v>2094</v>
      </c>
      <c r="B2095" t="s">
        <v>7042</v>
      </c>
      <c r="C2095">
        <v>1014900</v>
      </c>
      <c r="D2095">
        <v>2485100</v>
      </c>
      <c r="E2095" t="s">
        <v>16642</v>
      </c>
      <c r="F2095" s="97">
        <v>45134</v>
      </c>
    </row>
    <row r="2096" ht="15" spans="1:6">
      <c r="A2096">
        <v>2095</v>
      </c>
      <c r="B2096" t="s">
        <v>7042</v>
      </c>
      <c r="C2096">
        <v>1000000</v>
      </c>
      <c r="D2096">
        <v>2500000</v>
      </c>
      <c r="E2096" t="s">
        <v>16642</v>
      </c>
      <c r="F2096" s="97">
        <v>45149</v>
      </c>
    </row>
    <row r="2097" spans="1:6">
      <c r="A2097">
        <v>2096</v>
      </c>
      <c r="B2097" t="s">
        <v>7047</v>
      </c>
      <c r="C2097">
        <v>50000</v>
      </c>
      <c r="D2097">
        <v>0</v>
      </c>
      <c r="E2097">
        <v>2500</v>
      </c>
      <c r="F2097" s="64" t="s">
        <v>16763</v>
      </c>
    </row>
    <row r="2098" spans="1:6">
      <c r="A2098">
        <v>2097</v>
      </c>
      <c r="B2098" t="s">
        <v>7051</v>
      </c>
      <c r="C2098">
        <v>250</v>
      </c>
      <c r="D2098">
        <v>750</v>
      </c>
      <c r="E2098">
        <v>50</v>
      </c>
      <c r="F2098" s="60">
        <v>44972</v>
      </c>
    </row>
    <row r="2099" spans="1:6">
      <c r="A2099">
        <v>2098</v>
      </c>
      <c r="B2099" t="s">
        <v>7054</v>
      </c>
      <c r="C2099">
        <v>1000</v>
      </c>
      <c r="D2099">
        <v>0</v>
      </c>
      <c r="E2099">
        <v>50</v>
      </c>
      <c r="F2099" s="60">
        <v>44869</v>
      </c>
    </row>
    <row r="2100" spans="1:6">
      <c r="A2100">
        <v>2099</v>
      </c>
      <c r="B2100" t="s">
        <v>7057</v>
      </c>
      <c r="C2100">
        <v>250</v>
      </c>
      <c r="D2100">
        <v>750</v>
      </c>
      <c r="E2100">
        <v>50</v>
      </c>
      <c r="F2100" s="60">
        <v>44965</v>
      </c>
    </row>
    <row r="2101" spans="1:6">
      <c r="A2101">
        <v>2100</v>
      </c>
      <c r="B2101" t="s">
        <v>7060</v>
      </c>
      <c r="C2101">
        <v>1000</v>
      </c>
      <c r="D2101">
        <v>0</v>
      </c>
      <c r="E2101">
        <v>50</v>
      </c>
      <c r="F2101" s="60">
        <v>44849</v>
      </c>
    </row>
    <row r="2102" spans="1:6">
      <c r="A2102">
        <v>2101</v>
      </c>
      <c r="B2102" t="s">
        <v>7064</v>
      </c>
      <c r="C2102">
        <v>250</v>
      </c>
      <c r="D2102">
        <v>750</v>
      </c>
      <c r="E2102">
        <v>50</v>
      </c>
      <c r="F2102" s="60">
        <v>44844</v>
      </c>
    </row>
    <row r="2103" spans="1:6">
      <c r="A2103">
        <v>2102</v>
      </c>
      <c r="B2103" t="s">
        <v>7068</v>
      </c>
      <c r="C2103">
        <v>5000</v>
      </c>
      <c r="D2103">
        <v>0</v>
      </c>
      <c r="E2103">
        <v>250</v>
      </c>
      <c r="F2103" s="64" t="s">
        <v>16724</v>
      </c>
    </row>
    <row r="2104" spans="1:6">
      <c r="A2104">
        <v>2103</v>
      </c>
      <c r="B2104" t="s">
        <v>7072</v>
      </c>
      <c r="C2104">
        <v>250</v>
      </c>
      <c r="D2104">
        <v>750</v>
      </c>
      <c r="E2104">
        <v>50</v>
      </c>
      <c r="F2104" s="61">
        <v>44839</v>
      </c>
    </row>
    <row r="2105" spans="1:6">
      <c r="A2105">
        <v>2104</v>
      </c>
      <c r="B2105" t="s">
        <v>7075</v>
      </c>
      <c r="C2105">
        <v>10000</v>
      </c>
      <c r="D2105">
        <v>0</v>
      </c>
      <c r="E2105">
        <v>500</v>
      </c>
      <c r="F2105" s="64" t="s">
        <v>16773</v>
      </c>
    </row>
    <row r="2106" spans="1:6">
      <c r="A2106">
        <v>2105</v>
      </c>
      <c r="B2106" t="s">
        <v>7079</v>
      </c>
      <c r="C2106">
        <v>250</v>
      </c>
      <c r="D2106">
        <v>750</v>
      </c>
      <c r="E2106">
        <v>50</v>
      </c>
      <c r="F2106" s="72">
        <v>44986</v>
      </c>
    </row>
    <row r="2107" spans="1:6">
      <c r="A2107">
        <v>2106</v>
      </c>
      <c r="B2107" t="s">
        <v>7083</v>
      </c>
      <c r="C2107">
        <v>20000</v>
      </c>
      <c r="D2107">
        <v>0</v>
      </c>
      <c r="E2107">
        <v>1000</v>
      </c>
      <c r="F2107" s="64" t="s">
        <v>16742</v>
      </c>
    </row>
    <row r="2108" spans="1:6">
      <c r="A2108">
        <v>2107</v>
      </c>
      <c r="B2108" t="s">
        <v>7086</v>
      </c>
      <c r="C2108">
        <v>10000</v>
      </c>
      <c r="D2108">
        <v>0</v>
      </c>
      <c r="E2108">
        <v>500</v>
      </c>
      <c r="F2108" s="64" t="s">
        <v>16698</v>
      </c>
    </row>
    <row r="2109" spans="1:6">
      <c r="A2109">
        <v>2108</v>
      </c>
      <c r="B2109" t="s">
        <v>7090</v>
      </c>
      <c r="C2109">
        <v>10000</v>
      </c>
      <c r="D2109">
        <v>0</v>
      </c>
      <c r="E2109">
        <v>500</v>
      </c>
      <c r="F2109" s="64" t="s">
        <v>16710</v>
      </c>
    </row>
    <row r="2110" spans="1:6">
      <c r="A2110">
        <v>2109</v>
      </c>
      <c r="B2110" t="s">
        <v>7094</v>
      </c>
      <c r="C2110">
        <v>250</v>
      </c>
      <c r="D2110">
        <v>750</v>
      </c>
      <c r="E2110">
        <v>50</v>
      </c>
      <c r="F2110" s="73">
        <v>44844</v>
      </c>
    </row>
    <row r="2111" spans="1:6">
      <c r="A2111">
        <v>2110</v>
      </c>
      <c r="B2111" t="s">
        <v>7097</v>
      </c>
      <c r="C2111">
        <v>10000</v>
      </c>
      <c r="D2111">
        <v>0</v>
      </c>
      <c r="E2111">
        <v>500</v>
      </c>
      <c r="F2111" s="64" t="s">
        <v>16748</v>
      </c>
    </row>
    <row r="2112" spans="1:6">
      <c r="A2112">
        <v>2111</v>
      </c>
      <c r="B2112" t="s">
        <v>7101</v>
      </c>
      <c r="C2112">
        <v>60000</v>
      </c>
      <c r="D2112">
        <v>0</v>
      </c>
      <c r="F2112" s="65">
        <v>44298</v>
      </c>
    </row>
    <row r="2113" spans="1:6">
      <c r="A2113">
        <v>2112</v>
      </c>
      <c r="B2113" t="s">
        <v>7106</v>
      </c>
      <c r="C2113">
        <v>6220</v>
      </c>
      <c r="D2113">
        <v>3980</v>
      </c>
      <c r="E2113">
        <v>230</v>
      </c>
      <c r="F2113" s="77">
        <v>44816</v>
      </c>
    </row>
    <row r="2114" spans="1:6">
      <c r="A2114">
        <v>2113</v>
      </c>
      <c r="B2114" t="s">
        <v>7109</v>
      </c>
      <c r="C2114">
        <v>2000</v>
      </c>
      <c r="D2114">
        <v>0</v>
      </c>
      <c r="E2114">
        <v>100</v>
      </c>
      <c r="F2114" s="77">
        <v>44663</v>
      </c>
    </row>
    <row r="2115" ht="15" spans="1:6">
      <c r="A2115">
        <v>2114</v>
      </c>
      <c r="B2115" t="s">
        <v>7112</v>
      </c>
      <c r="C2115">
        <v>1000000</v>
      </c>
      <c r="D2115">
        <v>500000</v>
      </c>
      <c r="E2115" t="s">
        <v>16642</v>
      </c>
      <c r="F2115" s="98">
        <f>IFERROR(__xludf.DUMMYFUNCTION("""COMPUTED_VALUE"""),45083)</f>
        <v>45083</v>
      </c>
    </row>
    <row r="2116" ht="15" spans="1:6">
      <c r="A2116">
        <v>2115</v>
      </c>
      <c r="B2116" t="s">
        <v>7112</v>
      </c>
      <c r="C2116">
        <v>1000000</v>
      </c>
      <c r="D2116">
        <v>500000</v>
      </c>
      <c r="E2116" t="s">
        <v>16642</v>
      </c>
      <c r="F2116" s="98">
        <f>IFERROR(__xludf.DUMMYFUNCTION("""COMPUTED_VALUE"""),45083)</f>
        <v>45083</v>
      </c>
    </row>
    <row r="2117" spans="1:6">
      <c r="A2117">
        <v>2116</v>
      </c>
      <c r="B2117" t="s">
        <v>7113</v>
      </c>
      <c r="C2117">
        <v>12500</v>
      </c>
      <c r="D2117">
        <v>37500</v>
      </c>
      <c r="E2117">
        <v>2500</v>
      </c>
      <c r="F2117" s="64" t="s">
        <v>16774</v>
      </c>
    </row>
    <row r="2118" spans="1:6">
      <c r="A2118">
        <v>2117</v>
      </c>
      <c r="B2118" t="s">
        <v>7117</v>
      </c>
      <c r="C2118">
        <v>1000</v>
      </c>
      <c r="D2118">
        <v>0</v>
      </c>
      <c r="E2118">
        <v>50</v>
      </c>
      <c r="F2118" s="65">
        <v>44523</v>
      </c>
    </row>
    <row r="2119" spans="1:6">
      <c r="A2119">
        <v>2118</v>
      </c>
      <c r="B2119" t="s">
        <v>7121</v>
      </c>
      <c r="C2119">
        <v>500</v>
      </c>
      <c r="D2119">
        <v>1500</v>
      </c>
      <c r="E2119">
        <v>100</v>
      </c>
      <c r="F2119" s="75">
        <v>44853</v>
      </c>
    </row>
    <row r="2120" spans="1:6">
      <c r="A2120">
        <v>2119</v>
      </c>
      <c r="B2120" t="s">
        <v>7124</v>
      </c>
      <c r="C2120">
        <v>1500000</v>
      </c>
      <c r="D2120">
        <v>0</v>
      </c>
      <c r="E2120" t="s">
        <v>16642</v>
      </c>
      <c r="F2120" s="80">
        <f>IFERROR(__xludf.DUMMYFUNCTION("""COMPUTED_VALUE"""),45080)</f>
        <v>45080</v>
      </c>
    </row>
    <row r="2121" spans="1:6">
      <c r="A2121">
        <v>2120</v>
      </c>
      <c r="B2121" t="s">
        <v>7125</v>
      </c>
      <c r="C2121">
        <v>10000</v>
      </c>
      <c r="D2121">
        <v>0</v>
      </c>
      <c r="E2121">
        <v>500</v>
      </c>
      <c r="F2121" s="64" t="s">
        <v>16662</v>
      </c>
    </row>
    <row r="2122" spans="1:6">
      <c r="A2122">
        <v>2121</v>
      </c>
      <c r="B2122" t="s">
        <v>7129</v>
      </c>
      <c r="C2122">
        <v>100000</v>
      </c>
      <c r="D2122">
        <v>0</v>
      </c>
      <c r="E2122" t="s">
        <v>16642</v>
      </c>
      <c r="F2122" s="76">
        <v>44935</v>
      </c>
    </row>
    <row r="2123" spans="1:6">
      <c r="A2123">
        <v>2122</v>
      </c>
      <c r="B2123" t="s">
        <v>7134</v>
      </c>
      <c r="C2123">
        <v>100000</v>
      </c>
      <c r="D2123">
        <v>0</v>
      </c>
      <c r="E2123" t="s">
        <v>16642</v>
      </c>
      <c r="F2123" s="76">
        <v>44936</v>
      </c>
    </row>
    <row r="2124" spans="1:6">
      <c r="A2124">
        <v>2123</v>
      </c>
      <c r="B2124" t="s">
        <v>7138</v>
      </c>
      <c r="C2124">
        <v>25000</v>
      </c>
      <c r="D2124">
        <v>25000</v>
      </c>
      <c r="E2124">
        <v>2500</v>
      </c>
      <c r="F2124" s="74">
        <v>45066</v>
      </c>
    </row>
    <row r="2125" spans="1:6">
      <c r="A2125">
        <v>2124</v>
      </c>
      <c r="B2125" t="s">
        <v>7141</v>
      </c>
      <c r="C2125">
        <v>100000</v>
      </c>
      <c r="D2125">
        <v>0</v>
      </c>
      <c r="E2125" t="s">
        <v>16642</v>
      </c>
      <c r="F2125" s="76">
        <v>44859</v>
      </c>
    </row>
    <row r="2126" spans="1:6">
      <c r="A2126">
        <v>2125</v>
      </c>
      <c r="B2126" t="s">
        <v>7144</v>
      </c>
      <c r="C2126">
        <v>1000000</v>
      </c>
      <c r="D2126">
        <v>0</v>
      </c>
      <c r="E2126" t="s">
        <v>16642</v>
      </c>
      <c r="F2126" s="104"/>
    </row>
    <row r="2127" spans="1:6">
      <c r="A2127">
        <v>2126</v>
      </c>
      <c r="B2127" t="s">
        <v>7149</v>
      </c>
      <c r="C2127">
        <v>1000</v>
      </c>
      <c r="D2127">
        <v>0</v>
      </c>
      <c r="E2127">
        <v>50</v>
      </c>
      <c r="F2127" s="61">
        <v>44995</v>
      </c>
    </row>
    <row r="2128" spans="1:6">
      <c r="A2128">
        <v>2127</v>
      </c>
      <c r="B2128" t="s">
        <v>7154</v>
      </c>
      <c r="C2128">
        <v>250</v>
      </c>
      <c r="D2128">
        <v>750</v>
      </c>
      <c r="E2128">
        <v>50</v>
      </c>
      <c r="F2128" s="77">
        <v>44788</v>
      </c>
    </row>
    <row r="2129" spans="1:6">
      <c r="A2129">
        <v>2128</v>
      </c>
      <c r="B2129" t="s">
        <v>7157</v>
      </c>
      <c r="C2129">
        <v>250</v>
      </c>
      <c r="D2129">
        <v>750</v>
      </c>
      <c r="E2129">
        <v>50</v>
      </c>
      <c r="F2129" s="73">
        <v>45024</v>
      </c>
    </row>
    <row r="2130" spans="1:6">
      <c r="A2130">
        <v>2129</v>
      </c>
      <c r="B2130" t="s">
        <v>7160</v>
      </c>
      <c r="C2130">
        <v>250</v>
      </c>
      <c r="D2130">
        <v>750</v>
      </c>
      <c r="E2130">
        <v>50</v>
      </c>
      <c r="F2130" s="61">
        <v>44893</v>
      </c>
    </row>
    <row r="2131" spans="1:6">
      <c r="A2131">
        <v>2130</v>
      </c>
      <c r="B2131" t="s">
        <v>7163</v>
      </c>
      <c r="C2131">
        <v>100000</v>
      </c>
      <c r="D2131">
        <v>0</v>
      </c>
      <c r="E2131" t="s">
        <v>16642</v>
      </c>
      <c r="F2131" s="66"/>
    </row>
    <row r="2132" spans="1:6">
      <c r="A2132">
        <v>2131</v>
      </c>
      <c r="B2132" t="s">
        <v>7167</v>
      </c>
      <c r="C2132">
        <v>1000</v>
      </c>
      <c r="D2132">
        <v>0</v>
      </c>
      <c r="E2132">
        <v>50</v>
      </c>
      <c r="F2132" s="79">
        <v>44939</v>
      </c>
    </row>
    <row r="2133" spans="1:6">
      <c r="A2133">
        <v>2132</v>
      </c>
      <c r="B2133" t="s">
        <v>7170</v>
      </c>
      <c r="C2133">
        <v>11000</v>
      </c>
      <c r="D2133">
        <v>0</v>
      </c>
      <c r="E2133">
        <v>50</v>
      </c>
      <c r="F2133" s="79">
        <v>44939</v>
      </c>
    </row>
    <row r="2134" spans="1:6">
      <c r="A2134">
        <v>2133</v>
      </c>
      <c r="B2134" t="s">
        <v>7173</v>
      </c>
      <c r="C2134">
        <v>3000</v>
      </c>
      <c r="D2134">
        <v>0</v>
      </c>
      <c r="E2134">
        <v>150</v>
      </c>
      <c r="F2134" s="79">
        <v>44941</v>
      </c>
    </row>
    <row r="2135" spans="1:6">
      <c r="A2135">
        <v>2134</v>
      </c>
      <c r="B2135" t="s">
        <v>7176</v>
      </c>
      <c r="C2135">
        <v>25000</v>
      </c>
      <c r="D2135">
        <v>0</v>
      </c>
      <c r="E2135">
        <v>1250</v>
      </c>
      <c r="F2135" s="65">
        <v>44497</v>
      </c>
    </row>
    <row r="2136" spans="1:6">
      <c r="A2136">
        <v>2135</v>
      </c>
      <c r="B2136" t="s">
        <v>7181</v>
      </c>
      <c r="C2136">
        <v>1000</v>
      </c>
      <c r="D2136">
        <v>0</v>
      </c>
      <c r="E2136">
        <v>50</v>
      </c>
      <c r="F2136" s="78">
        <v>44898</v>
      </c>
    </row>
    <row r="2137" ht="15" spans="1:6">
      <c r="A2137">
        <v>2136</v>
      </c>
      <c r="B2137" t="s">
        <v>7184</v>
      </c>
      <c r="C2137">
        <v>1500000</v>
      </c>
      <c r="D2137">
        <v>0</v>
      </c>
      <c r="E2137" t="s">
        <v>16642</v>
      </c>
      <c r="F2137" s="98">
        <f>IFERROR(__xludf.DUMMYFUNCTION("""COMPUTED_VALUE"""),45079)</f>
        <v>45079</v>
      </c>
    </row>
    <row r="2138" ht="15" spans="1:6">
      <c r="A2138">
        <v>2137</v>
      </c>
      <c r="B2138" t="s">
        <v>7184</v>
      </c>
      <c r="C2138">
        <v>1500000</v>
      </c>
      <c r="D2138">
        <v>0</v>
      </c>
      <c r="E2138" t="s">
        <v>16642</v>
      </c>
      <c r="F2138" s="98">
        <f>IFERROR(__xludf.DUMMYFUNCTION("""COMPUTED_VALUE"""),45079)</f>
        <v>45079</v>
      </c>
    </row>
    <row r="2139" spans="1:6">
      <c r="A2139">
        <v>2138</v>
      </c>
      <c r="B2139" t="s">
        <v>7185</v>
      </c>
      <c r="C2139">
        <v>1500</v>
      </c>
      <c r="D2139">
        <v>0</v>
      </c>
      <c r="E2139">
        <v>75</v>
      </c>
      <c r="F2139" s="64" t="s">
        <v>16775</v>
      </c>
    </row>
    <row r="2140" spans="1:6">
      <c r="A2140">
        <v>2139</v>
      </c>
      <c r="B2140" t="s">
        <v>7190</v>
      </c>
      <c r="C2140">
        <v>250</v>
      </c>
      <c r="D2140">
        <v>750</v>
      </c>
      <c r="E2140">
        <v>50</v>
      </c>
      <c r="F2140" s="60">
        <v>44985</v>
      </c>
    </row>
    <row r="2141" spans="1:6">
      <c r="A2141">
        <v>2140</v>
      </c>
      <c r="B2141" t="s">
        <v>7193</v>
      </c>
      <c r="C2141">
        <v>250</v>
      </c>
      <c r="D2141">
        <v>750</v>
      </c>
      <c r="E2141">
        <v>50</v>
      </c>
      <c r="F2141" s="60">
        <v>45015</v>
      </c>
    </row>
    <row r="2142" spans="1:6">
      <c r="A2142">
        <v>2141</v>
      </c>
      <c r="B2142" t="s">
        <v>7197</v>
      </c>
      <c r="C2142">
        <v>10000</v>
      </c>
      <c r="D2142">
        <v>0</v>
      </c>
      <c r="E2142">
        <v>500</v>
      </c>
      <c r="F2142" s="67">
        <v>44950</v>
      </c>
    </row>
    <row r="2143" ht="15" spans="1:6">
      <c r="A2143">
        <v>2142</v>
      </c>
      <c r="B2143" t="s">
        <v>7200</v>
      </c>
      <c r="C2143">
        <v>1000000</v>
      </c>
      <c r="D2143">
        <v>500000</v>
      </c>
      <c r="E2143" t="s">
        <v>16642</v>
      </c>
      <c r="F2143" s="81">
        <f>IFERROR(__xludf.DUMMYFUNCTION("""COMPUTED_VALUE"""),45084)</f>
        <v>45084</v>
      </c>
    </row>
    <row r="2144" ht="15" spans="1:6">
      <c r="A2144">
        <v>2143</v>
      </c>
      <c r="B2144" t="s">
        <v>7203</v>
      </c>
      <c r="C2144">
        <v>200000</v>
      </c>
      <c r="D2144">
        <v>3300000</v>
      </c>
      <c r="E2144" t="s">
        <v>16642</v>
      </c>
      <c r="F2144" s="92">
        <v>45143</v>
      </c>
    </row>
    <row r="2145" spans="1:6">
      <c r="A2145">
        <v>2144</v>
      </c>
      <c r="B2145" t="s">
        <v>7206</v>
      </c>
      <c r="C2145">
        <v>37000</v>
      </c>
      <c r="D2145">
        <v>63000</v>
      </c>
      <c r="E2145">
        <v>200</v>
      </c>
      <c r="F2145" s="77">
        <v>44790</v>
      </c>
    </row>
    <row r="2146" ht="15" spans="1:6">
      <c r="A2146">
        <v>2145</v>
      </c>
      <c r="B2146" t="s">
        <v>7209</v>
      </c>
      <c r="C2146">
        <v>1000000</v>
      </c>
      <c r="D2146">
        <v>500000</v>
      </c>
      <c r="E2146" t="s">
        <v>16642</v>
      </c>
      <c r="F2146" s="81">
        <f>IFERROR(__xludf.DUMMYFUNCTION("""COMPUTED_VALUE"""),45085)</f>
        <v>45085</v>
      </c>
    </row>
    <row r="2147" spans="1:6">
      <c r="A2147">
        <v>2146</v>
      </c>
      <c r="B2147" t="s">
        <v>7210</v>
      </c>
      <c r="C2147">
        <v>1000</v>
      </c>
      <c r="D2147">
        <v>0</v>
      </c>
      <c r="E2147">
        <v>50</v>
      </c>
      <c r="F2147" s="61">
        <v>44960</v>
      </c>
    </row>
    <row r="2148" spans="1:6">
      <c r="A2148">
        <v>2147</v>
      </c>
      <c r="B2148" t="s">
        <v>7214</v>
      </c>
      <c r="C2148">
        <v>1000</v>
      </c>
      <c r="D2148">
        <v>0</v>
      </c>
      <c r="E2148">
        <v>50</v>
      </c>
      <c r="F2148" s="65">
        <v>44516</v>
      </c>
    </row>
    <row r="2149" ht="15" spans="1:6">
      <c r="A2149">
        <v>2148</v>
      </c>
      <c r="B2149" t="s">
        <v>7219</v>
      </c>
      <c r="C2149">
        <v>1000000</v>
      </c>
      <c r="D2149">
        <v>500000</v>
      </c>
      <c r="E2149" t="s">
        <v>16642</v>
      </c>
      <c r="F2149" s="81">
        <f>IFERROR(__xludf.DUMMYFUNCTION("""COMPUTED_VALUE"""),45083)</f>
        <v>45083</v>
      </c>
    </row>
    <row r="2150" spans="1:6">
      <c r="A2150">
        <v>2149</v>
      </c>
      <c r="B2150" t="s">
        <v>7220</v>
      </c>
      <c r="C2150">
        <v>250</v>
      </c>
      <c r="D2150">
        <v>750</v>
      </c>
      <c r="E2150">
        <v>50</v>
      </c>
      <c r="F2150" s="60">
        <v>44851</v>
      </c>
    </row>
    <row r="2151" spans="1:6">
      <c r="A2151">
        <v>2150</v>
      </c>
      <c r="B2151" t="s">
        <v>7223</v>
      </c>
      <c r="C2151">
        <v>250</v>
      </c>
      <c r="D2151">
        <v>750</v>
      </c>
      <c r="E2151">
        <v>50</v>
      </c>
      <c r="F2151" s="61">
        <v>44905</v>
      </c>
    </row>
    <row r="2152" spans="1:6">
      <c r="A2152">
        <v>2151</v>
      </c>
      <c r="B2152" t="s">
        <v>7227</v>
      </c>
      <c r="C2152">
        <v>250</v>
      </c>
      <c r="D2152">
        <v>750</v>
      </c>
      <c r="E2152">
        <v>50</v>
      </c>
      <c r="F2152" s="60">
        <v>44855</v>
      </c>
    </row>
    <row r="2153" spans="1:6">
      <c r="A2153">
        <v>2152</v>
      </c>
      <c r="B2153" t="s">
        <v>7230</v>
      </c>
      <c r="C2153">
        <v>250</v>
      </c>
      <c r="D2153">
        <v>750</v>
      </c>
      <c r="E2153">
        <v>50</v>
      </c>
      <c r="F2153" s="61">
        <v>44853</v>
      </c>
    </row>
    <row r="2154" spans="1:6">
      <c r="A2154">
        <v>2153</v>
      </c>
      <c r="B2154" t="s">
        <v>7233</v>
      </c>
      <c r="C2154">
        <v>5000</v>
      </c>
      <c r="D2154">
        <v>15000</v>
      </c>
      <c r="E2154">
        <v>1000</v>
      </c>
      <c r="F2154" s="65">
        <v>44744</v>
      </c>
    </row>
    <row r="2155" spans="1:6">
      <c r="A2155">
        <v>2154</v>
      </c>
      <c r="B2155" t="s">
        <v>7237</v>
      </c>
      <c r="C2155">
        <v>100000</v>
      </c>
      <c r="D2155">
        <v>0</v>
      </c>
      <c r="E2155" t="s">
        <v>16642</v>
      </c>
      <c r="F2155" s="76">
        <v>44900</v>
      </c>
    </row>
    <row r="2156" spans="1:6">
      <c r="A2156">
        <v>2155</v>
      </c>
      <c r="B2156" t="s">
        <v>7242</v>
      </c>
      <c r="C2156">
        <v>100000</v>
      </c>
      <c r="D2156">
        <v>0</v>
      </c>
      <c r="E2156" t="s">
        <v>16642</v>
      </c>
      <c r="F2156" s="100"/>
    </row>
    <row r="2157" spans="1:6">
      <c r="A2157">
        <v>2156</v>
      </c>
      <c r="B2157" t="s">
        <v>7247</v>
      </c>
      <c r="C2157">
        <v>750</v>
      </c>
      <c r="D2157">
        <v>250</v>
      </c>
      <c r="E2157">
        <v>50</v>
      </c>
      <c r="F2157" s="69">
        <v>45222</v>
      </c>
    </row>
    <row r="2158" spans="1:6">
      <c r="A2158">
        <v>2157</v>
      </c>
      <c r="B2158" t="s">
        <v>7250</v>
      </c>
      <c r="C2158">
        <v>250</v>
      </c>
      <c r="D2158">
        <v>750</v>
      </c>
      <c r="E2158">
        <v>50</v>
      </c>
      <c r="F2158" s="69">
        <v>44929</v>
      </c>
    </row>
    <row r="2159" spans="1:6">
      <c r="A2159">
        <v>2158</v>
      </c>
      <c r="B2159" t="s">
        <v>7253</v>
      </c>
      <c r="C2159">
        <v>250</v>
      </c>
      <c r="D2159">
        <v>750</v>
      </c>
      <c r="E2159">
        <v>50</v>
      </c>
      <c r="F2159" s="61">
        <v>44951</v>
      </c>
    </row>
    <row r="2160" spans="1:6">
      <c r="A2160">
        <v>2159</v>
      </c>
      <c r="B2160" t="s">
        <v>7256</v>
      </c>
      <c r="C2160">
        <v>250</v>
      </c>
      <c r="D2160">
        <v>750</v>
      </c>
      <c r="E2160">
        <v>50</v>
      </c>
      <c r="F2160" s="60">
        <v>45013</v>
      </c>
    </row>
    <row r="2161" spans="1:6">
      <c r="A2161">
        <v>2160</v>
      </c>
      <c r="B2161" t="s">
        <v>7259</v>
      </c>
      <c r="C2161">
        <v>250</v>
      </c>
      <c r="D2161">
        <v>750</v>
      </c>
      <c r="E2161">
        <v>50</v>
      </c>
      <c r="F2161" s="61">
        <v>44859</v>
      </c>
    </row>
    <row r="2162" spans="1:6">
      <c r="A2162">
        <v>2161</v>
      </c>
      <c r="B2162" t="s">
        <v>7262</v>
      </c>
      <c r="C2162">
        <v>250</v>
      </c>
      <c r="D2162">
        <v>750</v>
      </c>
      <c r="E2162">
        <v>50</v>
      </c>
      <c r="F2162" s="70">
        <v>44875</v>
      </c>
    </row>
    <row r="2163" spans="1:6">
      <c r="A2163">
        <v>2162</v>
      </c>
      <c r="B2163" t="s">
        <v>7266</v>
      </c>
      <c r="C2163">
        <v>1000</v>
      </c>
      <c r="D2163">
        <v>0</v>
      </c>
      <c r="E2163">
        <v>50</v>
      </c>
      <c r="F2163" s="69">
        <v>44988</v>
      </c>
    </row>
    <row r="2164" spans="1:6">
      <c r="A2164">
        <v>2163</v>
      </c>
      <c r="B2164" t="s">
        <v>7270</v>
      </c>
      <c r="C2164">
        <v>250</v>
      </c>
      <c r="D2164">
        <v>750</v>
      </c>
      <c r="E2164">
        <v>50</v>
      </c>
      <c r="F2164" s="61">
        <v>44861</v>
      </c>
    </row>
    <row r="2165" spans="1:6">
      <c r="A2165">
        <v>2164</v>
      </c>
      <c r="B2165" t="s">
        <v>7273</v>
      </c>
      <c r="C2165">
        <v>250</v>
      </c>
      <c r="D2165">
        <v>750</v>
      </c>
      <c r="E2165">
        <v>50</v>
      </c>
      <c r="F2165" s="60" t="s">
        <v>16776</v>
      </c>
    </row>
    <row r="2166" spans="1:6">
      <c r="A2166">
        <v>2165</v>
      </c>
      <c r="B2166" t="s">
        <v>7276</v>
      </c>
      <c r="C2166">
        <v>4000</v>
      </c>
      <c r="D2166">
        <v>0</v>
      </c>
      <c r="E2166">
        <v>200</v>
      </c>
      <c r="F2166" s="77">
        <v>44763</v>
      </c>
    </row>
    <row r="2167" spans="1:6">
      <c r="A2167">
        <v>2166</v>
      </c>
      <c r="B2167" t="s">
        <v>7279</v>
      </c>
      <c r="C2167">
        <v>20000</v>
      </c>
      <c r="D2167">
        <v>0</v>
      </c>
      <c r="E2167">
        <v>1000</v>
      </c>
      <c r="F2167" s="67">
        <v>44937</v>
      </c>
    </row>
    <row r="2168" spans="1:6">
      <c r="A2168">
        <v>2167</v>
      </c>
      <c r="B2168" t="s">
        <v>7282</v>
      </c>
      <c r="C2168">
        <v>100000</v>
      </c>
      <c r="D2168">
        <v>0</v>
      </c>
      <c r="E2168" t="s">
        <v>16642</v>
      </c>
      <c r="F2168" s="66"/>
    </row>
    <row r="2169" ht="15" spans="1:6">
      <c r="A2169">
        <v>2168</v>
      </c>
      <c r="B2169" t="s">
        <v>7286</v>
      </c>
      <c r="C2169">
        <v>1500000</v>
      </c>
      <c r="D2169">
        <v>0</v>
      </c>
      <c r="E2169" t="s">
        <v>16642</v>
      </c>
      <c r="F2169" s="129">
        <v>45079</v>
      </c>
    </row>
    <row r="2170" spans="1:6">
      <c r="A2170">
        <v>2169</v>
      </c>
      <c r="B2170" t="s">
        <v>7289</v>
      </c>
      <c r="C2170">
        <v>10000</v>
      </c>
      <c r="D2170">
        <v>0</v>
      </c>
      <c r="E2170">
        <v>500</v>
      </c>
      <c r="F2170" s="64" t="s">
        <v>16665</v>
      </c>
    </row>
    <row r="2171" spans="1:6">
      <c r="A2171">
        <v>2170</v>
      </c>
      <c r="B2171" t="s">
        <v>7294</v>
      </c>
      <c r="C2171">
        <v>250</v>
      </c>
      <c r="D2171">
        <v>750</v>
      </c>
      <c r="E2171">
        <v>50</v>
      </c>
      <c r="F2171" s="60">
        <v>45067</v>
      </c>
    </row>
    <row r="2172" spans="1:6">
      <c r="A2172">
        <v>2171</v>
      </c>
      <c r="B2172" t="s">
        <v>7297</v>
      </c>
      <c r="C2172">
        <v>100000</v>
      </c>
      <c r="D2172">
        <v>0</v>
      </c>
      <c r="E2172" t="s">
        <v>16642</v>
      </c>
      <c r="F2172" s="76">
        <v>44939</v>
      </c>
    </row>
    <row r="2173" spans="1:6">
      <c r="A2173">
        <v>2172</v>
      </c>
      <c r="B2173" t="s">
        <v>7301</v>
      </c>
      <c r="C2173">
        <v>20000</v>
      </c>
      <c r="D2173">
        <v>0</v>
      </c>
      <c r="E2173">
        <v>1000</v>
      </c>
      <c r="F2173" s="109">
        <v>45028</v>
      </c>
    </row>
    <row r="2174" spans="1:6">
      <c r="A2174">
        <v>2173</v>
      </c>
      <c r="B2174" t="s">
        <v>7304</v>
      </c>
      <c r="C2174">
        <v>3000</v>
      </c>
      <c r="D2174">
        <v>0</v>
      </c>
      <c r="E2174">
        <v>150</v>
      </c>
      <c r="F2174" s="77">
        <v>44921</v>
      </c>
    </row>
    <row r="2175" spans="1:6">
      <c r="A2175">
        <v>2174</v>
      </c>
      <c r="B2175" t="s">
        <v>7307</v>
      </c>
      <c r="C2175">
        <v>250</v>
      </c>
      <c r="D2175">
        <v>750</v>
      </c>
      <c r="E2175">
        <v>50</v>
      </c>
      <c r="F2175" s="60">
        <v>44873</v>
      </c>
    </row>
    <row r="2176" spans="1:6">
      <c r="A2176">
        <v>2175</v>
      </c>
      <c r="B2176" t="s">
        <v>7311</v>
      </c>
      <c r="C2176">
        <v>1000</v>
      </c>
      <c r="D2176">
        <v>0</v>
      </c>
      <c r="E2176">
        <v>50</v>
      </c>
      <c r="F2176" s="61">
        <v>45009</v>
      </c>
    </row>
    <row r="2177" spans="1:6">
      <c r="A2177">
        <v>2176</v>
      </c>
      <c r="B2177" t="s">
        <v>7314</v>
      </c>
      <c r="C2177">
        <v>750</v>
      </c>
      <c r="D2177">
        <v>250</v>
      </c>
      <c r="E2177">
        <v>50</v>
      </c>
      <c r="F2177" s="61">
        <v>44880</v>
      </c>
    </row>
    <row r="2178" spans="1:6">
      <c r="A2178">
        <v>2177</v>
      </c>
      <c r="B2178" t="s">
        <v>7317</v>
      </c>
      <c r="C2178">
        <v>250</v>
      </c>
      <c r="D2178">
        <v>750</v>
      </c>
      <c r="E2178">
        <v>50</v>
      </c>
      <c r="F2178" s="60">
        <v>44880</v>
      </c>
    </row>
    <row r="2179" spans="1:6">
      <c r="A2179">
        <v>2178</v>
      </c>
      <c r="B2179" t="s">
        <v>7320</v>
      </c>
      <c r="C2179">
        <v>250</v>
      </c>
      <c r="D2179">
        <v>750</v>
      </c>
      <c r="E2179">
        <v>50</v>
      </c>
      <c r="F2179" s="61">
        <v>44975</v>
      </c>
    </row>
    <row r="2180" spans="1:6">
      <c r="A2180">
        <v>2179</v>
      </c>
      <c r="B2180" t="s">
        <v>7323</v>
      </c>
      <c r="C2180">
        <v>250</v>
      </c>
      <c r="D2180">
        <v>750</v>
      </c>
      <c r="E2180">
        <v>50</v>
      </c>
      <c r="F2180" s="61">
        <v>44923</v>
      </c>
    </row>
    <row r="2181" spans="1:6">
      <c r="A2181">
        <v>2180</v>
      </c>
      <c r="B2181" t="s">
        <v>7326</v>
      </c>
      <c r="C2181">
        <v>100000</v>
      </c>
      <c r="D2181">
        <v>0</v>
      </c>
      <c r="E2181" t="s">
        <v>16642</v>
      </c>
      <c r="F2181" s="66"/>
    </row>
    <row r="2182" spans="1:6">
      <c r="A2182">
        <v>2181</v>
      </c>
      <c r="B2182" t="s">
        <v>7331</v>
      </c>
      <c r="C2182">
        <v>250</v>
      </c>
      <c r="D2182">
        <v>750</v>
      </c>
      <c r="E2182">
        <v>50</v>
      </c>
      <c r="F2182" s="69">
        <v>44891</v>
      </c>
    </row>
    <row r="2183" spans="1:6">
      <c r="A2183">
        <v>2182</v>
      </c>
      <c r="B2183" t="s">
        <v>7334</v>
      </c>
      <c r="C2183">
        <v>2000</v>
      </c>
      <c r="D2183">
        <v>0</v>
      </c>
      <c r="E2183">
        <v>100</v>
      </c>
      <c r="F2183" s="69">
        <v>45092</v>
      </c>
    </row>
    <row r="2184" spans="1:6">
      <c r="A2184">
        <v>2183</v>
      </c>
      <c r="B2184" t="s">
        <v>7337</v>
      </c>
      <c r="C2184">
        <v>2000</v>
      </c>
      <c r="D2184">
        <v>0</v>
      </c>
      <c r="E2184">
        <v>100</v>
      </c>
      <c r="F2184" s="64" t="s">
        <v>16777</v>
      </c>
    </row>
    <row r="2185" spans="1:6">
      <c r="A2185">
        <v>2184</v>
      </c>
      <c r="B2185" t="s">
        <v>7340</v>
      </c>
      <c r="C2185">
        <v>1000</v>
      </c>
      <c r="D2185">
        <v>0</v>
      </c>
      <c r="E2185">
        <v>50</v>
      </c>
      <c r="F2185" s="77">
        <v>44648</v>
      </c>
    </row>
    <row r="2186" spans="1:6">
      <c r="A2186">
        <v>2185</v>
      </c>
      <c r="B2186" t="s">
        <v>7343</v>
      </c>
      <c r="C2186">
        <v>2000</v>
      </c>
      <c r="D2186">
        <v>0</v>
      </c>
      <c r="E2186">
        <v>100</v>
      </c>
      <c r="F2186" s="64" t="s">
        <v>16771</v>
      </c>
    </row>
    <row r="2187" spans="1:6">
      <c r="A2187">
        <v>2186</v>
      </c>
      <c r="B2187" t="s">
        <v>7347</v>
      </c>
      <c r="C2187">
        <v>250</v>
      </c>
      <c r="D2187">
        <v>750</v>
      </c>
      <c r="E2187">
        <v>50</v>
      </c>
      <c r="F2187" s="72">
        <v>44919</v>
      </c>
    </row>
    <row r="2188" spans="1:6">
      <c r="A2188">
        <v>2187</v>
      </c>
      <c r="B2188" t="s">
        <v>7350</v>
      </c>
      <c r="C2188">
        <v>250</v>
      </c>
      <c r="D2188">
        <v>750</v>
      </c>
      <c r="E2188">
        <v>50</v>
      </c>
      <c r="F2188" s="60">
        <v>45001</v>
      </c>
    </row>
    <row r="2189" spans="1:6">
      <c r="A2189">
        <v>2188</v>
      </c>
      <c r="B2189" t="s">
        <v>7354</v>
      </c>
      <c r="C2189">
        <v>250</v>
      </c>
      <c r="D2189">
        <v>750</v>
      </c>
      <c r="E2189">
        <v>50</v>
      </c>
      <c r="F2189" s="60">
        <v>44918</v>
      </c>
    </row>
    <row r="2190" spans="1:6">
      <c r="A2190">
        <v>2189</v>
      </c>
      <c r="B2190" t="s">
        <v>7357</v>
      </c>
      <c r="C2190">
        <v>250</v>
      </c>
      <c r="D2190">
        <v>750</v>
      </c>
      <c r="E2190">
        <v>50</v>
      </c>
      <c r="F2190" s="61">
        <v>44995</v>
      </c>
    </row>
    <row r="2191" spans="1:6">
      <c r="A2191">
        <v>2190</v>
      </c>
      <c r="B2191" t="s">
        <v>7360</v>
      </c>
      <c r="C2191">
        <v>250</v>
      </c>
      <c r="D2191">
        <v>750</v>
      </c>
      <c r="E2191">
        <v>50</v>
      </c>
      <c r="F2191" s="60">
        <v>44874</v>
      </c>
    </row>
    <row r="2192" spans="1:6">
      <c r="A2192">
        <v>2191</v>
      </c>
      <c r="B2192" t="s">
        <v>7364</v>
      </c>
      <c r="C2192">
        <v>1000</v>
      </c>
      <c r="D2192">
        <v>0</v>
      </c>
      <c r="E2192">
        <v>50</v>
      </c>
      <c r="F2192" s="60">
        <v>44925</v>
      </c>
    </row>
    <row r="2193" spans="1:6">
      <c r="A2193">
        <v>2192</v>
      </c>
      <c r="B2193" t="s">
        <v>7368</v>
      </c>
      <c r="C2193">
        <v>250</v>
      </c>
      <c r="D2193">
        <v>750</v>
      </c>
      <c r="E2193">
        <v>50</v>
      </c>
      <c r="F2193" s="61">
        <v>44863</v>
      </c>
    </row>
    <row r="2194" spans="1:6">
      <c r="A2194">
        <v>2193</v>
      </c>
      <c r="B2194" t="s">
        <v>7372</v>
      </c>
      <c r="C2194">
        <v>250</v>
      </c>
      <c r="D2194">
        <v>750</v>
      </c>
      <c r="E2194">
        <v>50</v>
      </c>
      <c r="F2194" s="60">
        <v>45043</v>
      </c>
    </row>
    <row r="2195" spans="1:6">
      <c r="A2195">
        <v>2194</v>
      </c>
      <c r="B2195" t="s">
        <v>7375</v>
      </c>
      <c r="C2195">
        <v>5000</v>
      </c>
      <c r="D2195">
        <v>15000</v>
      </c>
      <c r="E2195">
        <v>1000</v>
      </c>
      <c r="F2195" s="79">
        <v>44939</v>
      </c>
    </row>
    <row r="2196" spans="1:6">
      <c r="A2196">
        <v>2195</v>
      </c>
      <c r="B2196" t="s">
        <v>7378</v>
      </c>
      <c r="C2196">
        <v>250</v>
      </c>
      <c r="D2196">
        <v>750</v>
      </c>
      <c r="E2196">
        <v>50</v>
      </c>
      <c r="F2196" s="60">
        <v>44864</v>
      </c>
    </row>
    <row r="2197" spans="1:6">
      <c r="A2197">
        <v>2196</v>
      </c>
      <c r="B2197" t="s">
        <v>7381</v>
      </c>
      <c r="C2197">
        <v>250</v>
      </c>
      <c r="D2197">
        <v>750</v>
      </c>
      <c r="E2197">
        <v>50</v>
      </c>
      <c r="F2197" s="61">
        <v>44930</v>
      </c>
    </row>
    <row r="2198" spans="1:6">
      <c r="A2198">
        <v>2197</v>
      </c>
      <c r="B2198" t="s">
        <v>7384</v>
      </c>
      <c r="C2198">
        <v>250</v>
      </c>
      <c r="D2198">
        <v>750</v>
      </c>
      <c r="E2198">
        <v>50</v>
      </c>
      <c r="F2198" s="60">
        <v>44926</v>
      </c>
    </row>
    <row r="2199" spans="1:6">
      <c r="A2199">
        <v>2198</v>
      </c>
      <c r="B2199" t="s">
        <v>7387</v>
      </c>
      <c r="C2199">
        <v>10000</v>
      </c>
      <c r="D2199">
        <v>0</v>
      </c>
      <c r="E2199">
        <v>500</v>
      </c>
      <c r="F2199" s="67">
        <v>44973</v>
      </c>
    </row>
    <row r="2200" spans="1:6">
      <c r="A2200">
        <v>2199</v>
      </c>
      <c r="B2200" t="s">
        <v>7390</v>
      </c>
      <c r="C2200">
        <v>20000</v>
      </c>
      <c r="D2200">
        <v>0</v>
      </c>
      <c r="E2200">
        <v>200</v>
      </c>
      <c r="F2200" s="64" t="s">
        <v>16778</v>
      </c>
    </row>
    <row r="2201" spans="1:6">
      <c r="A2201">
        <v>2200</v>
      </c>
      <c r="B2201" t="s">
        <v>7394</v>
      </c>
      <c r="C2201">
        <v>5000</v>
      </c>
      <c r="D2201">
        <v>15000</v>
      </c>
      <c r="E2201">
        <v>1000</v>
      </c>
      <c r="F2201" s="74">
        <v>44963</v>
      </c>
    </row>
    <row r="2202" spans="1:6">
      <c r="A2202">
        <v>2201</v>
      </c>
      <c r="B2202" t="s">
        <v>7397</v>
      </c>
      <c r="C2202">
        <v>250</v>
      </c>
      <c r="D2202">
        <v>750</v>
      </c>
      <c r="E2202">
        <v>50</v>
      </c>
      <c r="F2202" s="61">
        <v>44898</v>
      </c>
    </row>
    <row r="2203" spans="1:6">
      <c r="A2203">
        <v>2202</v>
      </c>
      <c r="B2203" t="s">
        <v>7401</v>
      </c>
      <c r="C2203">
        <v>250</v>
      </c>
      <c r="D2203">
        <v>750</v>
      </c>
      <c r="E2203">
        <v>50</v>
      </c>
      <c r="F2203" s="61">
        <v>44936</v>
      </c>
    </row>
    <row r="2204" spans="1:6">
      <c r="A2204">
        <v>2203</v>
      </c>
      <c r="B2204" t="s">
        <v>7404</v>
      </c>
      <c r="C2204">
        <v>250</v>
      </c>
      <c r="D2204">
        <v>750</v>
      </c>
      <c r="E2204">
        <v>50</v>
      </c>
      <c r="F2204" s="73">
        <v>44929</v>
      </c>
    </row>
    <row r="2205" spans="1:6">
      <c r="A2205">
        <v>2204</v>
      </c>
      <c r="B2205" t="s">
        <v>7407</v>
      </c>
      <c r="C2205">
        <v>250</v>
      </c>
      <c r="D2205">
        <v>750</v>
      </c>
      <c r="E2205">
        <v>50</v>
      </c>
      <c r="F2205" s="61">
        <v>44975</v>
      </c>
    </row>
    <row r="2206" spans="1:6">
      <c r="A2206">
        <v>2205</v>
      </c>
      <c r="B2206" t="s">
        <v>7410</v>
      </c>
      <c r="C2206">
        <v>250</v>
      </c>
      <c r="D2206">
        <v>750</v>
      </c>
      <c r="E2206">
        <v>50</v>
      </c>
      <c r="F2206" s="60">
        <v>44887</v>
      </c>
    </row>
    <row r="2207" ht="15" spans="1:6">
      <c r="A2207">
        <v>2206</v>
      </c>
      <c r="B2207" t="s">
        <v>7413</v>
      </c>
      <c r="C2207">
        <v>1000000</v>
      </c>
      <c r="D2207">
        <v>500000</v>
      </c>
      <c r="E2207" t="s">
        <v>16642</v>
      </c>
      <c r="F2207" s="81">
        <f>IFERROR(__xludf.DUMMYFUNCTION("""COMPUTED_VALUE"""),45083)</f>
        <v>45083</v>
      </c>
    </row>
    <row r="2208" spans="1:6">
      <c r="A2208">
        <v>2207</v>
      </c>
      <c r="B2208" t="s">
        <v>7414</v>
      </c>
      <c r="C2208">
        <v>250</v>
      </c>
      <c r="D2208">
        <v>750</v>
      </c>
      <c r="E2208">
        <v>50</v>
      </c>
      <c r="F2208" s="60">
        <v>44851</v>
      </c>
    </row>
    <row r="2209" spans="1:6">
      <c r="A2209">
        <v>2208</v>
      </c>
      <c r="B2209" t="s">
        <v>7417</v>
      </c>
      <c r="C2209">
        <v>250</v>
      </c>
      <c r="D2209">
        <v>750</v>
      </c>
      <c r="E2209">
        <v>50</v>
      </c>
      <c r="F2209" s="61">
        <v>44854</v>
      </c>
    </row>
    <row r="2210" spans="1:6">
      <c r="A2210">
        <v>2209</v>
      </c>
      <c r="B2210" t="s">
        <v>7420</v>
      </c>
      <c r="C2210">
        <v>250</v>
      </c>
      <c r="D2210">
        <v>750</v>
      </c>
      <c r="E2210">
        <v>50</v>
      </c>
      <c r="F2210" s="61">
        <v>44901</v>
      </c>
    </row>
    <row r="2211" spans="1:6">
      <c r="A2211">
        <v>2210</v>
      </c>
      <c r="B2211" t="s">
        <v>7423</v>
      </c>
      <c r="C2211">
        <v>100000</v>
      </c>
      <c r="D2211">
        <v>0</v>
      </c>
      <c r="E2211" t="s">
        <v>16642</v>
      </c>
      <c r="F2211" s="76">
        <v>44889</v>
      </c>
    </row>
    <row r="2212" spans="1:6">
      <c r="A2212">
        <v>2211</v>
      </c>
      <c r="B2212" t="s">
        <v>7427</v>
      </c>
      <c r="C2212">
        <v>1000</v>
      </c>
      <c r="D2212">
        <v>0</v>
      </c>
      <c r="E2212">
        <v>50</v>
      </c>
      <c r="F2212" s="60">
        <v>44852</v>
      </c>
    </row>
    <row r="2213" spans="1:6">
      <c r="A2213">
        <v>2212</v>
      </c>
      <c r="B2213" t="s">
        <v>7431</v>
      </c>
      <c r="C2213">
        <v>50000</v>
      </c>
      <c r="D2213">
        <v>0</v>
      </c>
      <c r="E2213">
        <v>2500</v>
      </c>
      <c r="F2213" s="77">
        <v>44889</v>
      </c>
    </row>
    <row r="2214" spans="1:6">
      <c r="A2214">
        <v>2213</v>
      </c>
      <c r="B2214" t="s">
        <v>7433</v>
      </c>
      <c r="C2214">
        <v>250</v>
      </c>
      <c r="D2214">
        <v>750</v>
      </c>
      <c r="E2214">
        <v>50</v>
      </c>
      <c r="F2214" s="69">
        <v>44960</v>
      </c>
    </row>
    <row r="2215" spans="1:6">
      <c r="A2215">
        <v>2214</v>
      </c>
      <c r="B2215" t="s">
        <v>7436</v>
      </c>
      <c r="C2215">
        <v>250</v>
      </c>
      <c r="D2215">
        <v>750</v>
      </c>
      <c r="E2215">
        <v>50</v>
      </c>
      <c r="F2215" s="69">
        <v>44959</v>
      </c>
    </row>
    <row r="2216" spans="1:6">
      <c r="A2216">
        <v>2215</v>
      </c>
      <c r="B2216" t="s">
        <v>7440</v>
      </c>
      <c r="C2216">
        <v>250</v>
      </c>
      <c r="D2216">
        <v>750</v>
      </c>
      <c r="E2216">
        <v>50</v>
      </c>
      <c r="F2216" s="71">
        <v>44887</v>
      </c>
    </row>
    <row r="2217" spans="1:6">
      <c r="A2217">
        <v>2216</v>
      </c>
      <c r="B2217" t="s">
        <v>7443</v>
      </c>
      <c r="C2217">
        <v>250</v>
      </c>
      <c r="D2217">
        <v>750</v>
      </c>
      <c r="E2217">
        <v>50</v>
      </c>
      <c r="F2217" s="61">
        <v>44806</v>
      </c>
    </row>
    <row r="2218" spans="1:6">
      <c r="A2218">
        <v>2217</v>
      </c>
      <c r="B2218" t="s">
        <v>7447</v>
      </c>
      <c r="C2218">
        <v>250</v>
      </c>
      <c r="D2218">
        <v>750</v>
      </c>
      <c r="E2218">
        <v>50</v>
      </c>
      <c r="F2218" s="60">
        <v>44977</v>
      </c>
    </row>
    <row r="2219" spans="1:6">
      <c r="A2219">
        <v>2218</v>
      </c>
      <c r="B2219" t="s">
        <v>7450</v>
      </c>
      <c r="C2219">
        <v>250</v>
      </c>
      <c r="D2219">
        <v>750</v>
      </c>
      <c r="E2219">
        <v>50</v>
      </c>
      <c r="F2219" s="61">
        <v>44866</v>
      </c>
    </row>
    <row r="2220" spans="1:6">
      <c r="A2220">
        <v>2219</v>
      </c>
      <c r="B2220" t="s">
        <v>7453</v>
      </c>
      <c r="C2220">
        <v>250</v>
      </c>
      <c r="D2220">
        <v>750</v>
      </c>
      <c r="E2220">
        <v>50</v>
      </c>
      <c r="F2220" s="60">
        <v>44889</v>
      </c>
    </row>
    <row r="2221" spans="1:6">
      <c r="A2221">
        <v>2220</v>
      </c>
      <c r="B2221" t="s">
        <v>7456</v>
      </c>
      <c r="C2221">
        <v>250</v>
      </c>
      <c r="D2221">
        <v>750</v>
      </c>
      <c r="E2221">
        <v>50</v>
      </c>
      <c r="F2221" s="69">
        <v>44921</v>
      </c>
    </row>
    <row r="2222" spans="1:6">
      <c r="A2222">
        <v>2221</v>
      </c>
      <c r="B2222" t="s">
        <v>7459</v>
      </c>
      <c r="C2222">
        <v>50000</v>
      </c>
      <c r="D2222">
        <v>0</v>
      </c>
      <c r="E2222">
        <v>2500</v>
      </c>
      <c r="F2222" s="109">
        <v>44790</v>
      </c>
    </row>
    <row r="2223" spans="1:6">
      <c r="A2223">
        <v>2222</v>
      </c>
      <c r="B2223" t="s">
        <v>7462</v>
      </c>
      <c r="C2223">
        <v>1000</v>
      </c>
      <c r="D2223">
        <v>0</v>
      </c>
      <c r="E2223">
        <v>50</v>
      </c>
      <c r="F2223" s="64" t="s">
        <v>16779</v>
      </c>
    </row>
    <row r="2224" spans="1:6">
      <c r="A2224">
        <v>2223</v>
      </c>
      <c r="B2224" t="s">
        <v>7466</v>
      </c>
      <c r="C2224">
        <v>20000</v>
      </c>
      <c r="D2224">
        <v>0</v>
      </c>
      <c r="E2224">
        <v>1000</v>
      </c>
      <c r="F2224" s="65">
        <v>44694</v>
      </c>
    </row>
    <row r="2225" spans="1:6">
      <c r="A2225">
        <v>2224</v>
      </c>
      <c r="B2225" t="s">
        <v>7466</v>
      </c>
      <c r="C2225">
        <v>100000</v>
      </c>
      <c r="D2225">
        <v>0</v>
      </c>
      <c r="E2225" t="s">
        <v>16642</v>
      </c>
      <c r="F2225" s="66"/>
    </row>
    <row r="2226" spans="1:6">
      <c r="A2226">
        <v>2225</v>
      </c>
      <c r="B2226" t="s">
        <v>7471</v>
      </c>
      <c r="C2226">
        <v>500</v>
      </c>
      <c r="D2226">
        <v>1500</v>
      </c>
      <c r="E2226">
        <v>100</v>
      </c>
      <c r="F2226" s="74">
        <v>45023</v>
      </c>
    </row>
    <row r="2227" spans="1:6">
      <c r="A2227">
        <v>2226</v>
      </c>
      <c r="B2227" t="s">
        <v>7474</v>
      </c>
      <c r="C2227">
        <v>100000</v>
      </c>
      <c r="D2227">
        <v>0</v>
      </c>
      <c r="E2227" t="s">
        <v>16642</v>
      </c>
      <c r="F2227" s="76">
        <v>44915</v>
      </c>
    </row>
    <row r="2228" spans="1:6">
      <c r="A2228">
        <v>2227</v>
      </c>
      <c r="B2228" t="s">
        <v>7478</v>
      </c>
      <c r="C2228">
        <v>250</v>
      </c>
      <c r="D2228">
        <v>750</v>
      </c>
      <c r="E2228">
        <v>50</v>
      </c>
      <c r="F2228" s="60">
        <v>44925</v>
      </c>
    </row>
    <row r="2229" spans="1:6">
      <c r="A2229">
        <v>2228</v>
      </c>
      <c r="B2229" t="s">
        <v>7481</v>
      </c>
      <c r="C2229">
        <v>1000</v>
      </c>
      <c r="D2229">
        <v>0</v>
      </c>
      <c r="E2229">
        <v>50</v>
      </c>
      <c r="F2229" s="61">
        <v>44813</v>
      </c>
    </row>
    <row r="2230" spans="1:6">
      <c r="A2230">
        <v>2229</v>
      </c>
      <c r="B2230" t="s">
        <v>7485</v>
      </c>
      <c r="C2230">
        <v>250</v>
      </c>
      <c r="D2230">
        <v>750</v>
      </c>
      <c r="E2230">
        <v>50</v>
      </c>
      <c r="F2230" s="61">
        <v>44858</v>
      </c>
    </row>
    <row r="2231" spans="1:6">
      <c r="A2231">
        <v>2230</v>
      </c>
      <c r="B2231" t="s">
        <v>7488</v>
      </c>
      <c r="C2231">
        <v>250</v>
      </c>
      <c r="D2231">
        <v>750</v>
      </c>
      <c r="E2231">
        <v>50</v>
      </c>
      <c r="F2231" s="61">
        <v>44980</v>
      </c>
    </row>
    <row r="2232" spans="1:6">
      <c r="A2232">
        <v>2231</v>
      </c>
      <c r="B2232" t="s">
        <v>7491</v>
      </c>
      <c r="C2232">
        <v>250</v>
      </c>
      <c r="D2232">
        <v>750</v>
      </c>
      <c r="E2232">
        <v>50</v>
      </c>
      <c r="F2232" s="65">
        <v>44506</v>
      </c>
    </row>
    <row r="2233" spans="1:6">
      <c r="A2233">
        <v>2232</v>
      </c>
      <c r="B2233" t="s">
        <v>7495</v>
      </c>
      <c r="C2233">
        <v>250</v>
      </c>
      <c r="D2233">
        <v>750</v>
      </c>
      <c r="E2233">
        <v>50</v>
      </c>
      <c r="F2233" s="60">
        <v>44825</v>
      </c>
    </row>
    <row r="2234" spans="1:6">
      <c r="A2234">
        <v>2233</v>
      </c>
      <c r="B2234" t="s">
        <v>7498</v>
      </c>
      <c r="C2234">
        <v>250</v>
      </c>
      <c r="D2234">
        <v>750</v>
      </c>
      <c r="E2234">
        <v>50</v>
      </c>
      <c r="F2234" s="117" t="s">
        <v>16669</v>
      </c>
    </row>
    <row r="2235" spans="1:6">
      <c r="A2235">
        <v>2234</v>
      </c>
      <c r="B2235" t="s">
        <v>7501</v>
      </c>
      <c r="C2235">
        <v>1000</v>
      </c>
      <c r="D2235">
        <v>0</v>
      </c>
      <c r="E2235">
        <v>50</v>
      </c>
      <c r="F2235" s="61">
        <v>44925</v>
      </c>
    </row>
    <row r="2236" spans="1:6">
      <c r="A2236">
        <v>2235</v>
      </c>
      <c r="B2236" t="s">
        <v>7504</v>
      </c>
      <c r="C2236">
        <v>250</v>
      </c>
      <c r="D2236">
        <v>750</v>
      </c>
      <c r="E2236">
        <v>50</v>
      </c>
      <c r="F2236" s="61">
        <v>44880</v>
      </c>
    </row>
    <row r="2237" ht="15" spans="1:6">
      <c r="A2237">
        <v>2236</v>
      </c>
      <c r="B2237" t="s">
        <v>7508</v>
      </c>
      <c r="C2237">
        <v>1000000</v>
      </c>
      <c r="D2237">
        <v>500000</v>
      </c>
      <c r="E2237" t="s">
        <v>16642</v>
      </c>
      <c r="F2237" s="98">
        <f>IFERROR(__xludf.DUMMYFUNCTION("""COMPUTED_VALUE"""),45084)</f>
        <v>45084</v>
      </c>
    </row>
    <row r="2238" ht="15" spans="1:6">
      <c r="A2238">
        <v>2237</v>
      </c>
      <c r="B2238" t="s">
        <v>7508</v>
      </c>
      <c r="C2238">
        <v>1000000</v>
      </c>
      <c r="D2238">
        <v>500000</v>
      </c>
      <c r="E2238" t="s">
        <v>16642</v>
      </c>
      <c r="F2238" s="98">
        <f>IFERROR(__xludf.DUMMYFUNCTION("""COMPUTED_VALUE"""),45083)</f>
        <v>45083</v>
      </c>
    </row>
    <row r="2239" spans="1:6">
      <c r="A2239">
        <v>2238</v>
      </c>
      <c r="B2239" t="s">
        <v>7509</v>
      </c>
      <c r="C2239">
        <v>250</v>
      </c>
      <c r="D2239">
        <v>750</v>
      </c>
      <c r="E2239">
        <v>50</v>
      </c>
      <c r="F2239" s="75">
        <v>44898</v>
      </c>
    </row>
    <row r="2240" spans="1:6">
      <c r="A2240">
        <v>2239</v>
      </c>
      <c r="B2240" t="s">
        <v>7512</v>
      </c>
      <c r="C2240">
        <v>5000</v>
      </c>
      <c r="D2240">
        <v>0</v>
      </c>
      <c r="E2240">
        <v>250</v>
      </c>
      <c r="F2240" s="65">
        <v>44649</v>
      </c>
    </row>
    <row r="2241" spans="1:6">
      <c r="A2241">
        <v>2240</v>
      </c>
      <c r="B2241" t="s">
        <v>7516</v>
      </c>
      <c r="C2241">
        <v>250</v>
      </c>
      <c r="D2241">
        <v>750</v>
      </c>
      <c r="E2241">
        <v>50</v>
      </c>
      <c r="F2241" s="61">
        <v>44978</v>
      </c>
    </row>
    <row r="2242" spans="1:6">
      <c r="A2242">
        <v>2241</v>
      </c>
      <c r="B2242" t="s">
        <v>7519</v>
      </c>
      <c r="C2242">
        <v>250</v>
      </c>
      <c r="D2242">
        <v>750</v>
      </c>
      <c r="E2242">
        <v>50</v>
      </c>
      <c r="F2242" s="73">
        <v>44924</v>
      </c>
    </row>
    <row r="2243" ht="15" spans="1:6">
      <c r="A2243">
        <v>2242</v>
      </c>
      <c r="B2243" t="s">
        <v>7523</v>
      </c>
      <c r="C2243">
        <v>1500000</v>
      </c>
      <c r="D2243">
        <v>0</v>
      </c>
      <c r="E2243" t="s">
        <v>16642</v>
      </c>
      <c r="F2243" s="81">
        <f>IFERROR(__xludf.DUMMYFUNCTION("""COMPUTED_VALUE"""),45083)</f>
        <v>45083</v>
      </c>
    </row>
    <row r="2244" spans="1:6">
      <c r="A2244">
        <v>2243</v>
      </c>
      <c r="B2244" t="s">
        <v>7524</v>
      </c>
      <c r="C2244">
        <v>250</v>
      </c>
      <c r="D2244">
        <v>750</v>
      </c>
      <c r="E2244">
        <v>50</v>
      </c>
      <c r="F2244" s="73">
        <v>44944</v>
      </c>
    </row>
    <row r="2245" spans="1:6">
      <c r="A2245">
        <v>2244</v>
      </c>
      <c r="B2245" t="s">
        <v>7528</v>
      </c>
      <c r="C2245">
        <v>250</v>
      </c>
      <c r="D2245">
        <v>750</v>
      </c>
      <c r="E2245">
        <v>50</v>
      </c>
      <c r="F2245" s="60">
        <v>44867</v>
      </c>
    </row>
    <row r="2246" spans="1:6">
      <c r="A2246">
        <v>2245</v>
      </c>
      <c r="B2246" t="s">
        <v>7532</v>
      </c>
      <c r="C2246">
        <v>250</v>
      </c>
      <c r="D2246">
        <v>750</v>
      </c>
      <c r="E2246">
        <v>50</v>
      </c>
      <c r="F2246" s="73">
        <v>44929</v>
      </c>
    </row>
    <row r="2247" ht="15" spans="1:6">
      <c r="A2247">
        <v>2246</v>
      </c>
      <c r="B2247" t="s">
        <v>7535</v>
      </c>
      <c r="C2247">
        <v>1000000</v>
      </c>
      <c r="D2247">
        <v>2500000</v>
      </c>
      <c r="E2247" t="s">
        <v>16642</v>
      </c>
      <c r="F2247" s="92">
        <v>45150</v>
      </c>
    </row>
    <row r="2248" spans="1:6">
      <c r="A2248">
        <v>2247</v>
      </c>
      <c r="B2248" t="s">
        <v>7538</v>
      </c>
      <c r="C2248">
        <v>250</v>
      </c>
      <c r="D2248">
        <v>750</v>
      </c>
      <c r="E2248">
        <v>50</v>
      </c>
      <c r="F2248" s="61">
        <v>44867</v>
      </c>
    </row>
    <row r="2249" spans="1:6">
      <c r="A2249">
        <v>2248</v>
      </c>
      <c r="B2249" t="s">
        <v>7541</v>
      </c>
      <c r="C2249">
        <v>250</v>
      </c>
      <c r="D2249">
        <v>750</v>
      </c>
      <c r="E2249">
        <v>50</v>
      </c>
      <c r="F2249" s="60">
        <v>44895</v>
      </c>
    </row>
    <row r="2250" spans="1:6">
      <c r="A2250">
        <v>2249</v>
      </c>
      <c r="B2250" t="s">
        <v>7545</v>
      </c>
      <c r="C2250">
        <v>1000</v>
      </c>
      <c r="D2250">
        <v>0</v>
      </c>
      <c r="E2250">
        <v>50</v>
      </c>
      <c r="F2250" s="77">
        <v>44868</v>
      </c>
    </row>
    <row r="2251" spans="1:6">
      <c r="A2251">
        <v>2250</v>
      </c>
      <c r="B2251" t="s">
        <v>7548</v>
      </c>
      <c r="C2251">
        <v>10000</v>
      </c>
      <c r="D2251">
        <v>0</v>
      </c>
      <c r="E2251">
        <v>500</v>
      </c>
      <c r="F2251" s="64" t="s">
        <v>16684</v>
      </c>
    </row>
    <row r="2252" spans="1:6">
      <c r="A2252">
        <v>2251</v>
      </c>
      <c r="B2252" t="s">
        <v>7552</v>
      </c>
      <c r="C2252">
        <v>250</v>
      </c>
      <c r="D2252">
        <v>750</v>
      </c>
      <c r="E2252">
        <v>50</v>
      </c>
      <c r="F2252" s="69">
        <v>45014</v>
      </c>
    </row>
    <row r="2253" spans="1:6">
      <c r="A2253">
        <v>2252</v>
      </c>
      <c r="B2253" t="s">
        <v>7555</v>
      </c>
      <c r="C2253">
        <v>250</v>
      </c>
      <c r="D2253">
        <v>750</v>
      </c>
      <c r="E2253">
        <v>50</v>
      </c>
      <c r="F2253" s="61">
        <v>44928</v>
      </c>
    </row>
    <row r="2254" spans="1:6">
      <c r="A2254">
        <v>2253</v>
      </c>
      <c r="B2254" t="s">
        <v>7558</v>
      </c>
      <c r="C2254">
        <v>250</v>
      </c>
      <c r="D2254">
        <v>750</v>
      </c>
      <c r="E2254">
        <v>50</v>
      </c>
      <c r="F2254" s="60">
        <v>44856</v>
      </c>
    </row>
    <row r="2255" spans="1:6">
      <c r="A2255">
        <v>2254</v>
      </c>
      <c r="B2255" t="s">
        <v>7562</v>
      </c>
      <c r="C2255">
        <v>100000</v>
      </c>
      <c r="D2255">
        <v>0</v>
      </c>
      <c r="E2255" t="s">
        <v>16642</v>
      </c>
      <c r="F2255" s="85"/>
    </row>
    <row r="2256" spans="1:6">
      <c r="A2256">
        <v>2255</v>
      </c>
      <c r="B2256" t="s">
        <v>7562</v>
      </c>
      <c r="C2256">
        <v>100000</v>
      </c>
      <c r="D2256">
        <v>0</v>
      </c>
      <c r="E2256" t="s">
        <v>16642</v>
      </c>
      <c r="F2256" s="96">
        <v>44978</v>
      </c>
    </row>
    <row r="2257" spans="1:6">
      <c r="A2257">
        <v>2256</v>
      </c>
      <c r="B2257" t="s">
        <v>7566</v>
      </c>
      <c r="C2257">
        <v>250</v>
      </c>
      <c r="D2257">
        <v>750</v>
      </c>
      <c r="E2257">
        <v>50</v>
      </c>
      <c r="F2257" s="60">
        <v>44921</v>
      </c>
    </row>
    <row r="2258" spans="1:6">
      <c r="A2258">
        <v>2257</v>
      </c>
      <c r="B2258" t="s">
        <v>7569</v>
      </c>
      <c r="C2258">
        <v>100000</v>
      </c>
      <c r="D2258">
        <v>0</v>
      </c>
      <c r="E2258" t="s">
        <v>16642</v>
      </c>
      <c r="F2258" s="66"/>
    </row>
    <row r="2259" spans="1:6">
      <c r="A2259">
        <v>2258</v>
      </c>
      <c r="B2259" t="s">
        <v>7574</v>
      </c>
      <c r="C2259">
        <v>100000</v>
      </c>
      <c r="D2259">
        <v>0</v>
      </c>
      <c r="E2259" t="s">
        <v>16642</v>
      </c>
      <c r="F2259" s="76">
        <v>44817</v>
      </c>
    </row>
    <row r="2260" spans="1:6">
      <c r="A2260">
        <v>2259</v>
      </c>
      <c r="B2260" t="s">
        <v>7578</v>
      </c>
      <c r="C2260">
        <v>100000</v>
      </c>
      <c r="D2260">
        <v>0</v>
      </c>
      <c r="E2260" t="s">
        <v>16642</v>
      </c>
      <c r="F2260" s="76">
        <v>44952</v>
      </c>
    </row>
    <row r="2261" spans="1:6">
      <c r="A2261">
        <v>2260</v>
      </c>
      <c r="B2261" t="s">
        <v>7583</v>
      </c>
      <c r="C2261">
        <v>250</v>
      </c>
      <c r="D2261">
        <v>750</v>
      </c>
      <c r="E2261">
        <v>50</v>
      </c>
      <c r="F2261" s="61">
        <v>44901</v>
      </c>
    </row>
    <row r="2262" spans="1:6">
      <c r="A2262">
        <v>2261</v>
      </c>
      <c r="B2262" t="s">
        <v>7587</v>
      </c>
      <c r="C2262">
        <v>100000</v>
      </c>
      <c r="D2262">
        <v>0</v>
      </c>
      <c r="F2262" s="65"/>
    </row>
    <row r="2263" spans="1:6">
      <c r="A2263">
        <v>2262</v>
      </c>
      <c r="B2263" t="s">
        <v>7591</v>
      </c>
      <c r="C2263">
        <v>10000</v>
      </c>
      <c r="D2263">
        <v>30000</v>
      </c>
      <c r="E2263">
        <v>2000</v>
      </c>
      <c r="F2263" s="65">
        <v>44670</v>
      </c>
    </row>
    <row r="2264" spans="1:6">
      <c r="A2264">
        <v>2263</v>
      </c>
      <c r="B2264" t="s">
        <v>7595</v>
      </c>
      <c r="C2264">
        <v>1000</v>
      </c>
      <c r="D2264">
        <v>3000</v>
      </c>
      <c r="E2264">
        <v>200</v>
      </c>
      <c r="F2264" s="65">
        <v>44543</v>
      </c>
    </row>
    <row r="2265" spans="1:6">
      <c r="A2265">
        <v>2264</v>
      </c>
      <c r="B2265" t="s">
        <v>7599</v>
      </c>
      <c r="C2265">
        <v>250</v>
      </c>
      <c r="D2265">
        <v>750</v>
      </c>
      <c r="E2265">
        <v>50</v>
      </c>
      <c r="F2265" s="60">
        <v>44846</v>
      </c>
    </row>
    <row r="2266" spans="1:6">
      <c r="A2266">
        <v>2265</v>
      </c>
      <c r="B2266" t="s">
        <v>7602</v>
      </c>
      <c r="C2266">
        <v>1000000</v>
      </c>
      <c r="D2266">
        <v>500000</v>
      </c>
      <c r="E2266" t="s">
        <v>16642</v>
      </c>
      <c r="F2266" s="80">
        <f>IFERROR(__xludf.DUMMYFUNCTION("""COMPUTED_VALUE"""),45080)</f>
        <v>45080</v>
      </c>
    </row>
    <row r="2267" spans="1:6">
      <c r="A2267">
        <v>2266</v>
      </c>
      <c r="B2267" t="s">
        <v>7603</v>
      </c>
      <c r="C2267">
        <v>1000</v>
      </c>
      <c r="D2267">
        <v>0</v>
      </c>
      <c r="E2267">
        <v>50</v>
      </c>
      <c r="F2267" s="60">
        <v>44844</v>
      </c>
    </row>
    <row r="2268" spans="1:6">
      <c r="A2268">
        <v>2267</v>
      </c>
      <c r="B2268" t="s">
        <v>7607</v>
      </c>
      <c r="C2268">
        <v>250</v>
      </c>
      <c r="D2268">
        <v>750</v>
      </c>
      <c r="E2268">
        <v>50</v>
      </c>
      <c r="F2268" s="60">
        <v>44867</v>
      </c>
    </row>
    <row r="2269" spans="1:6">
      <c r="A2269">
        <v>2268</v>
      </c>
      <c r="B2269" t="s">
        <v>7610</v>
      </c>
      <c r="C2269">
        <v>250</v>
      </c>
      <c r="D2269">
        <v>750</v>
      </c>
      <c r="E2269">
        <v>50</v>
      </c>
      <c r="F2269" s="73">
        <v>44958</v>
      </c>
    </row>
    <row r="2270" spans="1:6">
      <c r="A2270">
        <v>2269</v>
      </c>
      <c r="B2270" t="s">
        <v>7613</v>
      </c>
      <c r="C2270">
        <v>250</v>
      </c>
      <c r="D2270">
        <v>750</v>
      </c>
      <c r="E2270">
        <v>50</v>
      </c>
      <c r="F2270" s="73">
        <v>45029</v>
      </c>
    </row>
    <row r="2271" spans="1:6">
      <c r="A2271">
        <v>2270</v>
      </c>
      <c r="B2271" t="s">
        <v>7617</v>
      </c>
      <c r="C2271">
        <v>250</v>
      </c>
      <c r="D2271">
        <v>750</v>
      </c>
      <c r="E2271">
        <v>50</v>
      </c>
      <c r="F2271" s="61">
        <v>44965</v>
      </c>
    </row>
    <row r="2272" spans="1:6">
      <c r="A2272">
        <v>2271</v>
      </c>
      <c r="B2272" t="s">
        <v>7621</v>
      </c>
      <c r="C2272">
        <v>250</v>
      </c>
      <c r="D2272">
        <v>750</v>
      </c>
      <c r="E2272">
        <v>50</v>
      </c>
      <c r="F2272" s="73">
        <v>44914</v>
      </c>
    </row>
    <row r="2273" spans="1:6">
      <c r="A2273">
        <v>2272</v>
      </c>
      <c r="B2273" t="s">
        <v>7624</v>
      </c>
      <c r="C2273">
        <v>750</v>
      </c>
      <c r="D2273">
        <v>250</v>
      </c>
      <c r="E2273">
        <v>50</v>
      </c>
      <c r="F2273" s="69">
        <v>44957</v>
      </c>
    </row>
    <row r="2274" spans="1:6">
      <c r="A2274">
        <v>2273</v>
      </c>
      <c r="B2274" t="s">
        <v>7627</v>
      </c>
      <c r="C2274">
        <v>250</v>
      </c>
      <c r="D2274">
        <v>750</v>
      </c>
      <c r="E2274">
        <v>50</v>
      </c>
      <c r="F2274" s="69">
        <v>44925</v>
      </c>
    </row>
    <row r="2275" spans="1:6">
      <c r="A2275">
        <v>2274</v>
      </c>
      <c r="B2275" t="s">
        <v>7631</v>
      </c>
      <c r="C2275">
        <v>250</v>
      </c>
      <c r="D2275">
        <v>750</v>
      </c>
      <c r="E2275">
        <v>50</v>
      </c>
      <c r="F2275" s="60">
        <v>44980</v>
      </c>
    </row>
    <row r="2276" spans="1:6">
      <c r="A2276">
        <v>2275</v>
      </c>
      <c r="B2276" t="s">
        <v>7634</v>
      </c>
      <c r="C2276">
        <v>250</v>
      </c>
      <c r="D2276">
        <v>750</v>
      </c>
      <c r="E2276">
        <v>50</v>
      </c>
      <c r="F2276" s="75">
        <v>44926</v>
      </c>
    </row>
    <row r="2277" spans="1:6">
      <c r="A2277">
        <v>2276</v>
      </c>
      <c r="B2277" t="s">
        <v>7637</v>
      </c>
      <c r="C2277">
        <v>250</v>
      </c>
      <c r="D2277">
        <v>750</v>
      </c>
      <c r="E2277">
        <v>50</v>
      </c>
      <c r="F2277" s="61">
        <v>44914</v>
      </c>
    </row>
    <row r="2278" spans="1:6">
      <c r="A2278">
        <v>2277</v>
      </c>
      <c r="B2278" t="s">
        <v>7641</v>
      </c>
      <c r="C2278">
        <v>250</v>
      </c>
      <c r="D2278">
        <v>750</v>
      </c>
      <c r="E2278">
        <v>50</v>
      </c>
      <c r="F2278" s="71">
        <v>44902</v>
      </c>
    </row>
    <row r="2279" spans="1:6">
      <c r="A2279">
        <v>2278</v>
      </c>
      <c r="B2279" t="s">
        <v>7644</v>
      </c>
      <c r="C2279">
        <v>250</v>
      </c>
      <c r="D2279">
        <v>750</v>
      </c>
      <c r="E2279">
        <v>50</v>
      </c>
      <c r="F2279" s="69">
        <v>44993</v>
      </c>
    </row>
    <row r="2280" spans="1:6">
      <c r="A2280">
        <v>2279</v>
      </c>
      <c r="B2280" t="s">
        <v>7647</v>
      </c>
      <c r="C2280">
        <v>250</v>
      </c>
      <c r="D2280">
        <v>750</v>
      </c>
      <c r="E2280">
        <v>50</v>
      </c>
      <c r="F2280" s="69">
        <v>45131</v>
      </c>
    </row>
    <row r="2281" spans="1:6">
      <c r="A2281">
        <v>2280</v>
      </c>
      <c r="B2281" t="s">
        <v>7650</v>
      </c>
      <c r="C2281">
        <v>250</v>
      </c>
      <c r="D2281">
        <v>750</v>
      </c>
      <c r="E2281">
        <v>50</v>
      </c>
      <c r="F2281" s="69">
        <v>45024</v>
      </c>
    </row>
    <row r="2282" spans="1:6">
      <c r="A2282">
        <v>2281</v>
      </c>
      <c r="B2282" t="s">
        <v>7653</v>
      </c>
      <c r="C2282">
        <v>5000</v>
      </c>
      <c r="D2282">
        <v>0</v>
      </c>
      <c r="E2282">
        <v>250</v>
      </c>
      <c r="F2282" s="77">
        <v>44914</v>
      </c>
    </row>
    <row r="2283" ht="15" spans="1:6">
      <c r="A2283">
        <v>2282</v>
      </c>
      <c r="B2283" t="s">
        <v>7656</v>
      </c>
      <c r="C2283">
        <v>1000000</v>
      </c>
      <c r="D2283">
        <v>500000</v>
      </c>
      <c r="E2283" t="s">
        <v>16642</v>
      </c>
      <c r="F2283" s="98">
        <f>IFERROR(__xludf.DUMMYFUNCTION("""COMPUTED_VALUE"""),45084)</f>
        <v>45084</v>
      </c>
    </row>
    <row r="2284" ht="15" spans="1:6">
      <c r="A2284">
        <v>2283</v>
      </c>
      <c r="B2284" t="s">
        <v>7656</v>
      </c>
      <c r="C2284">
        <v>1000000</v>
      </c>
      <c r="D2284">
        <v>500000</v>
      </c>
      <c r="E2284" t="s">
        <v>16642</v>
      </c>
      <c r="F2284" s="98">
        <f>IFERROR(__xludf.DUMMYFUNCTION("""COMPUTED_VALUE"""),45084)</f>
        <v>45084</v>
      </c>
    </row>
    <row r="2285" spans="1:6">
      <c r="A2285">
        <v>2284</v>
      </c>
      <c r="B2285" t="s">
        <v>7657</v>
      </c>
      <c r="C2285">
        <v>250</v>
      </c>
      <c r="D2285">
        <v>750</v>
      </c>
      <c r="E2285">
        <v>50</v>
      </c>
      <c r="F2285" s="69">
        <v>44839</v>
      </c>
    </row>
    <row r="2286" spans="1:6">
      <c r="A2286">
        <v>2285</v>
      </c>
      <c r="B2286" t="s">
        <v>7660</v>
      </c>
      <c r="C2286">
        <v>1000</v>
      </c>
      <c r="D2286">
        <v>0</v>
      </c>
      <c r="E2286">
        <v>50</v>
      </c>
      <c r="F2286" s="60">
        <v>45021</v>
      </c>
    </row>
    <row r="2287" spans="1:6">
      <c r="A2287">
        <v>2286</v>
      </c>
      <c r="B2287" t="s">
        <v>7663</v>
      </c>
      <c r="C2287">
        <v>250</v>
      </c>
      <c r="D2287">
        <v>750</v>
      </c>
      <c r="E2287">
        <v>50</v>
      </c>
      <c r="F2287" s="60">
        <v>44879</v>
      </c>
    </row>
    <row r="2288" spans="1:6">
      <c r="A2288">
        <v>2287</v>
      </c>
      <c r="B2288" t="s">
        <v>7666</v>
      </c>
      <c r="C2288">
        <v>1000</v>
      </c>
      <c r="D2288">
        <v>0</v>
      </c>
      <c r="E2288">
        <v>50</v>
      </c>
      <c r="F2288" s="61">
        <v>44925</v>
      </c>
    </row>
    <row r="2289" spans="1:6">
      <c r="A2289">
        <v>2288</v>
      </c>
      <c r="B2289" t="s">
        <v>7669</v>
      </c>
      <c r="C2289">
        <v>250</v>
      </c>
      <c r="D2289">
        <v>750</v>
      </c>
      <c r="E2289">
        <v>50</v>
      </c>
      <c r="F2289" s="60">
        <v>44922</v>
      </c>
    </row>
    <row r="2290" spans="1:6">
      <c r="A2290">
        <v>2289</v>
      </c>
      <c r="B2290" t="s">
        <v>7672</v>
      </c>
      <c r="C2290">
        <v>250</v>
      </c>
      <c r="D2290">
        <v>750</v>
      </c>
      <c r="E2290">
        <v>50</v>
      </c>
      <c r="F2290" s="60">
        <v>44857</v>
      </c>
    </row>
    <row r="2291" spans="1:6">
      <c r="A2291">
        <v>2290</v>
      </c>
      <c r="B2291" t="s">
        <v>7675</v>
      </c>
      <c r="C2291">
        <v>1000</v>
      </c>
      <c r="D2291">
        <v>0</v>
      </c>
      <c r="E2291">
        <v>50</v>
      </c>
      <c r="F2291" s="71">
        <v>44925</v>
      </c>
    </row>
    <row r="2292" spans="1:6">
      <c r="A2292">
        <v>2291</v>
      </c>
      <c r="B2292" t="s">
        <v>7678</v>
      </c>
      <c r="C2292">
        <v>1000</v>
      </c>
      <c r="D2292">
        <v>0</v>
      </c>
      <c r="E2292">
        <v>50</v>
      </c>
      <c r="F2292" s="61">
        <v>44940</v>
      </c>
    </row>
    <row r="2293" spans="1:6">
      <c r="A2293">
        <v>2292</v>
      </c>
      <c r="B2293" t="s">
        <v>7682</v>
      </c>
      <c r="C2293">
        <v>250</v>
      </c>
      <c r="D2293">
        <v>750</v>
      </c>
      <c r="E2293">
        <v>50</v>
      </c>
      <c r="F2293" s="71">
        <v>44925</v>
      </c>
    </row>
    <row r="2294" spans="1:6">
      <c r="A2294">
        <v>2293</v>
      </c>
      <c r="B2294" t="s">
        <v>7685</v>
      </c>
      <c r="C2294">
        <v>250</v>
      </c>
      <c r="D2294">
        <v>750</v>
      </c>
      <c r="E2294">
        <v>50</v>
      </c>
      <c r="F2294" s="61">
        <v>44872</v>
      </c>
    </row>
    <row r="2295" spans="1:6">
      <c r="A2295">
        <v>2294</v>
      </c>
      <c r="B2295" t="s">
        <v>7688</v>
      </c>
      <c r="C2295">
        <v>250</v>
      </c>
      <c r="D2295">
        <v>750</v>
      </c>
      <c r="E2295">
        <v>50</v>
      </c>
      <c r="F2295" s="61">
        <v>44849</v>
      </c>
    </row>
    <row r="2296" spans="1:6">
      <c r="A2296">
        <v>2295</v>
      </c>
      <c r="B2296" t="s">
        <v>7691</v>
      </c>
      <c r="C2296">
        <v>250</v>
      </c>
      <c r="D2296">
        <v>750</v>
      </c>
      <c r="E2296">
        <v>50</v>
      </c>
      <c r="F2296" s="71">
        <v>44914</v>
      </c>
    </row>
    <row r="2297" spans="1:6">
      <c r="A2297">
        <v>2296</v>
      </c>
      <c r="B2297" t="s">
        <v>7694</v>
      </c>
      <c r="C2297">
        <v>250</v>
      </c>
      <c r="D2297">
        <v>750</v>
      </c>
      <c r="E2297">
        <v>50</v>
      </c>
      <c r="F2297" s="60">
        <v>44845</v>
      </c>
    </row>
    <row r="2298" spans="1:6">
      <c r="A2298">
        <v>2297</v>
      </c>
      <c r="B2298" t="s">
        <v>7697</v>
      </c>
      <c r="C2298">
        <v>250</v>
      </c>
      <c r="D2298">
        <v>750</v>
      </c>
      <c r="E2298">
        <v>50</v>
      </c>
      <c r="F2298" s="61">
        <v>44845</v>
      </c>
    </row>
    <row r="2299" spans="1:6">
      <c r="A2299">
        <v>2298</v>
      </c>
      <c r="B2299" t="s">
        <v>7701</v>
      </c>
      <c r="C2299">
        <v>250</v>
      </c>
      <c r="D2299">
        <v>750</v>
      </c>
      <c r="E2299">
        <v>50</v>
      </c>
      <c r="F2299" s="61">
        <v>44876</v>
      </c>
    </row>
    <row r="2300" spans="1:6">
      <c r="A2300">
        <v>2299</v>
      </c>
      <c r="B2300" t="s">
        <v>7705</v>
      </c>
      <c r="C2300">
        <v>250</v>
      </c>
      <c r="D2300">
        <v>750</v>
      </c>
      <c r="E2300">
        <v>50</v>
      </c>
      <c r="F2300" s="71">
        <v>44875</v>
      </c>
    </row>
    <row r="2301" spans="1:6">
      <c r="A2301">
        <v>2300</v>
      </c>
      <c r="B2301" t="s">
        <v>7709</v>
      </c>
      <c r="C2301">
        <v>250</v>
      </c>
      <c r="D2301">
        <v>750</v>
      </c>
      <c r="E2301">
        <v>50</v>
      </c>
      <c r="F2301" s="72">
        <v>44873</v>
      </c>
    </row>
    <row r="2302" spans="1:6">
      <c r="A2302">
        <v>2301</v>
      </c>
      <c r="B2302" t="s">
        <v>7712</v>
      </c>
      <c r="C2302">
        <v>250</v>
      </c>
      <c r="D2302">
        <v>750</v>
      </c>
      <c r="E2302">
        <v>50</v>
      </c>
      <c r="F2302" s="69">
        <v>45014</v>
      </c>
    </row>
    <row r="2303" spans="1:6">
      <c r="A2303">
        <v>2302</v>
      </c>
      <c r="B2303" t="s">
        <v>7715</v>
      </c>
      <c r="C2303">
        <v>1000</v>
      </c>
      <c r="D2303">
        <v>0</v>
      </c>
      <c r="E2303">
        <v>50</v>
      </c>
      <c r="F2303" s="61">
        <v>44849</v>
      </c>
    </row>
    <row r="2304" spans="1:6">
      <c r="A2304">
        <v>2303</v>
      </c>
      <c r="B2304" t="s">
        <v>7718</v>
      </c>
      <c r="C2304">
        <v>250</v>
      </c>
      <c r="D2304">
        <v>750</v>
      </c>
      <c r="E2304">
        <v>50</v>
      </c>
      <c r="F2304" s="75">
        <v>44869</v>
      </c>
    </row>
    <row r="2305" spans="1:6">
      <c r="A2305">
        <v>2304</v>
      </c>
      <c r="B2305" t="s">
        <v>7721</v>
      </c>
      <c r="C2305">
        <v>250</v>
      </c>
      <c r="D2305">
        <v>750</v>
      </c>
      <c r="E2305">
        <v>50</v>
      </c>
      <c r="F2305" s="60">
        <v>44879</v>
      </c>
    </row>
    <row r="2306" spans="1:6">
      <c r="A2306">
        <v>2305</v>
      </c>
      <c r="B2306" t="s">
        <v>7725</v>
      </c>
      <c r="C2306">
        <v>250</v>
      </c>
      <c r="D2306">
        <v>750</v>
      </c>
      <c r="E2306">
        <v>50</v>
      </c>
      <c r="F2306" s="75">
        <v>44925</v>
      </c>
    </row>
    <row r="2307" spans="1:6">
      <c r="A2307">
        <v>2306</v>
      </c>
      <c r="B2307" t="s">
        <v>7728</v>
      </c>
      <c r="C2307">
        <v>1000</v>
      </c>
      <c r="D2307">
        <v>0</v>
      </c>
      <c r="E2307">
        <v>50</v>
      </c>
      <c r="F2307" s="64" t="s">
        <v>16673</v>
      </c>
    </row>
    <row r="2308" spans="1:6">
      <c r="A2308">
        <v>2307</v>
      </c>
      <c r="B2308" t="s">
        <v>7732</v>
      </c>
      <c r="C2308">
        <v>250</v>
      </c>
      <c r="D2308">
        <v>750</v>
      </c>
      <c r="E2308">
        <v>50</v>
      </c>
      <c r="F2308" s="61">
        <v>44830</v>
      </c>
    </row>
    <row r="2309" spans="1:6">
      <c r="A2309">
        <v>2308</v>
      </c>
      <c r="B2309" t="s">
        <v>7735</v>
      </c>
      <c r="C2309">
        <v>250</v>
      </c>
      <c r="D2309">
        <v>750</v>
      </c>
      <c r="E2309">
        <v>50</v>
      </c>
      <c r="F2309" s="61">
        <v>44925</v>
      </c>
    </row>
    <row r="2310" spans="1:6">
      <c r="A2310">
        <v>2309</v>
      </c>
      <c r="B2310" t="s">
        <v>7738</v>
      </c>
      <c r="C2310">
        <v>250</v>
      </c>
      <c r="D2310">
        <v>750</v>
      </c>
      <c r="E2310">
        <v>50</v>
      </c>
      <c r="F2310" s="61">
        <v>44905</v>
      </c>
    </row>
    <row r="2311" spans="1:6">
      <c r="A2311">
        <v>2310</v>
      </c>
      <c r="B2311" t="s">
        <v>7742</v>
      </c>
      <c r="C2311">
        <v>250</v>
      </c>
      <c r="D2311">
        <v>750</v>
      </c>
      <c r="E2311">
        <v>50</v>
      </c>
      <c r="F2311" s="60">
        <v>44827</v>
      </c>
    </row>
    <row r="2312" spans="1:6">
      <c r="A2312">
        <v>2311</v>
      </c>
      <c r="B2312" t="s">
        <v>7746</v>
      </c>
      <c r="C2312">
        <v>250</v>
      </c>
      <c r="D2312">
        <v>750</v>
      </c>
      <c r="E2312">
        <v>50</v>
      </c>
      <c r="F2312" s="60">
        <v>45045</v>
      </c>
    </row>
    <row r="2313" spans="1:6">
      <c r="A2313">
        <v>2312</v>
      </c>
      <c r="B2313" t="s">
        <v>7749</v>
      </c>
      <c r="C2313">
        <v>250</v>
      </c>
      <c r="D2313">
        <v>750</v>
      </c>
      <c r="E2313">
        <v>50</v>
      </c>
      <c r="F2313" s="61">
        <v>44859</v>
      </c>
    </row>
    <row r="2314" spans="1:6">
      <c r="A2314">
        <v>2313</v>
      </c>
      <c r="B2314" t="s">
        <v>7752</v>
      </c>
      <c r="C2314">
        <v>250</v>
      </c>
      <c r="D2314">
        <v>750</v>
      </c>
      <c r="E2314">
        <v>50</v>
      </c>
      <c r="F2314" s="61">
        <v>45000</v>
      </c>
    </row>
    <row r="2315" spans="1:6">
      <c r="A2315">
        <v>2314</v>
      </c>
      <c r="B2315" t="s">
        <v>7755</v>
      </c>
      <c r="C2315">
        <v>250</v>
      </c>
      <c r="D2315">
        <v>750</v>
      </c>
      <c r="E2315">
        <v>50</v>
      </c>
      <c r="F2315" s="100" t="s">
        <v>16669</v>
      </c>
    </row>
    <row r="2316" spans="1:6">
      <c r="A2316">
        <v>2315</v>
      </c>
      <c r="B2316" t="s">
        <v>7758</v>
      </c>
      <c r="C2316">
        <v>5000</v>
      </c>
      <c r="D2316">
        <v>0</v>
      </c>
      <c r="E2316">
        <v>250</v>
      </c>
      <c r="F2316" s="67"/>
    </row>
    <row r="2317" spans="1:6">
      <c r="A2317">
        <v>2316</v>
      </c>
      <c r="B2317" t="s">
        <v>7761</v>
      </c>
      <c r="C2317">
        <v>1000000</v>
      </c>
      <c r="D2317">
        <v>500000</v>
      </c>
      <c r="E2317" t="s">
        <v>16642</v>
      </c>
      <c r="F2317" s="80">
        <f>IFERROR(__xludf.DUMMYFUNCTION("""COMPUTED_VALUE"""),45080)</f>
        <v>45080</v>
      </c>
    </row>
    <row r="2318" spans="1:6">
      <c r="A2318">
        <v>2317</v>
      </c>
      <c r="B2318" t="s">
        <v>7762</v>
      </c>
      <c r="C2318">
        <v>1000</v>
      </c>
      <c r="D2318">
        <v>0</v>
      </c>
      <c r="E2318">
        <v>50</v>
      </c>
      <c r="F2318" s="75">
        <v>44901</v>
      </c>
    </row>
    <row r="2319" spans="1:6">
      <c r="A2319">
        <v>2318</v>
      </c>
      <c r="B2319" t="s">
        <v>7766</v>
      </c>
      <c r="C2319">
        <v>5000</v>
      </c>
      <c r="D2319">
        <v>0</v>
      </c>
      <c r="E2319">
        <v>250</v>
      </c>
      <c r="F2319" s="64" t="s">
        <v>16648</v>
      </c>
    </row>
    <row r="2320" spans="1:6">
      <c r="A2320">
        <v>2319</v>
      </c>
      <c r="B2320" t="s">
        <v>7770</v>
      </c>
      <c r="C2320">
        <v>250</v>
      </c>
      <c r="D2320">
        <v>750</v>
      </c>
      <c r="E2320">
        <v>50</v>
      </c>
      <c r="F2320" s="61">
        <v>44953</v>
      </c>
    </row>
    <row r="2321" spans="1:6">
      <c r="A2321">
        <v>2320</v>
      </c>
      <c r="B2321" t="s">
        <v>7774</v>
      </c>
      <c r="C2321">
        <v>250</v>
      </c>
      <c r="D2321">
        <v>750</v>
      </c>
      <c r="E2321">
        <v>50</v>
      </c>
      <c r="F2321" s="60">
        <v>44873</v>
      </c>
    </row>
    <row r="2322" spans="1:6">
      <c r="A2322">
        <v>2321</v>
      </c>
      <c r="B2322" t="s">
        <v>7777</v>
      </c>
      <c r="C2322">
        <v>5000</v>
      </c>
      <c r="D2322">
        <v>0</v>
      </c>
      <c r="E2322">
        <v>250</v>
      </c>
      <c r="F2322" s="67">
        <v>44851</v>
      </c>
    </row>
    <row r="2323" spans="1:6">
      <c r="A2323">
        <v>2322</v>
      </c>
      <c r="B2323" t="s">
        <v>7780</v>
      </c>
      <c r="C2323">
        <v>5000</v>
      </c>
      <c r="D2323">
        <v>0</v>
      </c>
      <c r="E2323">
        <v>250</v>
      </c>
      <c r="F2323" s="67">
        <v>45078</v>
      </c>
    </row>
    <row r="2324" spans="1:6">
      <c r="A2324">
        <v>2323</v>
      </c>
      <c r="B2324" t="s">
        <v>7783</v>
      </c>
      <c r="C2324">
        <v>1000</v>
      </c>
      <c r="D2324">
        <v>0</v>
      </c>
      <c r="E2324">
        <v>50</v>
      </c>
      <c r="F2324" s="61">
        <v>44989</v>
      </c>
    </row>
    <row r="2325" spans="1:6">
      <c r="A2325">
        <v>2324</v>
      </c>
      <c r="B2325" t="s">
        <v>7786</v>
      </c>
      <c r="C2325">
        <v>250</v>
      </c>
      <c r="D2325">
        <v>750</v>
      </c>
      <c r="E2325">
        <v>50</v>
      </c>
      <c r="F2325" s="75">
        <v>45000</v>
      </c>
    </row>
    <row r="2326" spans="1:6">
      <c r="A2326">
        <v>2325</v>
      </c>
      <c r="B2326" t="s">
        <v>7789</v>
      </c>
      <c r="C2326">
        <v>250</v>
      </c>
      <c r="D2326">
        <v>750</v>
      </c>
      <c r="E2326">
        <v>50</v>
      </c>
      <c r="F2326" s="72">
        <v>44951</v>
      </c>
    </row>
    <row r="2327" spans="1:6">
      <c r="A2327">
        <v>2326</v>
      </c>
      <c r="B2327" t="s">
        <v>7792</v>
      </c>
      <c r="C2327">
        <v>30000</v>
      </c>
      <c r="D2327">
        <v>0</v>
      </c>
      <c r="E2327">
        <v>1500</v>
      </c>
      <c r="F2327" s="67">
        <v>45084</v>
      </c>
    </row>
    <row r="2328" ht="15" spans="1:6">
      <c r="A2328">
        <v>2327</v>
      </c>
      <c r="B2328" t="s">
        <v>7795</v>
      </c>
      <c r="C2328">
        <v>1000000</v>
      </c>
      <c r="D2328">
        <v>500000</v>
      </c>
      <c r="E2328" t="s">
        <v>16642</v>
      </c>
      <c r="F2328" s="81">
        <f>IFERROR(__xludf.DUMMYFUNCTION("""COMPUTED_VALUE"""),45078)</f>
        <v>45078</v>
      </c>
    </row>
    <row r="2329" spans="1:6">
      <c r="A2329">
        <v>2328</v>
      </c>
      <c r="B2329" t="s">
        <v>7796</v>
      </c>
      <c r="C2329">
        <v>2000</v>
      </c>
      <c r="D2329">
        <v>0</v>
      </c>
      <c r="E2329">
        <v>100</v>
      </c>
      <c r="F2329" s="64" t="s">
        <v>16780</v>
      </c>
    </row>
    <row r="2330" spans="1:6">
      <c r="A2330">
        <v>2329</v>
      </c>
      <c r="B2330" t="s">
        <v>7800</v>
      </c>
      <c r="C2330">
        <v>2000</v>
      </c>
      <c r="D2330">
        <v>0</v>
      </c>
      <c r="E2330">
        <v>100</v>
      </c>
      <c r="F2330" s="64" t="s">
        <v>16780</v>
      </c>
    </row>
    <row r="2331" spans="1:6">
      <c r="A2331">
        <v>2330</v>
      </c>
      <c r="B2331" t="s">
        <v>7804</v>
      </c>
      <c r="C2331">
        <v>5000</v>
      </c>
      <c r="D2331">
        <v>0</v>
      </c>
      <c r="E2331">
        <v>250</v>
      </c>
      <c r="F2331" s="64" t="s">
        <v>16780</v>
      </c>
    </row>
    <row r="2332" spans="1:6">
      <c r="A2332">
        <v>2331</v>
      </c>
      <c r="B2332" t="s">
        <v>7808</v>
      </c>
      <c r="C2332">
        <v>1250</v>
      </c>
      <c r="D2332">
        <v>3750</v>
      </c>
      <c r="E2332">
        <v>250</v>
      </c>
      <c r="F2332" s="67">
        <v>44981</v>
      </c>
    </row>
    <row r="2333" spans="1:6">
      <c r="A2333">
        <v>2332</v>
      </c>
      <c r="B2333" t="s">
        <v>7811</v>
      </c>
      <c r="C2333">
        <v>200000</v>
      </c>
      <c r="D2333">
        <v>0</v>
      </c>
      <c r="E2333" t="s">
        <v>16642</v>
      </c>
      <c r="F2333" s="104"/>
    </row>
    <row r="2334" spans="1:6">
      <c r="A2334">
        <v>2333</v>
      </c>
      <c r="B2334" t="s">
        <v>7816</v>
      </c>
      <c r="C2334">
        <v>7000</v>
      </c>
      <c r="D2334">
        <v>0</v>
      </c>
      <c r="E2334">
        <v>350</v>
      </c>
      <c r="F2334" s="64" t="s">
        <v>16703</v>
      </c>
    </row>
    <row r="2335" spans="1:6">
      <c r="A2335">
        <v>2334</v>
      </c>
      <c r="B2335" t="s">
        <v>7820</v>
      </c>
      <c r="C2335">
        <v>7000</v>
      </c>
      <c r="D2335">
        <v>0</v>
      </c>
      <c r="E2335">
        <v>350</v>
      </c>
      <c r="F2335" s="64" t="s">
        <v>16703</v>
      </c>
    </row>
    <row r="2336" spans="1:6">
      <c r="A2336">
        <v>2335</v>
      </c>
      <c r="B2336" t="s">
        <v>7824</v>
      </c>
      <c r="C2336">
        <v>250</v>
      </c>
      <c r="D2336">
        <v>750</v>
      </c>
      <c r="E2336">
        <v>50</v>
      </c>
      <c r="F2336" s="61">
        <v>44867</v>
      </c>
    </row>
    <row r="2337" spans="1:6">
      <c r="A2337">
        <v>2336</v>
      </c>
      <c r="B2337" t="s">
        <v>7827</v>
      </c>
      <c r="C2337">
        <v>250</v>
      </c>
      <c r="D2337">
        <v>750</v>
      </c>
      <c r="E2337">
        <v>50</v>
      </c>
      <c r="F2337" s="61">
        <v>44848</v>
      </c>
    </row>
    <row r="2338" ht="15" spans="1:6">
      <c r="A2338">
        <v>2337</v>
      </c>
      <c r="B2338" t="s">
        <v>7830</v>
      </c>
      <c r="C2338">
        <v>1500000</v>
      </c>
      <c r="D2338">
        <v>0</v>
      </c>
      <c r="E2338" t="s">
        <v>16642</v>
      </c>
      <c r="F2338" s="81">
        <f>IFERROR(__xludf.DUMMYFUNCTION("""COMPUTED_VALUE"""),45082)</f>
        <v>45082</v>
      </c>
    </row>
    <row r="2339" spans="1:6">
      <c r="A2339">
        <v>2338</v>
      </c>
      <c r="B2339" t="s">
        <v>7831</v>
      </c>
      <c r="C2339">
        <v>10000</v>
      </c>
      <c r="D2339">
        <v>0</v>
      </c>
      <c r="E2339">
        <v>500</v>
      </c>
      <c r="F2339" s="65">
        <v>44441</v>
      </c>
    </row>
    <row r="2340" spans="1:6">
      <c r="A2340">
        <v>2339</v>
      </c>
      <c r="B2340" t="s">
        <v>7836</v>
      </c>
      <c r="C2340">
        <v>250</v>
      </c>
      <c r="D2340">
        <v>750</v>
      </c>
      <c r="E2340">
        <v>50</v>
      </c>
      <c r="F2340" s="60">
        <v>44873</v>
      </c>
    </row>
    <row r="2341" spans="1:6">
      <c r="A2341">
        <v>2340</v>
      </c>
      <c r="B2341" t="s">
        <v>7839</v>
      </c>
      <c r="C2341">
        <v>500</v>
      </c>
      <c r="D2341">
        <v>500</v>
      </c>
      <c r="E2341">
        <v>50</v>
      </c>
      <c r="F2341" s="61">
        <v>44872</v>
      </c>
    </row>
    <row r="2342" spans="1:6">
      <c r="A2342">
        <v>2341</v>
      </c>
      <c r="B2342" t="s">
        <v>7842</v>
      </c>
      <c r="C2342">
        <v>20000</v>
      </c>
      <c r="D2342">
        <v>0</v>
      </c>
      <c r="E2342">
        <v>1000</v>
      </c>
      <c r="F2342" s="77">
        <v>44800</v>
      </c>
    </row>
    <row r="2343" spans="1:6">
      <c r="A2343">
        <v>2342</v>
      </c>
      <c r="B2343" t="s">
        <v>7845</v>
      </c>
      <c r="C2343">
        <v>30000</v>
      </c>
      <c r="D2343">
        <v>0</v>
      </c>
      <c r="E2343">
        <v>1500</v>
      </c>
      <c r="F2343" s="67">
        <v>45128</v>
      </c>
    </row>
    <row r="2344" spans="1:6">
      <c r="A2344">
        <v>2343</v>
      </c>
      <c r="B2344" t="s">
        <v>7848</v>
      </c>
      <c r="C2344">
        <v>2000</v>
      </c>
      <c r="D2344">
        <v>0</v>
      </c>
      <c r="E2344">
        <v>100</v>
      </c>
      <c r="F2344" s="79">
        <v>44858</v>
      </c>
    </row>
    <row r="2345" spans="1:6">
      <c r="A2345">
        <v>2344</v>
      </c>
      <c r="B2345" t="s">
        <v>7851</v>
      </c>
      <c r="C2345">
        <v>250</v>
      </c>
      <c r="D2345">
        <v>750</v>
      </c>
      <c r="E2345">
        <v>50</v>
      </c>
      <c r="F2345" s="61">
        <v>44867</v>
      </c>
    </row>
    <row r="2346" spans="1:6">
      <c r="A2346">
        <v>2345</v>
      </c>
      <c r="B2346" t="s">
        <v>7855</v>
      </c>
      <c r="C2346">
        <v>250</v>
      </c>
      <c r="D2346">
        <v>750</v>
      </c>
      <c r="E2346">
        <v>50</v>
      </c>
      <c r="F2346" s="71">
        <v>44916</v>
      </c>
    </row>
    <row r="2347" spans="1:6">
      <c r="A2347">
        <v>2346</v>
      </c>
      <c r="B2347" t="s">
        <v>7858</v>
      </c>
      <c r="C2347">
        <v>25000</v>
      </c>
      <c r="D2347">
        <v>75000</v>
      </c>
      <c r="E2347">
        <v>5000</v>
      </c>
      <c r="F2347" s="67">
        <v>44996</v>
      </c>
    </row>
    <row r="2348" spans="1:6">
      <c r="A2348">
        <v>2347</v>
      </c>
      <c r="B2348" t="s">
        <v>7861</v>
      </c>
      <c r="C2348">
        <v>20000</v>
      </c>
      <c r="D2348">
        <v>0</v>
      </c>
      <c r="E2348">
        <v>1000</v>
      </c>
      <c r="F2348" s="64" t="s">
        <v>16718</v>
      </c>
    </row>
    <row r="2349" spans="1:6">
      <c r="A2349">
        <v>2348</v>
      </c>
      <c r="B2349" t="s">
        <v>7865</v>
      </c>
      <c r="C2349">
        <v>250</v>
      </c>
      <c r="D2349">
        <v>750</v>
      </c>
      <c r="E2349">
        <v>50</v>
      </c>
      <c r="F2349" s="73">
        <v>44950</v>
      </c>
    </row>
    <row r="2350" spans="1:6">
      <c r="A2350">
        <v>2349</v>
      </c>
      <c r="B2350" t="s">
        <v>7869</v>
      </c>
      <c r="C2350">
        <v>1800</v>
      </c>
      <c r="D2350">
        <v>0</v>
      </c>
      <c r="E2350">
        <v>90</v>
      </c>
      <c r="F2350" s="64" t="s">
        <v>16693</v>
      </c>
    </row>
    <row r="2351" spans="1:6">
      <c r="A2351">
        <v>2350</v>
      </c>
      <c r="B2351" t="s">
        <v>7873</v>
      </c>
      <c r="C2351">
        <v>1000</v>
      </c>
      <c r="D2351">
        <v>0</v>
      </c>
      <c r="E2351">
        <v>50</v>
      </c>
      <c r="F2351" s="65">
        <v>44516</v>
      </c>
    </row>
    <row r="2352" spans="1:6">
      <c r="A2352">
        <v>2351</v>
      </c>
      <c r="B2352" t="s">
        <v>7877</v>
      </c>
      <c r="C2352">
        <v>10000</v>
      </c>
      <c r="D2352">
        <v>0</v>
      </c>
      <c r="E2352">
        <v>500</v>
      </c>
      <c r="F2352" s="65">
        <v>44881</v>
      </c>
    </row>
    <row r="2353" spans="1:6">
      <c r="A2353">
        <v>2352</v>
      </c>
      <c r="B2353" t="s">
        <v>7880</v>
      </c>
      <c r="C2353">
        <v>1000</v>
      </c>
      <c r="D2353">
        <v>0</v>
      </c>
      <c r="E2353">
        <v>50</v>
      </c>
      <c r="F2353" s="130">
        <v>45015</v>
      </c>
    </row>
    <row r="2354" spans="1:6">
      <c r="A2354">
        <v>2353</v>
      </c>
      <c r="B2354" t="s">
        <v>7883</v>
      </c>
      <c r="C2354">
        <v>20000</v>
      </c>
      <c r="D2354">
        <v>0</v>
      </c>
      <c r="E2354">
        <v>1000</v>
      </c>
      <c r="F2354" s="64" t="s">
        <v>16778</v>
      </c>
    </row>
    <row r="2355" spans="1:6">
      <c r="A2355">
        <v>2354</v>
      </c>
      <c r="B2355" t="s">
        <v>7887</v>
      </c>
      <c r="C2355">
        <v>20000</v>
      </c>
      <c r="D2355">
        <v>0</v>
      </c>
      <c r="E2355">
        <v>1000</v>
      </c>
      <c r="F2355" s="64" t="s">
        <v>16778</v>
      </c>
    </row>
    <row r="2356" spans="1:6">
      <c r="A2356">
        <v>2355</v>
      </c>
      <c r="B2356" t="s">
        <v>7891</v>
      </c>
      <c r="C2356">
        <v>0</v>
      </c>
      <c r="D2356">
        <v>1000</v>
      </c>
      <c r="E2356">
        <v>50</v>
      </c>
      <c r="F2356" s="64" t="s">
        <v>16781</v>
      </c>
    </row>
    <row r="2357" spans="1:6">
      <c r="A2357">
        <v>2356</v>
      </c>
      <c r="B2357" t="s">
        <v>7895</v>
      </c>
      <c r="C2357">
        <v>5500</v>
      </c>
      <c r="D2357">
        <v>2500</v>
      </c>
      <c r="E2357">
        <v>150</v>
      </c>
      <c r="F2357" s="64" t="s">
        <v>16742</v>
      </c>
    </row>
    <row r="2358" spans="1:6">
      <c r="A2358">
        <v>2357</v>
      </c>
      <c r="B2358" t="s">
        <v>7899</v>
      </c>
      <c r="C2358">
        <v>250</v>
      </c>
      <c r="D2358">
        <v>750</v>
      </c>
      <c r="E2358">
        <v>50</v>
      </c>
      <c r="F2358" s="117" t="s">
        <v>16669</v>
      </c>
    </row>
    <row r="2359" spans="1:6">
      <c r="A2359">
        <v>2358</v>
      </c>
      <c r="B2359" t="s">
        <v>7902</v>
      </c>
      <c r="C2359">
        <v>100000</v>
      </c>
      <c r="D2359">
        <v>0</v>
      </c>
      <c r="E2359" t="s">
        <v>16642</v>
      </c>
      <c r="F2359" s="66"/>
    </row>
    <row r="2360" spans="1:6">
      <c r="A2360">
        <v>2359</v>
      </c>
      <c r="B2360" t="s">
        <v>7907</v>
      </c>
      <c r="C2360">
        <v>250</v>
      </c>
      <c r="D2360">
        <v>750</v>
      </c>
      <c r="E2360">
        <v>50</v>
      </c>
      <c r="F2360" s="73">
        <v>44847</v>
      </c>
    </row>
    <row r="2361" spans="1:6">
      <c r="A2361">
        <v>2360</v>
      </c>
      <c r="B2361" t="s">
        <v>7910</v>
      </c>
      <c r="C2361">
        <v>250</v>
      </c>
      <c r="D2361">
        <v>750</v>
      </c>
      <c r="E2361">
        <v>50</v>
      </c>
      <c r="F2361" s="60">
        <v>44848</v>
      </c>
    </row>
    <row r="2362" spans="1:6">
      <c r="A2362">
        <v>2361</v>
      </c>
      <c r="B2362" t="s">
        <v>7914</v>
      </c>
      <c r="C2362">
        <v>500</v>
      </c>
      <c r="D2362">
        <v>500</v>
      </c>
      <c r="E2362">
        <v>50</v>
      </c>
      <c r="F2362" s="61">
        <v>44877</v>
      </c>
    </row>
    <row r="2363" spans="1:6">
      <c r="A2363">
        <v>2362</v>
      </c>
      <c r="B2363" t="s">
        <v>7917</v>
      </c>
      <c r="C2363">
        <v>500</v>
      </c>
      <c r="D2363">
        <v>500</v>
      </c>
      <c r="E2363">
        <v>50</v>
      </c>
      <c r="F2363" s="61">
        <v>44977</v>
      </c>
    </row>
    <row r="2364" spans="1:6">
      <c r="A2364">
        <v>2363</v>
      </c>
      <c r="B2364" t="s">
        <v>7920</v>
      </c>
      <c r="C2364">
        <v>250</v>
      </c>
      <c r="D2364">
        <v>750</v>
      </c>
      <c r="E2364">
        <v>50</v>
      </c>
      <c r="F2364" s="72">
        <v>44890</v>
      </c>
    </row>
    <row r="2365" spans="1:6">
      <c r="A2365">
        <v>2364</v>
      </c>
      <c r="B2365" t="s">
        <v>7923</v>
      </c>
      <c r="C2365">
        <v>10000</v>
      </c>
      <c r="D2365">
        <v>0</v>
      </c>
      <c r="E2365">
        <v>500</v>
      </c>
      <c r="F2365" s="64" t="s">
        <v>16763</v>
      </c>
    </row>
    <row r="2366" spans="1:6">
      <c r="A2366">
        <v>2365</v>
      </c>
      <c r="B2366" t="s">
        <v>7927</v>
      </c>
      <c r="C2366">
        <v>20000</v>
      </c>
      <c r="D2366">
        <v>0</v>
      </c>
      <c r="E2366">
        <v>500</v>
      </c>
      <c r="F2366" s="64" t="s">
        <v>16742</v>
      </c>
    </row>
    <row r="2367" spans="1:6">
      <c r="A2367">
        <v>2366</v>
      </c>
      <c r="B2367" t="s">
        <v>7931</v>
      </c>
      <c r="C2367">
        <v>100000</v>
      </c>
      <c r="D2367">
        <v>0</v>
      </c>
      <c r="E2367" t="s">
        <v>16642</v>
      </c>
      <c r="F2367" s="76">
        <v>44980</v>
      </c>
    </row>
    <row r="2368" spans="1:6">
      <c r="A2368">
        <v>2367</v>
      </c>
      <c r="B2368" t="s">
        <v>7934</v>
      </c>
      <c r="C2368">
        <v>100000</v>
      </c>
      <c r="D2368">
        <v>0</v>
      </c>
      <c r="E2368" t="s">
        <v>16642</v>
      </c>
      <c r="F2368" s="82">
        <v>44791</v>
      </c>
    </row>
    <row r="2369" spans="1:6">
      <c r="A2369">
        <v>2368</v>
      </c>
      <c r="B2369" t="s">
        <v>7939</v>
      </c>
      <c r="C2369">
        <v>250</v>
      </c>
      <c r="D2369">
        <v>750</v>
      </c>
      <c r="E2369">
        <v>50</v>
      </c>
      <c r="F2369" s="60">
        <v>44866</v>
      </c>
    </row>
    <row r="2370" spans="1:6">
      <c r="A2370">
        <v>2369</v>
      </c>
      <c r="B2370" t="s">
        <v>7942</v>
      </c>
      <c r="C2370">
        <v>250</v>
      </c>
      <c r="D2370">
        <v>750</v>
      </c>
      <c r="E2370">
        <v>50</v>
      </c>
      <c r="F2370" s="60">
        <v>45073</v>
      </c>
    </row>
    <row r="2371" spans="1:6">
      <c r="A2371">
        <v>2370</v>
      </c>
      <c r="B2371" t="s">
        <v>7945</v>
      </c>
      <c r="C2371">
        <v>250</v>
      </c>
      <c r="D2371">
        <v>750</v>
      </c>
      <c r="E2371">
        <v>50</v>
      </c>
      <c r="F2371" s="61">
        <v>44980</v>
      </c>
    </row>
    <row r="2372" spans="1:6">
      <c r="A2372">
        <v>2371</v>
      </c>
      <c r="B2372" t="s">
        <v>7948</v>
      </c>
      <c r="C2372">
        <v>250</v>
      </c>
      <c r="D2372">
        <v>750</v>
      </c>
      <c r="E2372">
        <v>50</v>
      </c>
      <c r="F2372" s="61">
        <v>44867</v>
      </c>
    </row>
    <row r="2373" spans="1:6">
      <c r="A2373">
        <v>2372</v>
      </c>
      <c r="B2373" t="s">
        <v>7951</v>
      </c>
      <c r="C2373">
        <v>250</v>
      </c>
      <c r="D2373">
        <v>750</v>
      </c>
      <c r="E2373">
        <v>50</v>
      </c>
      <c r="F2373" s="61">
        <v>44880</v>
      </c>
    </row>
    <row r="2374" spans="1:6">
      <c r="A2374">
        <v>2373</v>
      </c>
      <c r="B2374" t="s">
        <v>7954</v>
      </c>
      <c r="C2374">
        <v>250</v>
      </c>
      <c r="D2374">
        <v>750</v>
      </c>
      <c r="E2374">
        <v>50</v>
      </c>
      <c r="F2374" s="61">
        <v>44907</v>
      </c>
    </row>
    <row r="2375" spans="1:6">
      <c r="A2375">
        <v>2374</v>
      </c>
      <c r="B2375" t="s">
        <v>7958</v>
      </c>
      <c r="C2375">
        <v>250</v>
      </c>
      <c r="D2375">
        <v>750</v>
      </c>
      <c r="E2375">
        <v>50</v>
      </c>
      <c r="F2375" s="69">
        <v>44932</v>
      </c>
    </row>
    <row r="2376" spans="1:6">
      <c r="A2376">
        <v>2375</v>
      </c>
      <c r="B2376" t="s">
        <v>7962</v>
      </c>
      <c r="C2376">
        <v>250</v>
      </c>
      <c r="D2376">
        <v>750</v>
      </c>
      <c r="E2376">
        <v>50</v>
      </c>
      <c r="F2376" s="61">
        <v>44602</v>
      </c>
    </row>
    <row r="2377" spans="1:6">
      <c r="A2377">
        <v>2376</v>
      </c>
      <c r="B2377" t="s">
        <v>7966</v>
      </c>
      <c r="C2377">
        <v>300000</v>
      </c>
      <c r="D2377">
        <v>0</v>
      </c>
      <c r="E2377" t="s">
        <v>16642</v>
      </c>
      <c r="F2377" s="131"/>
    </row>
    <row r="2378" spans="1:6">
      <c r="A2378">
        <v>2377</v>
      </c>
      <c r="B2378" t="s">
        <v>7971</v>
      </c>
      <c r="C2378">
        <v>250</v>
      </c>
      <c r="D2378">
        <v>750</v>
      </c>
      <c r="E2378">
        <v>50</v>
      </c>
      <c r="F2378" s="60">
        <v>44998</v>
      </c>
    </row>
    <row r="2379" spans="1:6">
      <c r="A2379">
        <v>2378</v>
      </c>
      <c r="B2379" t="s">
        <v>7974</v>
      </c>
      <c r="C2379">
        <v>250</v>
      </c>
      <c r="D2379">
        <v>750</v>
      </c>
      <c r="E2379">
        <v>50</v>
      </c>
      <c r="F2379" s="60">
        <v>44951</v>
      </c>
    </row>
    <row r="2380" ht="15" spans="1:6">
      <c r="A2380">
        <v>2379</v>
      </c>
      <c r="B2380" t="s">
        <v>7977</v>
      </c>
      <c r="C2380">
        <v>1000000</v>
      </c>
      <c r="D2380">
        <v>500000</v>
      </c>
      <c r="E2380" t="s">
        <v>16642</v>
      </c>
      <c r="F2380" s="88">
        <f>IFERROR(__xludf.DUMMYFUNCTION("""COMPUTED_VALUE"""),45079)</f>
        <v>45079</v>
      </c>
    </row>
    <row r="2381" spans="1:6">
      <c r="A2381">
        <v>2380</v>
      </c>
      <c r="B2381" t="s">
        <v>7978</v>
      </c>
      <c r="C2381">
        <v>250</v>
      </c>
      <c r="D2381">
        <v>750</v>
      </c>
      <c r="E2381">
        <v>50</v>
      </c>
      <c r="F2381" s="75">
        <v>44896</v>
      </c>
    </row>
    <row r="2382" spans="1:6">
      <c r="A2382">
        <v>2381</v>
      </c>
      <c r="B2382" t="s">
        <v>7981</v>
      </c>
      <c r="C2382">
        <v>250</v>
      </c>
      <c r="D2382">
        <v>750</v>
      </c>
      <c r="E2382">
        <v>50</v>
      </c>
      <c r="F2382" s="69">
        <v>44947</v>
      </c>
    </row>
    <row r="2383" spans="1:6">
      <c r="A2383">
        <v>2382</v>
      </c>
      <c r="B2383" t="s">
        <v>7984</v>
      </c>
      <c r="C2383">
        <v>250</v>
      </c>
      <c r="D2383">
        <v>750</v>
      </c>
      <c r="E2383">
        <v>50</v>
      </c>
      <c r="F2383" s="75">
        <v>44909</v>
      </c>
    </row>
    <row r="2384" spans="1:6">
      <c r="A2384">
        <v>2383</v>
      </c>
      <c r="B2384" t="s">
        <v>7987</v>
      </c>
      <c r="C2384">
        <v>250</v>
      </c>
      <c r="D2384">
        <v>750</v>
      </c>
      <c r="E2384">
        <v>50</v>
      </c>
      <c r="F2384" s="60">
        <v>44851</v>
      </c>
    </row>
    <row r="2385" spans="1:6">
      <c r="A2385">
        <v>2384</v>
      </c>
      <c r="B2385" t="s">
        <v>7991</v>
      </c>
      <c r="C2385">
        <v>250</v>
      </c>
      <c r="D2385">
        <v>750</v>
      </c>
      <c r="E2385">
        <v>50</v>
      </c>
      <c r="F2385" s="61">
        <v>44846</v>
      </c>
    </row>
    <row r="2386" spans="1:6">
      <c r="A2386">
        <v>2385</v>
      </c>
      <c r="B2386" t="s">
        <v>7995</v>
      </c>
      <c r="C2386">
        <v>250</v>
      </c>
      <c r="D2386">
        <v>750</v>
      </c>
      <c r="E2386">
        <v>50</v>
      </c>
      <c r="F2386" s="60">
        <v>44852</v>
      </c>
    </row>
    <row r="2387" spans="1:6">
      <c r="A2387">
        <v>2386</v>
      </c>
      <c r="B2387" t="s">
        <v>7999</v>
      </c>
      <c r="C2387">
        <v>250</v>
      </c>
      <c r="D2387">
        <v>750</v>
      </c>
      <c r="E2387">
        <v>50</v>
      </c>
      <c r="F2387" s="61">
        <v>44855</v>
      </c>
    </row>
    <row r="2388" spans="1:6">
      <c r="A2388">
        <v>2387</v>
      </c>
      <c r="B2388" t="s">
        <v>8003</v>
      </c>
      <c r="C2388">
        <v>250</v>
      </c>
      <c r="D2388">
        <v>750</v>
      </c>
      <c r="E2388">
        <v>50</v>
      </c>
      <c r="F2388" s="60">
        <v>44849</v>
      </c>
    </row>
    <row r="2389" spans="1:6">
      <c r="A2389">
        <v>2388</v>
      </c>
      <c r="B2389" t="s">
        <v>8006</v>
      </c>
      <c r="C2389">
        <v>250</v>
      </c>
      <c r="D2389">
        <v>750</v>
      </c>
      <c r="E2389">
        <v>50</v>
      </c>
      <c r="F2389" s="61">
        <v>45031</v>
      </c>
    </row>
    <row r="2390" spans="1:6">
      <c r="A2390">
        <v>2389</v>
      </c>
      <c r="B2390" t="s">
        <v>8009</v>
      </c>
      <c r="C2390">
        <v>250</v>
      </c>
      <c r="D2390">
        <v>750</v>
      </c>
      <c r="E2390">
        <v>50</v>
      </c>
      <c r="F2390" s="69">
        <v>44960</v>
      </c>
    </row>
    <row r="2391" spans="1:6">
      <c r="A2391">
        <v>2390</v>
      </c>
      <c r="B2391" t="s">
        <v>8013</v>
      </c>
      <c r="C2391">
        <v>1000</v>
      </c>
      <c r="D2391">
        <v>0</v>
      </c>
      <c r="E2391">
        <v>50</v>
      </c>
      <c r="F2391" s="69">
        <v>44963</v>
      </c>
    </row>
    <row r="2392" spans="1:6">
      <c r="A2392">
        <v>2391</v>
      </c>
      <c r="B2392" t="s">
        <v>8017</v>
      </c>
      <c r="C2392">
        <v>250</v>
      </c>
      <c r="D2392">
        <v>750</v>
      </c>
      <c r="E2392">
        <v>50</v>
      </c>
      <c r="F2392" s="75">
        <v>44925</v>
      </c>
    </row>
    <row r="2393" spans="1:6">
      <c r="A2393">
        <v>2392</v>
      </c>
      <c r="B2393" t="s">
        <v>8020</v>
      </c>
      <c r="C2393">
        <v>250</v>
      </c>
      <c r="D2393">
        <v>750</v>
      </c>
      <c r="E2393">
        <v>50</v>
      </c>
      <c r="F2393" s="60">
        <v>44921</v>
      </c>
    </row>
    <row r="2394" spans="1:6">
      <c r="A2394">
        <v>2393</v>
      </c>
      <c r="B2394" t="s">
        <v>8024</v>
      </c>
      <c r="C2394">
        <v>2000</v>
      </c>
      <c r="D2394">
        <v>0</v>
      </c>
      <c r="E2394">
        <v>100</v>
      </c>
      <c r="F2394" s="77">
        <v>44736</v>
      </c>
    </row>
    <row r="2395" spans="1:6">
      <c r="A2395">
        <v>2394</v>
      </c>
      <c r="B2395" t="s">
        <v>8027</v>
      </c>
      <c r="C2395">
        <v>250</v>
      </c>
      <c r="D2395">
        <v>750</v>
      </c>
      <c r="E2395">
        <v>50</v>
      </c>
      <c r="F2395" s="61">
        <v>44950</v>
      </c>
    </row>
    <row r="2396" spans="1:6">
      <c r="A2396">
        <v>2395</v>
      </c>
      <c r="B2396" t="s">
        <v>8031</v>
      </c>
      <c r="C2396">
        <v>1000</v>
      </c>
      <c r="D2396">
        <v>0</v>
      </c>
      <c r="E2396">
        <v>50</v>
      </c>
      <c r="F2396" s="64" t="s">
        <v>16707</v>
      </c>
    </row>
    <row r="2397" spans="1:6">
      <c r="A2397">
        <v>2396</v>
      </c>
      <c r="B2397" t="s">
        <v>8035</v>
      </c>
      <c r="C2397">
        <v>250</v>
      </c>
      <c r="D2397">
        <v>750</v>
      </c>
      <c r="E2397">
        <v>50</v>
      </c>
      <c r="F2397" s="60">
        <v>44652</v>
      </c>
    </row>
    <row r="2398" spans="1:6">
      <c r="A2398">
        <v>2397</v>
      </c>
      <c r="B2398" t="s">
        <v>8038</v>
      </c>
      <c r="C2398">
        <v>250</v>
      </c>
      <c r="D2398">
        <v>750</v>
      </c>
      <c r="E2398">
        <v>50</v>
      </c>
      <c r="F2398" s="69">
        <v>44978</v>
      </c>
    </row>
    <row r="2399" spans="1:6">
      <c r="A2399">
        <v>2398</v>
      </c>
      <c r="B2399" t="s">
        <v>8041</v>
      </c>
      <c r="C2399">
        <v>250</v>
      </c>
      <c r="D2399">
        <v>750</v>
      </c>
      <c r="E2399">
        <v>50</v>
      </c>
      <c r="F2399" s="100" t="s">
        <v>16669</v>
      </c>
    </row>
    <row r="2400" spans="1:6">
      <c r="A2400">
        <v>2399</v>
      </c>
      <c r="B2400" t="s">
        <v>8044</v>
      </c>
      <c r="C2400">
        <v>250</v>
      </c>
      <c r="D2400">
        <v>750</v>
      </c>
      <c r="E2400">
        <v>50</v>
      </c>
      <c r="F2400" s="69">
        <v>44936</v>
      </c>
    </row>
    <row r="2401" spans="1:6">
      <c r="A2401">
        <v>2400</v>
      </c>
      <c r="B2401" t="s">
        <v>8047</v>
      </c>
      <c r="C2401">
        <v>250</v>
      </c>
      <c r="D2401">
        <v>750</v>
      </c>
      <c r="E2401">
        <v>50</v>
      </c>
      <c r="F2401" s="60">
        <v>44879</v>
      </c>
    </row>
    <row r="2402" spans="1:6">
      <c r="A2402">
        <v>2401</v>
      </c>
      <c r="B2402" t="s">
        <v>8050</v>
      </c>
      <c r="C2402">
        <v>250</v>
      </c>
      <c r="D2402">
        <v>750</v>
      </c>
      <c r="E2402">
        <v>50</v>
      </c>
      <c r="F2402" s="73">
        <v>44890</v>
      </c>
    </row>
    <row r="2403" spans="1:6">
      <c r="A2403">
        <v>2402</v>
      </c>
      <c r="B2403" t="s">
        <v>8054</v>
      </c>
      <c r="C2403">
        <v>250</v>
      </c>
      <c r="D2403">
        <v>750</v>
      </c>
      <c r="E2403">
        <v>50</v>
      </c>
      <c r="F2403" s="60">
        <v>44873</v>
      </c>
    </row>
    <row r="2404" spans="1:6">
      <c r="A2404">
        <v>2403</v>
      </c>
      <c r="B2404" t="s">
        <v>8058</v>
      </c>
      <c r="C2404">
        <v>50000</v>
      </c>
      <c r="D2404">
        <v>0</v>
      </c>
      <c r="E2404">
        <v>2500</v>
      </c>
      <c r="F2404" s="64" t="s">
        <v>16782</v>
      </c>
    </row>
    <row r="2405" spans="1:6">
      <c r="A2405">
        <v>2404</v>
      </c>
      <c r="B2405" t="s">
        <v>8062</v>
      </c>
      <c r="C2405">
        <v>15000</v>
      </c>
      <c r="D2405">
        <v>0</v>
      </c>
      <c r="E2405">
        <v>750</v>
      </c>
      <c r="F2405" s="101">
        <v>44767</v>
      </c>
    </row>
    <row r="2406" spans="1:6">
      <c r="A2406">
        <v>2405</v>
      </c>
      <c r="B2406" t="s">
        <v>8065</v>
      </c>
      <c r="C2406">
        <v>500</v>
      </c>
      <c r="D2406">
        <v>1500</v>
      </c>
      <c r="E2406">
        <v>100</v>
      </c>
      <c r="F2406" s="69">
        <v>44968</v>
      </c>
    </row>
    <row r="2407" spans="1:6">
      <c r="A2407">
        <v>2406</v>
      </c>
      <c r="B2407" t="s">
        <v>8069</v>
      </c>
      <c r="C2407">
        <v>100000</v>
      </c>
      <c r="D2407">
        <v>0</v>
      </c>
      <c r="E2407" t="s">
        <v>16642</v>
      </c>
      <c r="F2407" s="66"/>
    </row>
    <row r="2408" spans="1:6">
      <c r="A2408">
        <v>2407</v>
      </c>
      <c r="B2408" t="s">
        <v>8073</v>
      </c>
      <c r="C2408">
        <v>250</v>
      </c>
      <c r="D2408">
        <v>750</v>
      </c>
      <c r="E2408">
        <v>50</v>
      </c>
      <c r="F2408" s="60">
        <v>44852</v>
      </c>
    </row>
    <row r="2409" spans="1:6">
      <c r="A2409">
        <v>2408</v>
      </c>
      <c r="B2409" t="s">
        <v>8076</v>
      </c>
      <c r="C2409">
        <v>1000</v>
      </c>
      <c r="D2409">
        <v>0</v>
      </c>
      <c r="E2409">
        <v>50</v>
      </c>
      <c r="F2409" s="60">
        <v>45013</v>
      </c>
    </row>
    <row r="2410" spans="1:6">
      <c r="A2410">
        <v>2409</v>
      </c>
      <c r="B2410" t="s">
        <v>8079</v>
      </c>
      <c r="C2410">
        <v>5000</v>
      </c>
      <c r="D2410">
        <v>0</v>
      </c>
      <c r="E2410">
        <v>250</v>
      </c>
      <c r="F2410" s="106">
        <v>44938</v>
      </c>
    </row>
    <row r="2411" spans="1:6">
      <c r="A2411">
        <v>2410</v>
      </c>
      <c r="B2411" t="s">
        <v>8082</v>
      </c>
      <c r="C2411">
        <v>250</v>
      </c>
      <c r="D2411">
        <v>750</v>
      </c>
      <c r="E2411">
        <v>50</v>
      </c>
      <c r="F2411" s="60">
        <v>44862</v>
      </c>
    </row>
    <row r="2412" spans="1:6">
      <c r="A2412">
        <v>2411</v>
      </c>
      <c r="B2412" t="s">
        <v>8085</v>
      </c>
      <c r="C2412">
        <v>250</v>
      </c>
      <c r="D2412">
        <v>750</v>
      </c>
      <c r="E2412">
        <v>50</v>
      </c>
      <c r="F2412" s="61">
        <v>44867</v>
      </c>
    </row>
    <row r="2413" spans="1:6">
      <c r="A2413">
        <v>2412</v>
      </c>
      <c r="B2413" t="s">
        <v>8088</v>
      </c>
      <c r="C2413">
        <v>750</v>
      </c>
      <c r="D2413">
        <v>2250</v>
      </c>
      <c r="E2413">
        <v>150</v>
      </c>
      <c r="F2413" s="60">
        <v>44931</v>
      </c>
    </row>
    <row r="2414" spans="1:6">
      <c r="A2414">
        <v>2413</v>
      </c>
      <c r="B2414" t="s">
        <v>8091</v>
      </c>
      <c r="C2414">
        <v>250</v>
      </c>
      <c r="D2414">
        <v>750</v>
      </c>
      <c r="E2414">
        <v>50</v>
      </c>
      <c r="F2414" s="61">
        <v>44931</v>
      </c>
    </row>
    <row r="2415" spans="1:6">
      <c r="A2415">
        <v>2414</v>
      </c>
      <c r="B2415" t="s">
        <v>8094</v>
      </c>
      <c r="C2415">
        <v>100000</v>
      </c>
      <c r="D2415">
        <v>0</v>
      </c>
      <c r="E2415" t="s">
        <v>16642</v>
      </c>
      <c r="F2415" s="76">
        <v>44935</v>
      </c>
    </row>
    <row r="2416" spans="1:6">
      <c r="A2416">
        <v>2415</v>
      </c>
      <c r="B2416" t="s">
        <v>8099</v>
      </c>
      <c r="C2416">
        <v>500000</v>
      </c>
      <c r="D2416">
        <v>0</v>
      </c>
      <c r="E2416" t="s">
        <v>16642</v>
      </c>
      <c r="F2416" s="66"/>
    </row>
    <row r="2417" spans="1:6">
      <c r="A2417">
        <v>2416</v>
      </c>
      <c r="B2417" t="s">
        <v>8104</v>
      </c>
      <c r="C2417">
        <v>1000</v>
      </c>
      <c r="D2417">
        <v>0</v>
      </c>
      <c r="E2417">
        <v>50</v>
      </c>
      <c r="F2417" s="69">
        <v>44968</v>
      </c>
    </row>
    <row r="2418" spans="1:6">
      <c r="A2418">
        <v>2417</v>
      </c>
      <c r="B2418" t="s">
        <v>8108</v>
      </c>
      <c r="C2418">
        <v>250</v>
      </c>
      <c r="D2418">
        <v>750</v>
      </c>
      <c r="E2418">
        <v>50</v>
      </c>
      <c r="F2418" s="75">
        <v>44935</v>
      </c>
    </row>
    <row r="2419" spans="1:6">
      <c r="A2419">
        <v>2418</v>
      </c>
      <c r="B2419" t="s">
        <v>8111</v>
      </c>
      <c r="C2419">
        <v>250</v>
      </c>
      <c r="D2419">
        <v>750</v>
      </c>
      <c r="E2419">
        <v>50</v>
      </c>
      <c r="F2419" s="61">
        <v>44889</v>
      </c>
    </row>
    <row r="2420" spans="1:6">
      <c r="A2420">
        <v>2419</v>
      </c>
      <c r="B2420" t="s">
        <v>8114</v>
      </c>
      <c r="C2420">
        <v>250</v>
      </c>
      <c r="D2420">
        <v>750</v>
      </c>
      <c r="E2420">
        <v>50</v>
      </c>
      <c r="F2420" s="70">
        <v>44849</v>
      </c>
    </row>
    <row r="2421" spans="1:6">
      <c r="A2421">
        <v>2420</v>
      </c>
      <c r="B2421" t="s">
        <v>8117</v>
      </c>
      <c r="C2421">
        <v>250</v>
      </c>
      <c r="D2421">
        <v>750</v>
      </c>
      <c r="E2421">
        <v>50</v>
      </c>
      <c r="F2421" s="75" t="s">
        <v>16643</v>
      </c>
    </row>
    <row r="2422" spans="1:6">
      <c r="A2422">
        <v>2421</v>
      </c>
      <c r="B2422" t="s">
        <v>8120</v>
      </c>
      <c r="C2422">
        <v>250</v>
      </c>
      <c r="D2422">
        <v>750</v>
      </c>
      <c r="E2422">
        <v>50</v>
      </c>
      <c r="F2422" s="61">
        <v>44950</v>
      </c>
    </row>
    <row r="2423" spans="1:6">
      <c r="A2423">
        <v>2422</v>
      </c>
      <c r="B2423" t="s">
        <v>8123</v>
      </c>
      <c r="C2423">
        <v>250</v>
      </c>
      <c r="D2423">
        <v>750</v>
      </c>
      <c r="E2423">
        <v>50</v>
      </c>
      <c r="F2423" s="72">
        <v>44888</v>
      </c>
    </row>
    <row r="2424" spans="1:6">
      <c r="A2424">
        <v>2423</v>
      </c>
      <c r="B2424" t="s">
        <v>8126</v>
      </c>
      <c r="C2424">
        <v>1500000</v>
      </c>
      <c r="D2424">
        <v>0</v>
      </c>
      <c r="E2424" t="s">
        <v>16642</v>
      </c>
      <c r="F2424" s="80">
        <f>IFERROR(__xludf.DUMMYFUNCTION("""COMPUTED_VALUE"""),45080)</f>
        <v>45080</v>
      </c>
    </row>
    <row r="2425" spans="1:6">
      <c r="A2425">
        <v>2424</v>
      </c>
      <c r="B2425" t="s">
        <v>8129</v>
      </c>
      <c r="C2425">
        <v>12500</v>
      </c>
      <c r="D2425">
        <v>12500</v>
      </c>
      <c r="E2425">
        <v>1250</v>
      </c>
      <c r="F2425" s="65">
        <v>44466</v>
      </c>
    </row>
    <row r="2426" spans="1:6">
      <c r="A2426">
        <v>2425</v>
      </c>
      <c r="B2426" t="s">
        <v>8134</v>
      </c>
      <c r="C2426">
        <v>2500</v>
      </c>
      <c r="D2426">
        <v>0</v>
      </c>
      <c r="E2426">
        <v>125</v>
      </c>
      <c r="F2426" s="65">
        <v>44698</v>
      </c>
    </row>
    <row r="2427" spans="1:6">
      <c r="A2427">
        <v>2426</v>
      </c>
      <c r="B2427" t="s">
        <v>8138</v>
      </c>
      <c r="C2427">
        <v>25000</v>
      </c>
      <c r="D2427">
        <v>75000</v>
      </c>
      <c r="E2427">
        <v>5000</v>
      </c>
      <c r="F2427" s="65">
        <v>44745</v>
      </c>
    </row>
    <row r="2428" spans="1:6">
      <c r="A2428">
        <v>2427</v>
      </c>
      <c r="B2428" t="s">
        <v>8142</v>
      </c>
      <c r="C2428">
        <v>10000</v>
      </c>
      <c r="D2428">
        <v>0</v>
      </c>
      <c r="E2428">
        <v>500</v>
      </c>
      <c r="F2428" s="77">
        <v>44886</v>
      </c>
    </row>
    <row r="2429" spans="1:6">
      <c r="A2429">
        <v>2428</v>
      </c>
      <c r="B2429" t="s">
        <v>8145</v>
      </c>
      <c r="C2429">
        <v>1000</v>
      </c>
      <c r="D2429">
        <v>0</v>
      </c>
      <c r="E2429">
        <v>50</v>
      </c>
      <c r="F2429" s="60">
        <v>44995</v>
      </c>
    </row>
    <row r="2430" spans="1:6">
      <c r="A2430">
        <v>2429</v>
      </c>
      <c r="B2430" t="s">
        <v>8149</v>
      </c>
      <c r="C2430">
        <v>1000</v>
      </c>
      <c r="D2430">
        <v>0</v>
      </c>
      <c r="E2430">
        <v>50</v>
      </c>
      <c r="F2430" s="64" t="s">
        <v>16700</v>
      </c>
    </row>
    <row r="2431" spans="1:6">
      <c r="A2431">
        <v>2430</v>
      </c>
      <c r="B2431" t="s">
        <v>8153</v>
      </c>
      <c r="C2431">
        <v>2500</v>
      </c>
      <c r="D2431">
        <v>2500</v>
      </c>
      <c r="E2431">
        <v>250</v>
      </c>
      <c r="F2431" s="60">
        <v>44940</v>
      </c>
    </row>
    <row r="2432" spans="1:6">
      <c r="A2432">
        <v>2431</v>
      </c>
      <c r="B2432" t="s">
        <v>8157</v>
      </c>
      <c r="C2432">
        <v>250</v>
      </c>
      <c r="D2432">
        <v>750</v>
      </c>
      <c r="E2432">
        <v>50</v>
      </c>
      <c r="F2432" s="60">
        <v>44875</v>
      </c>
    </row>
    <row r="2433" spans="1:6">
      <c r="A2433">
        <v>2432</v>
      </c>
      <c r="B2433" t="s">
        <v>8161</v>
      </c>
      <c r="C2433">
        <v>250</v>
      </c>
      <c r="D2433">
        <v>750</v>
      </c>
      <c r="E2433">
        <v>50</v>
      </c>
      <c r="F2433" s="69">
        <v>45007</v>
      </c>
    </row>
    <row r="2434" spans="1:6">
      <c r="A2434">
        <v>2433</v>
      </c>
      <c r="B2434" t="s">
        <v>8165</v>
      </c>
      <c r="C2434">
        <v>250</v>
      </c>
      <c r="D2434">
        <v>750</v>
      </c>
      <c r="E2434">
        <v>50</v>
      </c>
      <c r="F2434" s="61">
        <v>44882</v>
      </c>
    </row>
    <row r="2435" spans="1:6">
      <c r="A2435">
        <v>2434</v>
      </c>
      <c r="B2435" t="s">
        <v>8169</v>
      </c>
      <c r="C2435">
        <v>250</v>
      </c>
      <c r="D2435">
        <v>750</v>
      </c>
      <c r="E2435">
        <v>50</v>
      </c>
      <c r="F2435" s="60">
        <v>44839</v>
      </c>
    </row>
    <row r="2436" spans="1:6">
      <c r="A2436">
        <v>2435</v>
      </c>
      <c r="B2436" t="s">
        <v>8172</v>
      </c>
      <c r="C2436">
        <v>250</v>
      </c>
      <c r="D2436">
        <v>750</v>
      </c>
      <c r="E2436">
        <v>50</v>
      </c>
      <c r="F2436" s="60">
        <v>44896</v>
      </c>
    </row>
    <row r="2437" spans="1:6">
      <c r="A2437">
        <v>2436</v>
      </c>
      <c r="B2437" t="s">
        <v>8175</v>
      </c>
      <c r="C2437">
        <v>500</v>
      </c>
      <c r="D2437">
        <v>500</v>
      </c>
      <c r="E2437">
        <v>50</v>
      </c>
      <c r="F2437" s="75">
        <v>44844</v>
      </c>
    </row>
    <row r="2438" spans="1:6">
      <c r="A2438">
        <v>2437</v>
      </c>
      <c r="B2438" t="s">
        <v>8179</v>
      </c>
      <c r="C2438">
        <v>250</v>
      </c>
      <c r="D2438">
        <v>750</v>
      </c>
      <c r="E2438">
        <v>50</v>
      </c>
      <c r="F2438" s="60">
        <v>44868</v>
      </c>
    </row>
    <row r="2439" spans="1:6">
      <c r="A2439">
        <v>2438</v>
      </c>
      <c r="B2439" t="s">
        <v>8182</v>
      </c>
      <c r="C2439">
        <v>250</v>
      </c>
      <c r="D2439">
        <v>750</v>
      </c>
      <c r="E2439">
        <v>50</v>
      </c>
      <c r="F2439" s="61">
        <v>44950</v>
      </c>
    </row>
    <row r="2440" spans="1:6">
      <c r="A2440">
        <v>2439</v>
      </c>
      <c r="B2440" t="s">
        <v>8185</v>
      </c>
      <c r="C2440">
        <v>250</v>
      </c>
      <c r="D2440">
        <v>750</v>
      </c>
      <c r="E2440">
        <v>50</v>
      </c>
      <c r="F2440" s="61">
        <v>44805</v>
      </c>
    </row>
    <row r="2441" spans="1:6">
      <c r="A2441">
        <v>2440</v>
      </c>
      <c r="B2441" t="s">
        <v>8189</v>
      </c>
      <c r="C2441">
        <v>250</v>
      </c>
      <c r="D2441">
        <v>750</v>
      </c>
      <c r="E2441">
        <v>50</v>
      </c>
      <c r="F2441" s="69">
        <v>44931</v>
      </c>
    </row>
    <row r="2442" spans="1:6">
      <c r="A2442">
        <v>2441</v>
      </c>
      <c r="B2442" t="s">
        <v>8192</v>
      </c>
      <c r="C2442">
        <v>250</v>
      </c>
      <c r="D2442">
        <v>750</v>
      </c>
      <c r="E2442">
        <v>50</v>
      </c>
      <c r="F2442" s="69">
        <v>44928</v>
      </c>
    </row>
    <row r="2443" spans="1:6">
      <c r="A2443">
        <v>2442</v>
      </c>
      <c r="B2443" t="s">
        <v>8195</v>
      </c>
      <c r="C2443">
        <v>250</v>
      </c>
      <c r="D2443">
        <v>750</v>
      </c>
      <c r="E2443">
        <v>50</v>
      </c>
      <c r="F2443" s="60">
        <v>44961</v>
      </c>
    </row>
    <row r="2444" spans="1:6">
      <c r="A2444">
        <v>2443</v>
      </c>
      <c r="B2444" t="s">
        <v>8198</v>
      </c>
      <c r="C2444">
        <v>10000</v>
      </c>
      <c r="D2444">
        <v>0</v>
      </c>
      <c r="E2444">
        <v>300</v>
      </c>
      <c r="F2444" s="64" t="s">
        <v>16700</v>
      </c>
    </row>
    <row r="2445" spans="1:6">
      <c r="A2445">
        <v>2444</v>
      </c>
      <c r="B2445" t="s">
        <v>8202</v>
      </c>
      <c r="C2445">
        <v>250</v>
      </c>
      <c r="D2445">
        <v>750</v>
      </c>
      <c r="E2445">
        <v>50</v>
      </c>
      <c r="F2445" s="60">
        <v>44950</v>
      </c>
    </row>
    <row r="2446" spans="1:6">
      <c r="A2446">
        <v>2445</v>
      </c>
      <c r="B2446" t="s">
        <v>8206</v>
      </c>
      <c r="C2446">
        <v>250</v>
      </c>
      <c r="D2446">
        <v>750</v>
      </c>
      <c r="E2446">
        <v>50</v>
      </c>
      <c r="F2446" s="60">
        <v>44924</v>
      </c>
    </row>
    <row r="2447" spans="1:6">
      <c r="A2447">
        <v>2446</v>
      </c>
      <c r="B2447" t="s">
        <v>8209</v>
      </c>
      <c r="C2447">
        <v>250</v>
      </c>
      <c r="D2447">
        <v>750</v>
      </c>
      <c r="E2447">
        <v>50</v>
      </c>
      <c r="F2447" s="61">
        <v>44925</v>
      </c>
    </row>
    <row r="2448" spans="1:6">
      <c r="A2448">
        <v>2447</v>
      </c>
      <c r="B2448" t="s">
        <v>8212</v>
      </c>
      <c r="C2448">
        <v>250</v>
      </c>
      <c r="D2448">
        <v>750</v>
      </c>
      <c r="E2448">
        <v>50</v>
      </c>
      <c r="F2448" s="60">
        <v>44846</v>
      </c>
    </row>
    <row r="2449" spans="1:6">
      <c r="A2449">
        <v>2448</v>
      </c>
      <c r="B2449" t="s">
        <v>8215</v>
      </c>
      <c r="C2449">
        <v>1000</v>
      </c>
      <c r="D2449">
        <v>0</v>
      </c>
      <c r="E2449">
        <v>50</v>
      </c>
      <c r="F2449" s="61">
        <v>45027</v>
      </c>
    </row>
    <row r="2450" spans="1:6">
      <c r="A2450">
        <v>2449</v>
      </c>
      <c r="B2450" t="s">
        <v>8218</v>
      </c>
      <c r="C2450">
        <v>250</v>
      </c>
      <c r="D2450">
        <v>750</v>
      </c>
      <c r="E2450">
        <v>50</v>
      </c>
      <c r="F2450" s="60">
        <v>44853</v>
      </c>
    </row>
    <row r="2451" spans="1:6">
      <c r="A2451">
        <v>2450</v>
      </c>
      <c r="B2451" t="s">
        <v>8221</v>
      </c>
      <c r="C2451">
        <v>1000</v>
      </c>
      <c r="D2451">
        <v>0</v>
      </c>
      <c r="E2451">
        <v>50</v>
      </c>
      <c r="F2451" s="60">
        <v>44844</v>
      </c>
    </row>
    <row r="2452" spans="1:6">
      <c r="A2452">
        <v>2451</v>
      </c>
      <c r="B2452" t="s">
        <v>8224</v>
      </c>
      <c r="C2452">
        <v>1000</v>
      </c>
      <c r="D2452">
        <v>0</v>
      </c>
      <c r="E2452">
        <v>50</v>
      </c>
      <c r="F2452" s="73">
        <v>44928</v>
      </c>
    </row>
    <row r="2453" spans="1:6">
      <c r="A2453">
        <v>2452</v>
      </c>
      <c r="B2453" t="s">
        <v>8228</v>
      </c>
      <c r="C2453">
        <v>250</v>
      </c>
      <c r="D2453">
        <v>750</v>
      </c>
      <c r="E2453">
        <v>50</v>
      </c>
      <c r="F2453" s="60">
        <v>44873</v>
      </c>
    </row>
    <row r="2454" spans="1:6">
      <c r="A2454">
        <v>2453</v>
      </c>
      <c r="B2454" t="s">
        <v>8231</v>
      </c>
      <c r="C2454">
        <v>250</v>
      </c>
      <c r="D2454">
        <v>750</v>
      </c>
      <c r="E2454">
        <v>50</v>
      </c>
      <c r="F2454" s="60">
        <v>44890</v>
      </c>
    </row>
    <row r="2455" spans="1:6">
      <c r="A2455">
        <v>2454</v>
      </c>
      <c r="B2455" t="s">
        <v>8235</v>
      </c>
      <c r="C2455">
        <v>1000</v>
      </c>
      <c r="D2455">
        <v>0</v>
      </c>
      <c r="E2455">
        <v>50</v>
      </c>
      <c r="F2455" s="61">
        <v>44852</v>
      </c>
    </row>
    <row r="2456" spans="1:6">
      <c r="A2456">
        <v>2455</v>
      </c>
      <c r="B2456" t="s">
        <v>8239</v>
      </c>
      <c r="C2456">
        <v>250</v>
      </c>
      <c r="D2456">
        <v>750</v>
      </c>
      <c r="E2456">
        <v>50</v>
      </c>
      <c r="F2456" s="60">
        <v>44879</v>
      </c>
    </row>
    <row r="2457" spans="1:6">
      <c r="A2457">
        <v>2456</v>
      </c>
      <c r="B2457" t="s">
        <v>8242</v>
      </c>
      <c r="C2457">
        <v>2000</v>
      </c>
      <c r="D2457">
        <v>0</v>
      </c>
      <c r="E2457">
        <v>100</v>
      </c>
      <c r="F2457" s="64" t="s">
        <v>16783</v>
      </c>
    </row>
    <row r="2458" spans="1:6">
      <c r="A2458">
        <v>2457</v>
      </c>
      <c r="B2458" t="s">
        <v>8245</v>
      </c>
      <c r="C2458">
        <v>5000</v>
      </c>
      <c r="D2458">
        <v>15000</v>
      </c>
      <c r="E2458">
        <v>1000</v>
      </c>
      <c r="F2458" s="77">
        <v>44775</v>
      </c>
    </row>
    <row r="2459" spans="1:6">
      <c r="A2459">
        <v>2458</v>
      </c>
      <c r="B2459" t="s">
        <v>8248</v>
      </c>
      <c r="C2459">
        <v>20000</v>
      </c>
      <c r="D2459">
        <v>0</v>
      </c>
      <c r="E2459">
        <v>1000</v>
      </c>
      <c r="F2459" s="77">
        <v>44807</v>
      </c>
    </row>
    <row r="2460" spans="1:6">
      <c r="A2460">
        <v>2459</v>
      </c>
      <c r="B2460" t="s">
        <v>8251</v>
      </c>
      <c r="C2460">
        <v>1000</v>
      </c>
      <c r="D2460">
        <v>0</v>
      </c>
      <c r="E2460">
        <v>50</v>
      </c>
      <c r="F2460" s="61">
        <v>44926</v>
      </c>
    </row>
    <row r="2461" spans="1:6">
      <c r="A2461">
        <v>2460</v>
      </c>
      <c r="B2461" t="s">
        <v>8254</v>
      </c>
      <c r="C2461">
        <v>250</v>
      </c>
      <c r="D2461">
        <v>750</v>
      </c>
      <c r="E2461">
        <v>50</v>
      </c>
      <c r="F2461" s="73">
        <v>44932</v>
      </c>
    </row>
    <row r="2462" spans="1:6">
      <c r="A2462">
        <v>2461</v>
      </c>
      <c r="B2462" t="s">
        <v>8257</v>
      </c>
      <c r="C2462">
        <v>250</v>
      </c>
      <c r="D2462">
        <v>750</v>
      </c>
      <c r="E2462">
        <v>50</v>
      </c>
      <c r="F2462" s="73">
        <v>44879</v>
      </c>
    </row>
    <row r="2463" spans="1:6">
      <c r="A2463">
        <v>2462</v>
      </c>
      <c r="B2463" t="s">
        <v>8261</v>
      </c>
      <c r="C2463">
        <v>1000</v>
      </c>
      <c r="D2463">
        <v>0</v>
      </c>
      <c r="E2463">
        <v>50</v>
      </c>
      <c r="F2463" s="73">
        <v>44967</v>
      </c>
    </row>
    <row r="2464" spans="1:6">
      <c r="A2464">
        <v>2463</v>
      </c>
      <c r="B2464" t="s">
        <v>8265</v>
      </c>
      <c r="C2464">
        <v>250</v>
      </c>
      <c r="D2464">
        <v>750</v>
      </c>
      <c r="E2464">
        <v>50</v>
      </c>
      <c r="F2464" s="60">
        <v>44836</v>
      </c>
    </row>
    <row r="2465" spans="1:6">
      <c r="A2465">
        <v>2464</v>
      </c>
      <c r="B2465" t="s">
        <v>8268</v>
      </c>
      <c r="C2465">
        <v>250</v>
      </c>
      <c r="D2465">
        <v>750</v>
      </c>
      <c r="E2465">
        <v>50</v>
      </c>
      <c r="F2465" s="61">
        <v>44922</v>
      </c>
    </row>
    <row r="2466" spans="1:6">
      <c r="A2466">
        <v>2465</v>
      </c>
      <c r="B2466" t="s">
        <v>8271</v>
      </c>
      <c r="C2466">
        <v>100000</v>
      </c>
      <c r="D2466">
        <v>0</v>
      </c>
      <c r="E2466">
        <v>5000</v>
      </c>
      <c r="F2466" s="64" t="s">
        <v>16784</v>
      </c>
    </row>
    <row r="2467" spans="1:6">
      <c r="A2467">
        <v>2466</v>
      </c>
      <c r="B2467" t="s">
        <v>8275</v>
      </c>
      <c r="C2467">
        <v>100000</v>
      </c>
      <c r="D2467">
        <v>0</v>
      </c>
      <c r="E2467" t="s">
        <v>16642</v>
      </c>
      <c r="F2467" s="66"/>
    </row>
    <row r="2468" spans="1:6">
      <c r="A2468">
        <v>2467</v>
      </c>
      <c r="B2468" t="s">
        <v>8278</v>
      </c>
      <c r="C2468">
        <v>250</v>
      </c>
      <c r="D2468">
        <v>750</v>
      </c>
      <c r="E2468">
        <v>50</v>
      </c>
      <c r="F2468" s="61">
        <v>44917</v>
      </c>
    </row>
    <row r="2469" ht="15" spans="1:6">
      <c r="A2469">
        <v>2468</v>
      </c>
      <c r="B2469" t="s">
        <v>8281</v>
      </c>
      <c r="C2469">
        <v>1000000</v>
      </c>
      <c r="D2469">
        <v>500000</v>
      </c>
      <c r="E2469" t="s">
        <v>16642</v>
      </c>
      <c r="F2469" s="132">
        <f>IFERROR(__xludf.DUMMYFUNCTION("""COMPUTED_VALUE"""),45084)</f>
        <v>45084</v>
      </c>
    </row>
    <row r="2470" spans="1:6">
      <c r="A2470">
        <v>2469</v>
      </c>
      <c r="B2470" t="s">
        <v>8282</v>
      </c>
      <c r="C2470">
        <v>12500</v>
      </c>
      <c r="D2470">
        <v>0</v>
      </c>
      <c r="E2470">
        <v>625</v>
      </c>
      <c r="F2470" s="72">
        <v>44921</v>
      </c>
    </row>
    <row r="2471" spans="1:6">
      <c r="A2471">
        <v>2470</v>
      </c>
      <c r="B2471" t="s">
        <v>8286</v>
      </c>
      <c r="C2471">
        <v>250</v>
      </c>
      <c r="D2471">
        <v>750</v>
      </c>
      <c r="E2471">
        <v>50</v>
      </c>
      <c r="F2471" s="100" t="s">
        <v>16669</v>
      </c>
    </row>
    <row r="2472" spans="1:6">
      <c r="A2472">
        <v>2471</v>
      </c>
      <c r="B2472" t="s">
        <v>8289</v>
      </c>
      <c r="C2472">
        <v>10000</v>
      </c>
      <c r="D2472">
        <v>0</v>
      </c>
      <c r="E2472">
        <v>500</v>
      </c>
      <c r="F2472" s="65">
        <v>44441</v>
      </c>
    </row>
    <row r="2473" spans="1:6">
      <c r="A2473">
        <v>2472</v>
      </c>
      <c r="B2473" t="s">
        <v>8294</v>
      </c>
      <c r="C2473">
        <v>250</v>
      </c>
      <c r="D2473">
        <v>750</v>
      </c>
      <c r="E2473">
        <v>50</v>
      </c>
      <c r="F2473" s="60">
        <v>44869</v>
      </c>
    </row>
    <row r="2474" spans="1:6">
      <c r="A2474">
        <v>2473</v>
      </c>
      <c r="B2474" t="s">
        <v>8298</v>
      </c>
      <c r="C2474">
        <v>100000</v>
      </c>
      <c r="D2474">
        <v>0</v>
      </c>
      <c r="E2474" t="s">
        <v>16642</v>
      </c>
      <c r="F2474" s="66"/>
    </row>
    <row r="2475" spans="1:6">
      <c r="A2475">
        <v>2474</v>
      </c>
      <c r="B2475" t="s">
        <v>8303</v>
      </c>
      <c r="C2475">
        <v>250</v>
      </c>
      <c r="D2475">
        <v>750</v>
      </c>
      <c r="E2475">
        <v>50</v>
      </c>
      <c r="F2475" s="61">
        <v>44909</v>
      </c>
    </row>
    <row r="2476" spans="1:6">
      <c r="A2476">
        <v>2475</v>
      </c>
      <c r="B2476" t="s">
        <v>8307</v>
      </c>
      <c r="C2476">
        <v>250</v>
      </c>
      <c r="D2476">
        <v>750</v>
      </c>
      <c r="E2476">
        <v>50</v>
      </c>
      <c r="F2476" s="73">
        <v>44865</v>
      </c>
    </row>
    <row r="2477" ht="15" spans="1:6">
      <c r="A2477">
        <v>2476</v>
      </c>
      <c r="B2477" t="s">
        <v>8310</v>
      </c>
      <c r="C2477">
        <v>1000000</v>
      </c>
      <c r="D2477">
        <v>500000</v>
      </c>
      <c r="E2477" t="s">
        <v>16642</v>
      </c>
      <c r="F2477" s="108">
        <f>IFERROR(__xludf.DUMMYFUNCTION("""COMPUTED_VALUE"""),45084)</f>
        <v>45084</v>
      </c>
    </row>
    <row r="2478" ht="15" spans="1:6">
      <c r="A2478">
        <v>2477</v>
      </c>
      <c r="B2478" t="s">
        <v>8310</v>
      </c>
      <c r="C2478">
        <v>1000000</v>
      </c>
      <c r="D2478">
        <v>500000</v>
      </c>
      <c r="E2478" t="s">
        <v>16642</v>
      </c>
      <c r="F2478" s="98">
        <f>IFERROR(__xludf.DUMMYFUNCTION("""COMPUTED_VALUE"""),45084)</f>
        <v>45084</v>
      </c>
    </row>
    <row r="2479" ht="15" spans="1:6">
      <c r="A2479">
        <v>2478</v>
      </c>
      <c r="B2479" t="s">
        <v>8310</v>
      </c>
      <c r="C2479">
        <v>1000000</v>
      </c>
      <c r="D2479">
        <v>500000</v>
      </c>
      <c r="E2479" t="s">
        <v>16642</v>
      </c>
      <c r="F2479" s="98">
        <f>IFERROR(__xludf.DUMMYFUNCTION("""COMPUTED_VALUE"""),45084)</f>
        <v>45084</v>
      </c>
    </row>
    <row r="2480" ht="15" spans="1:6">
      <c r="A2480">
        <v>2479</v>
      </c>
      <c r="B2480" t="s">
        <v>8311</v>
      </c>
      <c r="C2480">
        <v>1000000</v>
      </c>
      <c r="D2480">
        <v>2500000</v>
      </c>
      <c r="E2480" t="s">
        <v>16642</v>
      </c>
      <c r="F2480" s="92">
        <v>45149</v>
      </c>
    </row>
    <row r="2481" spans="1:6">
      <c r="A2481">
        <v>2480</v>
      </c>
      <c r="B2481" t="s">
        <v>8315</v>
      </c>
      <c r="C2481">
        <v>1000</v>
      </c>
      <c r="D2481">
        <v>0</v>
      </c>
      <c r="E2481">
        <v>50</v>
      </c>
      <c r="F2481" s="77">
        <v>44776</v>
      </c>
    </row>
    <row r="2482" spans="1:6">
      <c r="A2482">
        <v>2481</v>
      </c>
      <c r="B2482" t="s">
        <v>8318</v>
      </c>
      <c r="C2482">
        <v>1000</v>
      </c>
      <c r="D2482">
        <v>0</v>
      </c>
      <c r="E2482">
        <v>50</v>
      </c>
      <c r="F2482" s="77">
        <v>44772</v>
      </c>
    </row>
    <row r="2483" spans="1:6">
      <c r="A2483">
        <v>2482</v>
      </c>
      <c r="B2483" t="s">
        <v>8321</v>
      </c>
      <c r="C2483">
        <v>2500</v>
      </c>
      <c r="D2483">
        <v>7500</v>
      </c>
      <c r="E2483">
        <v>500</v>
      </c>
      <c r="F2483" s="67">
        <v>44975</v>
      </c>
    </row>
    <row r="2484" spans="1:6">
      <c r="A2484">
        <v>2483</v>
      </c>
      <c r="B2484" t="s">
        <v>8324</v>
      </c>
      <c r="C2484">
        <v>250</v>
      </c>
      <c r="D2484">
        <v>750</v>
      </c>
      <c r="E2484">
        <v>50</v>
      </c>
      <c r="F2484" s="61">
        <v>45074</v>
      </c>
    </row>
    <row r="2485" spans="1:6">
      <c r="A2485">
        <v>2484</v>
      </c>
      <c r="B2485" t="s">
        <v>8327</v>
      </c>
      <c r="C2485">
        <v>750</v>
      </c>
      <c r="D2485">
        <v>2250</v>
      </c>
      <c r="E2485">
        <v>150</v>
      </c>
      <c r="F2485" s="70">
        <v>44879</v>
      </c>
    </row>
    <row r="2486" spans="1:6">
      <c r="A2486">
        <v>2485</v>
      </c>
      <c r="B2486" t="s">
        <v>8330</v>
      </c>
      <c r="C2486">
        <v>250</v>
      </c>
      <c r="D2486">
        <v>750</v>
      </c>
      <c r="E2486">
        <v>50</v>
      </c>
      <c r="F2486" s="100" t="s">
        <v>16669</v>
      </c>
    </row>
    <row r="2487" spans="1:6">
      <c r="A2487">
        <v>2486</v>
      </c>
      <c r="B2487" t="s">
        <v>8333</v>
      </c>
      <c r="C2487">
        <v>250</v>
      </c>
      <c r="D2487">
        <v>750</v>
      </c>
      <c r="E2487">
        <v>50</v>
      </c>
      <c r="F2487" s="61">
        <v>44866</v>
      </c>
    </row>
    <row r="2488" spans="1:6">
      <c r="A2488">
        <v>2487</v>
      </c>
      <c r="B2488" t="s">
        <v>8336</v>
      </c>
      <c r="C2488">
        <v>250</v>
      </c>
      <c r="D2488">
        <v>750</v>
      </c>
      <c r="E2488">
        <v>50</v>
      </c>
      <c r="F2488" s="73">
        <v>44928</v>
      </c>
    </row>
    <row r="2489" spans="1:6">
      <c r="A2489">
        <v>2488</v>
      </c>
      <c r="B2489" t="s">
        <v>8339</v>
      </c>
      <c r="C2489">
        <v>6000</v>
      </c>
      <c r="D2489">
        <v>0</v>
      </c>
      <c r="E2489">
        <v>100</v>
      </c>
      <c r="F2489" s="65">
        <v>44734</v>
      </c>
    </row>
    <row r="2490" spans="1:6">
      <c r="A2490">
        <v>2489</v>
      </c>
      <c r="B2490" t="s">
        <v>8343</v>
      </c>
      <c r="C2490">
        <v>250</v>
      </c>
      <c r="D2490">
        <v>750</v>
      </c>
      <c r="E2490">
        <v>50</v>
      </c>
      <c r="F2490" s="72">
        <v>44914</v>
      </c>
    </row>
    <row r="2491" spans="1:6">
      <c r="A2491">
        <v>2490</v>
      </c>
      <c r="B2491" t="s">
        <v>8346</v>
      </c>
      <c r="C2491">
        <v>250</v>
      </c>
      <c r="D2491">
        <v>750</v>
      </c>
      <c r="E2491">
        <v>50</v>
      </c>
      <c r="F2491" s="61">
        <v>44936</v>
      </c>
    </row>
    <row r="2492" spans="1:6">
      <c r="A2492">
        <v>2491</v>
      </c>
      <c r="B2492" t="s">
        <v>8350</v>
      </c>
      <c r="C2492">
        <v>250</v>
      </c>
      <c r="D2492">
        <v>750</v>
      </c>
      <c r="E2492">
        <v>50</v>
      </c>
      <c r="F2492" s="60">
        <v>45000</v>
      </c>
    </row>
    <row r="2493" spans="1:6">
      <c r="A2493">
        <v>2492</v>
      </c>
      <c r="B2493" t="s">
        <v>8354</v>
      </c>
      <c r="C2493">
        <v>1000</v>
      </c>
      <c r="D2493">
        <v>0</v>
      </c>
      <c r="E2493">
        <v>50</v>
      </c>
      <c r="F2493" s="69">
        <v>44943</v>
      </c>
    </row>
    <row r="2494" spans="1:6">
      <c r="A2494">
        <v>2493</v>
      </c>
      <c r="B2494" t="s">
        <v>8354</v>
      </c>
      <c r="C2494">
        <v>250</v>
      </c>
      <c r="D2494">
        <v>750</v>
      </c>
      <c r="E2494">
        <v>50</v>
      </c>
      <c r="F2494" s="71">
        <v>44914</v>
      </c>
    </row>
    <row r="2495" spans="1:6">
      <c r="A2495">
        <v>2494</v>
      </c>
      <c r="B2495" t="s">
        <v>8354</v>
      </c>
      <c r="C2495">
        <v>250</v>
      </c>
      <c r="D2495">
        <v>750</v>
      </c>
      <c r="E2495">
        <v>50</v>
      </c>
      <c r="F2495" s="60">
        <v>44935</v>
      </c>
    </row>
    <row r="2496" spans="1:6">
      <c r="A2496">
        <v>2495</v>
      </c>
      <c r="B2496" t="s">
        <v>8354</v>
      </c>
      <c r="C2496">
        <v>250</v>
      </c>
      <c r="D2496">
        <v>750</v>
      </c>
      <c r="E2496">
        <v>50</v>
      </c>
      <c r="F2496" s="61">
        <v>44916</v>
      </c>
    </row>
    <row r="2497" spans="1:6">
      <c r="A2497">
        <v>2496</v>
      </c>
      <c r="B2497" t="s">
        <v>8354</v>
      </c>
      <c r="C2497">
        <v>250</v>
      </c>
      <c r="D2497">
        <v>750</v>
      </c>
      <c r="E2497">
        <v>50</v>
      </c>
      <c r="F2497" s="61">
        <v>44902</v>
      </c>
    </row>
    <row r="2498" spans="1:6">
      <c r="A2498">
        <v>2497</v>
      </c>
      <c r="B2498" t="s">
        <v>8367</v>
      </c>
      <c r="C2498">
        <v>250</v>
      </c>
      <c r="D2498">
        <v>750</v>
      </c>
      <c r="E2498">
        <v>50</v>
      </c>
      <c r="F2498" s="69">
        <v>45013</v>
      </c>
    </row>
    <row r="2499" spans="1:6">
      <c r="A2499">
        <v>2498</v>
      </c>
      <c r="B2499" t="s">
        <v>8370</v>
      </c>
      <c r="C2499">
        <v>250</v>
      </c>
      <c r="D2499">
        <v>750</v>
      </c>
      <c r="E2499">
        <v>50</v>
      </c>
      <c r="F2499" s="72">
        <v>44872</v>
      </c>
    </row>
    <row r="2500" spans="1:6">
      <c r="A2500">
        <v>2499</v>
      </c>
      <c r="B2500" t="s">
        <v>8373</v>
      </c>
      <c r="C2500">
        <v>250</v>
      </c>
      <c r="D2500">
        <v>750</v>
      </c>
      <c r="E2500">
        <v>50</v>
      </c>
      <c r="F2500" s="73">
        <v>45024</v>
      </c>
    </row>
    <row r="2501" spans="1:6">
      <c r="A2501">
        <v>2500</v>
      </c>
      <c r="B2501" t="s">
        <v>8377</v>
      </c>
      <c r="C2501">
        <v>250</v>
      </c>
      <c r="D2501">
        <v>750</v>
      </c>
      <c r="E2501">
        <v>50</v>
      </c>
      <c r="F2501" s="73">
        <v>45024</v>
      </c>
    </row>
    <row r="2502" spans="1:6">
      <c r="A2502">
        <v>2501</v>
      </c>
      <c r="B2502" t="s">
        <v>8380</v>
      </c>
      <c r="C2502">
        <v>250</v>
      </c>
      <c r="D2502">
        <v>750</v>
      </c>
      <c r="E2502">
        <v>50</v>
      </c>
      <c r="F2502" s="61">
        <v>44965</v>
      </c>
    </row>
    <row r="2503" spans="1:6">
      <c r="A2503">
        <v>2502</v>
      </c>
      <c r="B2503" t="s">
        <v>8383</v>
      </c>
      <c r="C2503">
        <v>250</v>
      </c>
      <c r="D2503">
        <v>750</v>
      </c>
      <c r="E2503">
        <v>50</v>
      </c>
      <c r="F2503" s="69">
        <v>44960</v>
      </c>
    </row>
    <row r="2504" spans="1:6">
      <c r="A2504">
        <v>2503</v>
      </c>
      <c r="B2504" t="s">
        <v>8386</v>
      </c>
      <c r="C2504">
        <v>750</v>
      </c>
      <c r="D2504">
        <v>250</v>
      </c>
      <c r="E2504">
        <v>50</v>
      </c>
      <c r="F2504" s="69">
        <v>44857</v>
      </c>
    </row>
    <row r="2505" spans="1:6">
      <c r="A2505">
        <v>2504</v>
      </c>
      <c r="B2505" t="s">
        <v>8389</v>
      </c>
      <c r="C2505">
        <v>250</v>
      </c>
      <c r="D2505">
        <v>750</v>
      </c>
      <c r="E2505">
        <v>50</v>
      </c>
      <c r="F2505" s="60">
        <v>44840</v>
      </c>
    </row>
    <row r="2506" spans="1:6">
      <c r="A2506">
        <v>2505</v>
      </c>
      <c r="B2506" t="s">
        <v>8392</v>
      </c>
      <c r="C2506">
        <v>7225</v>
      </c>
      <c r="D2506">
        <v>5775</v>
      </c>
      <c r="E2506">
        <v>650</v>
      </c>
      <c r="F2506" s="65">
        <v>44533</v>
      </c>
    </row>
    <row r="2507" spans="1:6">
      <c r="A2507">
        <v>2506</v>
      </c>
      <c r="B2507" t="s">
        <v>8396</v>
      </c>
      <c r="C2507">
        <v>250</v>
      </c>
      <c r="D2507">
        <v>750</v>
      </c>
      <c r="E2507">
        <v>50</v>
      </c>
      <c r="F2507" s="61">
        <v>44848</v>
      </c>
    </row>
    <row r="2508" spans="1:6">
      <c r="A2508">
        <v>2507</v>
      </c>
      <c r="B2508" t="s">
        <v>8399</v>
      </c>
      <c r="C2508">
        <v>250</v>
      </c>
      <c r="D2508">
        <v>750</v>
      </c>
      <c r="E2508">
        <v>50</v>
      </c>
      <c r="F2508" s="61">
        <v>44950</v>
      </c>
    </row>
    <row r="2509" spans="1:6">
      <c r="A2509">
        <v>2508</v>
      </c>
      <c r="B2509" t="s">
        <v>8403</v>
      </c>
      <c r="C2509">
        <v>250</v>
      </c>
      <c r="D2509">
        <v>750</v>
      </c>
      <c r="E2509">
        <v>50</v>
      </c>
      <c r="F2509" s="75" t="s">
        <v>16785</v>
      </c>
    </row>
    <row r="2510" spans="1:6">
      <c r="A2510">
        <v>2509</v>
      </c>
      <c r="B2510" t="s">
        <v>8406</v>
      </c>
      <c r="C2510">
        <v>250</v>
      </c>
      <c r="D2510">
        <v>750</v>
      </c>
      <c r="E2510">
        <v>50</v>
      </c>
      <c r="F2510" s="72">
        <v>44860</v>
      </c>
    </row>
    <row r="2511" spans="1:6">
      <c r="A2511">
        <v>2510</v>
      </c>
      <c r="B2511" t="s">
        <v>8409</v>
      </c>
      <c r="C2511">
        <v>250</v>
      </c>
      <c r="D2511">
        <v>750</v>
      </c>
      <c r="E2511">
        <v>50</v>
      </c>
      <c r="F2511" s="60">
        <v>44865</v>
      </c>
    </row>
    <row r="2512" spans="1:6">
      <c r="A2512">
        <v>2511</v>
      </c>
      <c r="B2512" t="s">
        <v>8412</v>
      </c>
      <c r="C2512">
        <v>250</v>
      </c>
      <c r="D2512">
        <v>750</v>
      </c>
      <c r="E2512">
        <v>50</v>
      </c>
      <c r="F2512" s="61">
        <v>44928</v>
      </c>
    </row>
    <row r="2513" spans="1:6">
      <c r="A2513">
        <v>2512</v>
      </c>
      <c r="B2513" t="s">
        <v>8415</v>
      </c>
      <c r="C2513">
        <v>250</v>
      </c>
      <c r="D2513">
        <v>750</v>
      </c>
      <c r="E2513">
        <v>50</v>
      </c>
      <c r="F2513" s="61">
        <v>44827</v>
      </c>
    </row>
    <row r="2514" spans="1:6">
      <c r="A2514">
        <v>2513</v>
      </c>
      <c r="B2514" t="s">
        <v>8419</v>
      </c>
      <c r="C2514">
        <v>250</v>
      </c>
      <c r="D2514">
        <v>750</v>
      </c>
      <c r="E2514">
        <v>50</v>
      </c>
      <c r="F2514" s="61">
        <v>44875</v>
      </c>
    </row>
    <row r="2515" spans="1:6">
      <c r="A2515">
        <v>2514</v>
      </c>
      <c r="B2515" t="s">
        <v>8423</v>
      </c>
      <c r="C2515">
        <v>1000</v>
      </c>
      <c r="D2515">
        <v>0</v>
      </c>
      <c r="E2515">
        <v>50</v>
      </c>
      <c r="F2515" s="60">
        <v>44931</v>
      </c>
    </row>
    <row r="2516" spans="1:6">
      <c r="A2516">
        <v>2515</v>
      </c>
      <c r="B2516" t="s">
        <v>8427</v>
      </c>
      <c r="C2516">
        <v>250</v>
      </c>
      <c r="D2516">
        <v>750</v>
      </c>
      <c r="E2516">
        <v>50</v>
      </c>
      <c r="F2516" s="61">
        <v>44849</v>
      </c>
    </row>
    <row r="2517" spans="1:6">
      <c r="A2517">
        <v>2516</v>
      </c>
      <c r="B2517" t="s">
        <v>8430</v>
      </c>
      <c r="C2517">
        <v>100000</v>
      </c>
      <c r="D2517">
        <v>0</v>
      </c>
      <c r="E2517" t="s">
        <v>16642</v>
      </c>
      <c r="F2517" s="96">
        <v>44901</v>
      </c>
    </row>
    <row r="2518" spans="1:6">
      <c r="A2518">
        <v>2517</v>
      </c>
      <c r="B2518" t="s">
        <v>8430</v>
      </c>
      <c r="C2518">
        <v>100000</v>
      </c>
      <c r="D2518">
        <v>0</v>
      </c>
      <c r="E2518" t="s">
        <v>16642</v>
      </c>
      <c r="F2518" s="85"/>
    </row>
    <row r="2519" spans="1:6">
      <c r="A2519">
        <v>2518</v>
      </c>
      <c r="B2519" t="s">
        <v>8434</v>
      </c>
      <c r="C2519">
        <v>250</v>
      </c>
      <c r="D2519">
        <v>750</v>
      </c>
      <c r="E2519">
        <v>50</v>
      </c>
      <c r="F2519" s="60">
        <v>44854</v>
      </c>
    </row>
    <row r="2520" spans="1:6">
      <c r="A2520">
        <v>2519</v>
      </c>
      <c r="B2520" t="s">
        <v>8437</v>
      </c>
      <c r="C2520">
        <v>250</v>
      </c>
      <c r="D2520">
        <v>750</v>
      </c>
      <c r="E2520">
        <v>50</v>
      </c>
      <c r="F2520" s="61">
        <v>44898</v>
      </c>
    </row>
    <row r="2521" spans="1:6">
      <c r="A2521">
        <v>2520</v>
      </c>
      <c r="B2521" t="s">
        <v>8440</v>
      </c>
      <c r="C2521">
        <v>250</v>
      </c>
      <c r="D2521">
        <v>750</v>
      </c>
      <c r="E2521">
        <v>50</v>
      </c>
      <c r="F2521" s="60">
        <v>45015</v>
      </c>
    </row>
    <row r="2522" spans="1:6">
      <c r="A2522">
        <v>2521</v>
      </c>
      <c r="B2522" t="s">
        <v>8443</v>
      </c>
      <c r="C2522">
        <v>500</v>
      </c>
      <c r="D2522">
        <v>500</v>
      </c>
      <c r="E2522">
        <v>50</v>
      </c>
      <c r="F2522" s="61">
        <v>44869</v>
      </c>
    </row>
    <row r="2523" spans="1:6">
      <c r="A2523">
        <v>2522</v>
      </c>
      <c r="B2523" t="s">
        <v>8447</v>
      </c>
      <c r="C2523">
        <v>250</v>
      </c>
      <c r="D2523">
        <v>750</v>
      </c>
      <c r="E2523">
        <v>50</v>
      </c>
      <c r="F2523" s="61">
        <v>44825</v>
      </c>
    </row>
    <row r="2524" spans="1:6">
      <c r="A2524">
        <v>2523</v>
      </c>
      <c r="B2524" t="s">
        <v>8451</v>
      </c>
      <c r="C2524">
        <v>1000</v>
      </c>
      <c r="D2524">
        <v>0</v>
      </c>
      <c r="E2524">
        <v>50</v>
      </c>
      <c r="F2524" s="61">
        <v>45062</v>
      </c>
    </row>
    <row r="2525" spans="1:6">
      <c r="A2525">
        <v>2524</v>
      </c>
      <c r="B2525" t="s">
        <v>8454</v>
      </c>
      <c r="C2525">
        <v>250</v>
      </c>
      <c r="D2525">
        <v>750</v>
      </c>
      <c r="E2525">
        <v>50</v>
      </c>
      <c r="F2525" s="73">
        <v>44944</v>
      </c>
    </row>
    <row r="2526" spans="1:6">
      <c r="A2526">
        <v>2525</v>
      </c>
      <c r="B2526" t="s">
        <v>8457</v>
      </c>
      <c r="C2526">
        <v>250</v>
      </c>
      <c r="D2526">
        <v>750</v>
      </c>
      <c r="E2526">
        <v>50</v>
      </c>
      <c r="F2526" s="61">
        <v>45054</v>
      </c>
    </row>
    <row r="2527" spans="1:6">
      <c r="A2527">
        <v>2526</v>
      </c>
      <c r="B2527" t="s">
        <v>8460</v>
      </c>
      <c r="C2527">
        <v>250</v>
      </c>
      <c r="D2527">
        <v>750</v>
      </c>
      <c r="E2527">
        <v>50</v>
      </c>
      <c r="F2527" s="60">
        <v>45061</v>
      </c>
    </row>
    <row r="2528" spans="1:6">
      <c r="A2528">
        <v>2527</v>
      </c>
      <c r="B2528" t="s">
        <v>8463</v>
      </c>
      <c r="C2528">
        <v>250</v>
      </c>
      <c r="D2528">
        <v>750</v>
      </c>
      <c r="E2528">
        <v>50</v>
      </c>
      <c r="F2528" s="60">
        <v>44928</v>
      </c>
    </row>
    <row r="2529" spans="1:6">
      <c r="A2529">
        <v>2528</v>
      </c>
      <c r="B2529" t="s">
        <v>8466</v>
      </c>
      <c r="C2529">
        <v>500</v>
      </c>
      <c r="D2529">
        <v>500</v>
      </c>
      <c r="E2529">
        <v>50</v>
      </c>
      <c r="F2529" s="61">
        <v>44898</v>
      </c>
    </row>
    <row r="2530" spans="1:6">
      <c r="A2530">
        <v>2529</v>
      </c>
      <c r="B2530" t="s">
        <v>8470</v>
      </c>
      <c r="C2530">
        <v>250</v>
      </c>
      <c r="D2530">
        <v>750</v>
      </c>
      <c r="E2530">
        <v>50</v>
      </c>
      <c r="F2530" s="73">
        <v>44978</v>
      </c>
    </row>
    <row r="2531" spans="1:6">
      <c r="A2531">
        <v>2530</v>
      </c>
      <c r="B2531" t="s">
        <v>8473</v>
      </c>
      <c r="C2531">
        <v>250</v>
      </c>
      <c r="D2531">
        <v>750</v>
      </c>
      <c r="E2531">
        <v>50</v>
      </c>
      <c r="F2531" s="61">
        <v>44849</v>
      </c>
    </row>
    <row r="2532" spans="1:6">
      <c r="A2532">
        <v>2531</v>
      </c>
      <c r="B2532" t="s">
        <v>8476</v>
      </c>
      <c r="C2532">
        <v>250</v>
      </c>
      <c r="D2532">
        <v>750</v>
      </c>
      <c r="E2532">
        <v>50</v>
      </c>
      <c r="F2532" s="60">
        <v>44852</v>
      </c>
    </row>
    <row r="2533" spans="1:6">
      <c r="A2533">
        <v>2532</v>
      </c>
      <c r="B2533" t="s">
        <v>8479</v>
      </c>
      <c r="C2533">
        <v>250</v>
      </c>
      <c r="D2533">
        <v>750</v>
      </c>
      <c r="E2533">
        <v>50</v>
      </c>
      <c r="F2533" s="69">
        <v>45000</v>
      </c>
    </row>
    <row r="2534" spans="1:6">
      <c r="A2534">
        <v>2533</v>
      </c>
      <c r="B2534" t="s">
        <v>8483</v>
      </c>
      <c r="C2534">
        <v>250</v>
      </c>
      <c r="D2534">
        <v>750</v>
      </c>
      <c r="E2534">
        <v>50</v>
      </c>
      <c r="F2534" s="60">
        <v>44931</v>
      </c>
    </row>
    <row r="2535" spans="1:6">
      <c r="A2535">
        <v>2534</v>
      </c>
      <c r="B2535" t="s">
        <v>8487</v>
      </c>
      <c r="C2535">
        <v>250</v>
      </c>
      <c r="D2535">
        <v>750</v>
      </c>
      <c r="E2535">
        <v>50</v>
      </c>
      <c r="F2535" s="61">
        <v>44858</v>
      </c>
    </row>
    <row r="2536" spans="1:6">
      <c r="A2536">
        <v>2535</v>
      </c>
      <c r="B2536" t="s">
        <v>8491</v>
      </c>
      <c r="C2536">
        <v>600000</v>
      </c>
      <c r="D2536">
        <v>0</v>
      </c>
      <c r="E2536" t="s">
        <v>16642</v>
      </c>
      <c r="F2536" s="76">
        <v>44503</v>
      </c>
    </row>
    <row r="2537" spans="1:6">
      <c r="A2537">
        <v>2536</v>
      </c>
      <c r="B2537" t="s">
        <v>8495</v>
      </c>
      <c r="C2537">
        <v>250</v>
      </c>
      <c r="D2537">
        <v>750</v>
      </c>
      <c r="E2537">
        <v>50</v>
      </c>
      <c r="F2537" s="60">
        <v>44875</v>
      </c>
    </row>
    <row r="2538" spans="1:6">
      <c r="A2538">
        <v>2537</v>
      </c>
      <c r="B2538" t="s">
        <v>8498</v>
      </c>
      <c r="C2538">
        <v>250</v>
      </c>
      <c r="D2538">
        <v>750</v>
      </c>
      <c r="E2538">
        <v>50</v>
      </c>
      <c r="F2538" s="71">
        <v>44887</v>
      </c>
    </row>
    <row r="2539" spans="1:6">
      <c r="A2539">
        <v>2538</v>
      </c>
      <c r="B2539" t="s">
        <v>8501</v>
      </c>
      <c r="C2539">
        <v>250</v>
      </c>
      <c r="D2539">
        <v>750</v>
      </c>
      <c r="E2539">
        <v>50</v>
      </c>
      <c r="F2539" s="61">
        <v>44866</v>
      </c>
    </row>
    <row r="2540" spans="1:6">
      <c r="A2540">
        <v>2539</v>
      </c>
      <c r="B2540" t="s">
        <v>8504</v>
      </c>
      <c r="C2540">
        <v>250</v>
      </c>
      <c r="D2540">
        <v>750</v>
      </c>
      <c r="E2540">
        <v>50</v>
      </c>
      <c r="F2540" s="60">
        <v>44862</v>
      </c>
    </row>
    <row r="2541" spans="1:6">
      <c r="A2541">
        <v>2540</v>
      </c>
      <c r="B2541" t="s">
        <v>8507</v>
      </c>
      <c r="C2541">
        <v>100000</v>
      </c>
      <c r="D2541">
        <v>0</v>
      </c>
      <c r="E2541" t="s">
        <v>16642</v>
      </c>
      <c r="F2541" s="76">
        <v>44911</v>
      </c>
    </row>
    <row r="2542" spans="1:6">
      <c r="A2542">
        <v>2541</v>
      </c>
      <c r="B2542" t="s">
        <v>8512</v>
      </c>
      <c r="C2542">
        <v>75000</v>
      </c>
      <c r="D2542">
        <v>0</v>
      </c>
      <c r="E2542">
        <v>3750</v>
      </c>
      <c r="F2542" s="77">
        <v>44522</v>
      </c>
    </row>
    <row r="2543" spans="1:6">
      <c r="A2543">
        <v>2542</v>
      </c>
      <c r="B2543" t="s">
        <v>8515</v>
      </c>
      <c r="C2543">
        <v>500</v>
      </c>
      <c r="D2543">
        <v>1500</v>
      </c>
      <c r="E2543">
        <v>100</v>
      </c>
      <c r="F2543" s="61">
        <v>44910</v>
      </c>
    </row>
    <row r="2544" spans="1:6">
      <c r="A2544">
        <v>2543</v>
      </c>
      <c r="B2544" t="s">
        <v>8518</v>
      </c>
      <c r="C2544">
        <v>250</v>
      </c>
      <c r="D2544">
        <v>750</v>
      </c>
      <c r="E2544">
        <v>50</v>
      </c>
      <c r="F2544" s="61">
        <v>44866</v>
      </c>
    </row>
    <row r="2545" spans="1:6">
      <c r="A2545">
        <v>2544</v>
      </c>
      <c r="B2545" t="s">
        <v>8522</v>
      </c>
      <c r="C2545">
        <v>250</v>
      </c>
      <c r="D2545">
        <v>750</v>
      </c>
      <c r="E2545">
        <v>50</v>
      </c>
      <c r="F2545" s="75">
        <v>44912</v>
      </c>
    </row>
    <row r="2546" spans="1:6">
      <c r="A2546">
        <v>2545</v>
      </c>
      <c r="B2546" t="s">
        <v>8525</v>
      </c>
      <c r="C2546">
        <v>250</v>
      </c>
      <c r="D2546">
        <v>750</v>
      </c>
      <c r="E2546">
        <v>50</v>
      </c>
      <c r="F2546" s="61">
        <v>44859</v>
      </c>
    </row>
    <row r="2547" spans="1:6">
      <c r="A2547">
        <v>2546</v>
      </c>
      <c r="B2547" t="s">
        <v>8528</v>
      </c>
      <c r="C2547">
        <v>2000</v>
      </c>
      <c r="D2547">
        <v>0</v>
      </c>
      <c r="E2547">
        <v>100</v>
      </c>
      <c r="F2547" s="67">
        <v>45119</v>
      </c>
    </row>
    <row r="2548" spans="1:6">
      <c r="A2548">
        <v>2547</v>
      </c>
      <c r="B2548" t="s">
        <v>8531</v>
      </c>
      <c r="C2548">
        <v>250</v>
      </c>
      <c r="D2548">
        <v>750</v>
      </c>
      <c r="E2548">
        <v>50</v>
      </c>
      <c r="F2548" s="61">
        <v>44870</v>
      </c>
    </row>
    <row r="2549" spans="1:6">
      <c r="A2549">
        <v>2548</v>
      </c>
      <c r="B2549" t="s">
        <v>8535</v>
      </c>
      <c r="C2549">
        <v>1000</v>
      </c>
      <c r="D2549">
        <v>0</v>
      </c>
      <c r="E2549">
        <v>50</v>
      </c>
      <c r="F2549" s="60">
        <v>44870</v>
      </c>
    </row>
    <row r="2550" spans="1:6">
      <c r="A2550">
        <v>2549</v>
      </c>
      <c r="B2550" t="s">
        <v>8538</v>
      </c>
      <c r="C2550">
        <v>1000</v>
      </c>
      <c r="D2550">
        <v>0</v>
      </c>
      <c r="E2550">
        <v>50</v>
      </c>
      <c r="F2550" s="69">
        <v>44931</v>
      </c>
    </row>
    <row r="2551" spans="1:6">
      <c r="A2551">
        <v>2550</v>
      </c>
      <c r="B2551" t="s">
        <v>8542</v>
      </c>
      <c r="C2551">
        <v>250</v>
      </c>
      <c r="D2551">
        <v>750</v>
      </c>
      <c r="E2551">
        <v>50</v>
      </c>
      <c r="F2551" s="60">
        <v>44921</v>
      </c>
    </row>
    <row r="2552" spans="1:6">
      <c r="A2552">
        <v>2551</v>
      </c>
      <c r="B2552" t="s">
        <v>8545</v>
      </c>
      <c r="C2552">
        <v>250</v>
      </c>
      <c r="D2552">
        <v>750</v>
      </c>
      <c r="E2552">
        <v>50</v>
      </c>
      <c r="F2552" s="61">
        <v>44855</v>
      </c>
    </row>
    <row r="2553" spans="1:6">
      <c r="A2553">
        <v>2552</v>
      </c>
      <c r="B2553" t="s">
        <v>8548</v>
      </c>
      <c r="C2553">
        <v>10000</v>
      </c>
      <c r="D2553">
        <v>0</v>
      </c>
      <c r="E2553">
        <v>500</v>
      </c>
      <c r="F2553" s="64" t="s">
        <v>16662</v>
      </c>
    </row>
    <row r="2554" spans="1:6">
      <c r="A2554">
        <v>2553</v>
      </c>
      <c r="B2554" t="s">
        <v>8552</v>
      </c>
      <c r="C2554">
        <v>250</v>
      </c>
      <c r="D2554">
        <v>750</v>
      </c>
      <c r="E2554">
        <v>50</v>
      </c>
      <c r="F2554" s="73">
        <v>44978</v>
      </c>
    </row>
    <row r="2555" spans="1:6">
      <c r="A2555">
        <v>2554</v>
      </c>
      <c r="B2555" t="s">
        <v>8555</v>
      </c>
      <c r="C2555">
        <v>250</v>
      </c>
      <c r="D2555">
        <v>750</v>
      </c>
      <c r="E2555">
        <v>50</v>
      </c>
      <c r="F2555" s="69">
        <v>45024</v>
      </c>
    </row>
    <row r="2556" spans="1:6">
      <c r="A2556">
        <v>2555</v>
      </c>
      <c r="B2556" t="s">
        <v>8558</v>
      </c>
      <c r="C2556">
        <v>250</v>
      </c>
      <c r="D2556">
        <v>750</v>
      </c>
      <c r="E2556">
        <v>50</v>
      </c>
      <c r="F2556" s="69">
        <v>44980</v>
      </c>
    </row>
    <row r="2557" spans="1:6">
      <c r="A2557">
        <v>2556</v>
      </c>
      <c r="B2557" t="s">
        <v>8562</v>
      </c>
      <c r="C2557">
        <v>250</v>
      </c>
      <c r="D2557">
        <v>750</v>
      </c>
      <c r="E2557">
        <v>50</v>
      </c>
      <c r="F2557" s="73">
        <v>45010</v>
      </c>
    </row>
    <row r="2558" spans="1:6">
      <c r="A2558">
        <v>2557</v>
      </c>
      <c r="B2558" t="s">
        <v>8565</v>
      </c>
      <c r="C2558">
        <v>300000</v>
      </c>
      <c r="D2558">
        <v>0</v>
      </c>
      <c r="E2558" t="s">
        <v>16642</v>
      </c>
      <c r="F2558" s="100"/>
    </row>
    <row r="2559" spans="1:6">
      <c r="A2559">
        <v>2558</v>
      </c>
      <c r="B2559" t="s">
        <v>8570</v>
      </c>
      <c r="C2559">
        <v>10000</v>
      </c>
      <c r="D2559">
        <v>0</v>
      </c>
      <c r="E2559">
        <v>500</v>
      </c>
      <c r="F2559" s="65">
        <v>44450</v>
      </c>
    </row>
    <row r="2560" spans="1:6">
      <c r="A2560">
        <v>2559</v>
      </c>
      <c r="B2560" t="s">
        <v>8574</v>
      </c>
      <c r="C2560">
        <v>500</v>
      </c>
      <c r="D2560">
        <v>500</v>
      </c>
      <c r="E2560">
        <v>50</v>
      </c>
      <c r="F2560" s="73">
        <v>44986</v>
      </c>
    </row>
    <row r="2561" spans="1:6">
      <c r="A2561">
        <v>2560</v>
      </c>
      <c r="B2561" t="s">
        <v>8578</v>
      </c>
      <c r="C2561">
        <v>250</v>
      </c>
      <c r="D2561">
        <v>750</v>
      </c>
      <c r="E2561">
        <v>50</v>
      </c>
      <c r="F2561" s="61">
        <v>44866</v>
      </c>
    </row>
    <row r="2562" spans="1:6">
      <c r="A2562">
        <v>2561</v>
      </c>
      <c r="B2562" t="s">
        <v>8581</v>
      </c>
      <c r="C2562">
        <v>250</v>
      </c>
      <c r="D2562">
        <v>750</v>
      </c>
      <c r="E2562">
        <v>50</v>
      </c>
      <c r="F2562" s="87" t="s">
        <v>16667</v>
      </c>
    </row>
    <row r="2563" spans="1:6">
      <c r="A2563">
        <v>2562</v>
      </c>
      <c r="B2563" t="s">
        <v>8584</v>
      </c>
      <c r="C2563">
        <v>250</v>
      </c>
      <c r="D2563">
        <v>750</v>
      </c>
      <c r="E2563">
        <v>50</v>
      </c>
      <c r="F2563" s="60">
        <v>44866</v>
      </c>
    </row>
    <row r="2564" spans="1:6">
      <c r="A2564">
        <v>2563</v>
      </c>
      <c r="B2564" t="s">
        <v>8587</v>
      </c>
      <c r="C2564">
        <v>250</v>
      </c>
      <c r="D2564">
        <v>750</v>
      </c>
      <c r="E2564">
        <v>50</v>
      </c>
      <c r="F2564" s="61">
        <v>44926</v>
      </c>
    </row>
    <row r="2565" spans="1:6">
      <c r="A2565">
        <v>2564</v>
      </c>
      <c r="B2565" t="s">
        <v>8590</v>
      </c>
      <c r="C2565">
        <v>250</v>
      </c>
      <c r="D2565">
        <v>750</v>
      </c>
      <c r="E2565">
        <v>50</v>
      </c>
      <c r="F2565" s="60">
        <v>44836</v>
      </c>
    </row>
    <row r="2566" spans="1:6">
      <c r="A2566">
        <v>2565</v>
      </c>
      <c r="B2566" t="s">
        <v>8594</v>
      </c>
      <c r="C2566">
        <v>250</v>
      </c>
      <c r="D2566">
        <v>750</v>
      </c>
      <c r="E2566">
        <v>50</v>
      </c>
      <c r="F2566" s="87" t="s">
        <v>16786</v>
      </c>
    </row>
    <row r="2567" spans="1:6">
      <c r="A2567">
        <v>2566</v>
      </c>
      <c r="B2567" t="s">
        <v>8597</v>
      </c>
      <c r="C2567">
        <v>250</v>
      </c>
      <c r="D2567">
        <v>750</v>
      </c>
      <c r="E2567">
        <v>50</v>
      </c>
      <c r="F2567" s="60">
        <v>45040</v>
      </c>
    </row>
    <row r="2568" spans="1:6">
      <c r="A2568">
        <v>2567</v>
      </c>
      <c r="B2568" t="s">
        <v>8600</v>
      </c>
      <c r="C2568">
        <v>250</v>
      </c>
      <c r="D2568">
        <v>750</v>
      </c>
      <c r="E2568">
        <v>50</v>
      </c>
      <c r="F2568" s="73">
        <v>44929</v>
      </c>
    </row>
    <row r="2569" spans="1:6">
      <c r="A2569">
        <v>2568</v>
      </c>
      <c r="B2569" t="s">
        <v>8603</v>
      </c>
      <c r="C2569">
        <v>22200</v>
      </c>
      <c r="D2569">
        <v>22200</v>
      </c>
      <c r="E2569">
        <v>2220</v>
      </c>
      <c r="F2569" s="65">
        <v>44441</v>
      </c>
    </row>
    <row r="2570" spans="1:6">
      <c r="A2570">
        <v>2569</v>
      </c>
      <c r="B2570" t="s">
        <v>8608</v>
      </c>
      <c r="C2570">
        <v>250</v>
      </c>
      <c r="D2570">
        <v>750</v>
      </c>
      <c r="E2570">
        <v>50</v>
      </c>
      <c r="F2570" s="71">
        <v>44887</v>
      </c>
    </row>
    <row r="2571" spans="1:6">
      <c r="A2571">
        <v>2570</v>
      </c>
      <c r="B2571" t="s">
        <v>8611</v>
      </c>
      <c r="C2571">
        <v>250</v>
      </c>
      <c r="D2571">
        <v>750</v>
      </c>
      <c r="E2571">
        <v>50</v>
      </c>
      <c r="F2571" s="60">
        <v>44854</v>
      </c>
    </row>
    <row r="2572" spans="1:6">
      <c r="A2572">
        <v>2571</v>
      </c>
      <c r="B2572" t="s">
        <v>8615</v>
      </c>
      <c r="C2572">
        <v>100000</v>
      </c>
      <c r="D2572">
        <v>0</v>
      </c>
      <c r="E2572" t="s">
        <v>16642</v>
      </c>
      <c r="F2572" s="76">
        <v>44898</v>
      </c>
    </row>
    <row r="2573" spans="1:6">
      <c r="A2573">
        <v>2572</v>
      </c>
      <c r="B2573" t="s">
        <v>8620</v>
      </c>
      <c r="C2573">
        <v>1000</v>
      </c>
      <c r="D2573">
        <v>0</v>
      </c>
      <c r="E2573">
        <v>50</v>
      </c>
      <c r="F2573" s="64" t="s">
        <v>16682</v>
      </c>
    </row>
    <row r="2574" spans="1:6">
      <c r="A2574">
        <v>2573</v>
      </c>
      <c r="B2574" t="s">
        <v>8624</v>
      </c>
      <c r="C2574">
        <v>5000</v>
      </c>
      <c r="D2574">
        <v>15000</v>
      </c>
      <c r="E2574">
        <v>1000</v>
      </c>
      <c r="F2574" s="65">
        <v>44666</v>
      </c>
    </row>
    <row r="2575" ht="15" spans="1:6">
      <c r="A2575">
        <v>2574</v>
      </c>
      <c r="B2575" t="s">
        <v>8628</v>
      </c>
      <c r="C2575">
        <v>1500000</v>
      </c>
      <c r="D2575">
        <v>0</v>
      </c>
      <c r="E2575" t="s">
        <v>16642</v>
      </c>
      <c r="F2575" s="88">
        <f>IFERROR(__xludf.DUMMYFUNCTION("""COMPUTED_VALUE"""),45084)</f>
        <v>45084</v>
      </c>
    </row>
    <row r="2576" spans="1:6">
      <c r="A2576">
        <v>2575</v>
      </c>
      <c r="B2576" t="s">
        <v>8629</v>
      </c>
      <c r="C2576">
        <v>250</v>
      </c>
      <c r="D2576">
        <v>750</v>
      </c>
      <c r="E2576">
        <v>50</v>
      </c>
      <c r="F2576" s="60">
        <v>44884</v>
      </c>
    </row>
    <row r="2577" spans="1:6">
      <c r="A2577">
        <v>2576</v>
      </c>
      <c r="B2577" t="s">
        <v>8632</v>
      </c>
      <c r="C2577">
        <v>250</v>
      </c>
      <c r="D2577">
        <v>750</v>
      </c>
      <c r="E2577">
        <v>50</v>
      </c>
      <c r="F2577" s="61">
        <v>44916</v>
      </c>
    </row>
    <row r="2578" spans="1:6">
      <c r="A2578">
        <v>2577</v>
      </c>
      <c r="B2578" t="s">
        <v>8636</v>
      </c>
      <c r="C2578">
        <v>250</v>
      </c>
      <c r="D2578">
        <v>750</v>
      </c>
      <c r="E2578">
        <v>50</v>
      </c>
      <c r="F2578" s="60">
        <v>44926</v>
      </c>
    </row>
    <row r="2579" spans="1:6">
      <c r="A2579">
        <v>2578</v>
      </c>
      <c r="B2579" t="s">
        <v>8639</v>
      </c>
      <c r="C2579">
        <v>106000</v>
      </c>
      <c r="D2579">
        <v>0</v>
      </c>
      <c r="F2579" s="65"/>
    </row>
    <row r="2580" spans="1:6">
      <c r="A2580">
        <v>2579</v>
      </c>
      <c r="B2580" t="s">
        <v>8643</v>
      </c>
      <c r="C2580">
        <v>5000</v>
      </c>
      <c r="D2580">
        <v>15000</v>
      </c>
      <c r="E2580">
        <v>1000</v>
      </c>
      <c r="F2580" s="64" t="s">
        <v>16679</v>
      </c>
    </row>
    <row r="2581" spans="1:6">
      <c r="A2581">
        <v>2580</v>
      </c>
      <c r="B2581" t="s">
        <v>8647</v>
      </c>
      <c r="C2581">
        <v>250</v>
      </c>
      <c r="D2581">
        <v>750</v>
      </c>
      <c r="E2581">
        <v>50</v>
      </c>
      <c r="F2581" s="60">
        <v>44926</v>
      </c>
    </row>
    <row r="2582" spans="1:6">
      <c r="A2582">
        <v>2581</v>
      </c>
      <c r="B2582" t="s">
        <v>8650</v>
      </c>
      <c r="C2582">
        <v>250</v>
      </c>
      <c r="D2582">
        <v>750</v>
      </c>
      <c r="E2582">
        <v>50</v>
      </c>
      <c r="F2582" s="61">
        <v>44917</v>
      </c>
    </row>
    <row r="2583" spans="1:6">
      <c r="A2583">
        <v>2582</v>
      </c>
      <c r="B2583" t="s">
        <v>8653</v>
      </c>
      <c r="C2583">
        <v>50000</v>
      </c>
      <c r="D2583">
        <v>0</v>
      </c>
      <c r="E2583">
        <v>2500</v>
      </c>
      <c r="F2583" s="67">
        <v>44684</v>
      </c>
    </row>
    <row r="2584" spans="1:6">
      <c r="A2584">
        <v>2583</v>
      </c>
      <c r="B2584" t="s">
        <v>8656</v>
      </c>
      <c r="C2584">
        <v>250</v>
      </c>
      <c r="D2584">
        <v>750</v>
      </c>
      <c r="E2584">
        <v>50</v>
      </c>
      <c r="F2584" s="70">
        <v>44923</v>
      </c>
    </row>
    <row r="2585" spans="1:6">
      <c r="A2585">
        <v>2584</v>
      </c>
      <c r="B2585" t="s">
        <v>8659</v>
      </c>
      <c r="C2585">
        <v>250</v>
      </c>
      <c r="D2585">
        <v>750</v>
      </c>
      <c r="E2585">
        <v>50</v>
      </c>
      <c r="F2585" s="69">
        <v>45013</v>
      </c>
    </row>
    <row r="2586" spans="1:6">
      <c r="A2586">
        <v>2585</v>
      </c>
      <c r="B2586" t="s">
        <v>8662</v>
      </c>
      <c r="C2586">
        <v>250</v>
      </c>
      <c r="D2586">
        <v>750</v>
      </c>
      <c r="E2586">
        <v>50</v>
      </c>
      <c r="F2586" s="60">
        <v>44872</v>
      </c>
    </row>
    <row r="2587" spans="1:6">
      <c r="A2587">
        <v>2586</v>
      </c>
      <c r="B2587" t="s">
        <v>8665</v>
      </c>
      <c r="C2587">
        <v>250</v>
      </c>
      <c r="D2587">
        <v>750</v>
      </c>
      <c r="E2587">
        <v>50</v>
      </c>
      <c r="F2587" s="73">
        <v>45061</v>
      </c>
    </row>
    <row r="2588" spans="1:6">
      <c r="A2588">
        <v>2587</v>
      </c>
      <c r="B2588" t="s">
        <v>8668</v>
      </c>
      <c r="C2588">
        <v>250</v>
      </c>
      <c r="D2588">
        <v>750</v>
      </c>
      <c r="E2588">
        <v>50</v>
      </c>
      <c r="F2588" s="72">
        <v>44998</v>
      </c>
    </row>
    <row r="2589" ht="15" spans="1:6">
      <c r="A2589">
        <v>2588</v>
      </c>
      <c r="B2589" t="s">
        <v>8671</v>
      </c>
      <c r="C2589">
        <v>1500000</v>
      </c>
      <c r="D2589">
        <v>0</v>
      </c>
      <c r="E2589" t="s">
        <v>16642</v>
      </c>
      <c r="F2589" s="81">
        <f>IFERROR(__xludf.DUMMYFUNCTION("""COMPUTED_VALUE"""),45083)</f>
        <v>45083</v>
      </c>
    </row>
    <row r="2590" spans="1:6">
      <c r="A2590">
        <v>2589</v>
      </c>
      <c r="B2590" t="s">
        <v>8675</v>
      </c>
      <c r="C2590">
        <v>250</v>
      </c>
      <c r="D2590">
        <v>750</v>
      </c>
      <c r="E2590">
        <v>50</v>
      </c>
      <c r="F2590" s="73">
        <v>44950</v>
      </c>
    </row>
    <row r="2591" spans="1:6">
      <c r="A2591">
        <v>2590</v>
      </c>
      <c r="B2591" t="s">
        <v>8678</v>
      </c>
      <c r="C2591">
        <v>250</v>
      </c>
      <c r="D2591">
        <v>750</v>
      </c>
      <c r="E2591">
        <v>50</v>
      </c>
      <c r="F2591" s="60">
        <v>44825</v>
      </c>
    </row>
    <row r="2592" spans="1:6">
      <c r="A2592">
        <v>2591</v>
      </c>
      <c r="B2592" t="s">
        <v>8682</v>
      </c>
      <c r="C2592">
        <v>1000</v>
      </c>
      <c r="D2592">
        <v>0</v>
      </c>
      <c r="E2592">
        <v>50</v>
      </c>
      <c r="F2592" s="61">
        <v>44844</v>
      </c>
    </row>
    <row r="2593" spans="1:6">
      <c r="A2593">
        <v>2592</v>
      </c>
      <c r="B2593" t="s">
        <v>8686</v>
      </c>
      <c r="C2593">
        <v>250</v>
      </c>
      <c r="D2593">
        <v>750</v>
      </c>
      <c r="E2593">
        <v>50</v>
      </c>
      <c r="F2593" s="60">
        <v>44860</v>
      </c>
    </row>
    <row r="2594" spans="1:6">
      <c r="A2594">
        <v>2593</v>
      </c>
      <c r="B2594" t="s">
        <v>8689</v>
      </c>
      <c r="C2594">
        <v>250</v>
      </c>
      <c r="D2594">
        <v>750</v>
      </c>
      <c r="E2594">
        <v>50</v>
      </c>
      <c r="F2594" s="77">
        <v>44779</v>
      </c>
    </row>
    <row r="2595" spans="1:6">
      <c r="A2595">
        <v>2594</v>
      </c>
      <c r="B2595" t="s">
        <v>8692</v>
      </c>
      <c r="C2595">
        <v>250</v>
      </c>
      <c r="D2595">
        <v>750</v>
      </c>
      <c r="E2595">
        <v>50</v>
      </c>
      <c r="F2595" s="75">
        <v>44886</v>
      </c>
    </row>
    <row r="2596" spans="1:6">
      <c r="A2596">
        <v>2595</v>
      </c>
      <c r="B2596" t="s">
        <v>8696</v>
      </c>
      <c r="C2596">
        <v>250</v>
      </c>
      <c r="D2596">
        <v>750</v>
      </c>
      <c r="E2596">
        <v>50</v>
      </c>
      <c r="F2596" s="75">
        <v>44840</v>
      </c>
    </row>
    <row r="2597" spans="1:6">
      <c r="A2597">
        <v>2596</v>
      </c>
      <c r="B2597" t="s">
        <v>8700</v>
      </c>
      <c r="C2597">
        <v>250</v>
      </c>
      <c r="D2597">
        <v>750</v>
      </c>
      <c r="E2597">
        <v>50</v>
      </c>
      <c r="F2597" s="61">
        <v>44854</v>
      </c>
    </row>
    <row r="2598" spans="1:6">
      <c r="A2598">
        <v>2597</v>
      </c>
      <c r="B2598" t="s">
        <v>8704</v>
      </c>
      <c r="C2598">
        <v>250</v>
      </c>
      <c r="D2598">
        <v>750</v>
      </c>
      <c r="E2598">
        <v>50</v>
      </c>
      <c r="F2598" s="69">
        <v>44988</v>
      </c>
    </row>
    <row r="2599" spans="1:6">
      <c r="A2599">
        <v>2598</v>
      </c>
      <c r="B2599" t="s">
        <v>8708</v>
      </c>
      <c r="C2599">
        <v>100000</v>
      </c>
      <c r="D2599">
        <v>0</v>
      </c>
      <c r="E2599" t="s">
        <v>16642</v>
      </c>
      <c r="F2599" s="76">
        <v>44980</v>
      </c>
    </row>
    <row r="2600" spans="1:6">
      <c r="A2600">
        <v>2599</v>
      </c>
      <c r="B2600" t="s">
        <v>8712</v>
      </c>
      <c r="C2600">
        <v>250</v>
      </c>
      <c r="D2600">
        <v>750</v>
      </c>
      <c r="E2600">
        <v>50</v>
      </c>
      <c r="F2600" s="61">
        <v>44923</v>
      </c>
    </row>
    <row r="2601" spans="1:6">
      <c r="A2601">
        <v>2600</v>
      </c>
      <c r="B2601" t="s">
        <v>8716</v>
      </c>
      <c r="C2601">
        <v>250</v>
      </c>
      <c r="D2601">
        <v>750</v>
      </c>
      <c r="E2601">
        <v>50</v>
      </c>
      <c r="F2601" s="61">
        <v>44903</v>
      </c>
    </row>
    <row r="2602" spans="1:6">
      <c r="A2602">
        <v>2601</v>
      </c>
      <c r="B2602" t="s">
        <v>8720</v>
      </c>
      <c r="C2602">
        <v>250</v>
      </c>
      <c r="D2602">
        <v>750</v>
      </c>
      <c r="E2602">
        <v>50</v>
      </c>
      <c r="F2602" s="60">
        <v>44844</v>
      </c>
    </row>
    <row r="2603" spans="1:6">
      <c r="A2603">
        <v>2602</v>
      </c>
      <c r="B2603" t="s">
        <v>8723</v>
      </c>
      <c r="C2603">
        <v>250</v>
      </c>
      <c r="D2603">
        <v>750</v>
      </c>
      <c r="E2603">
        <v>50</v>
      </c>
      <c r="F2603" s="61">
        <v>44848</v>
      </c>
    </row>
    <row r="2604" spans="1:6">
      <c r="A2604">
        <v>2603</v>
      </c>
      <c r="B2604" t="s">
        <v>8726</v>
      </c>
      <c r="C2604">
        <v>250</v>
      </c>
      <c r="D2604">
        <v>750</v>
      </c>
      <c r="E2604">
        <v>50</v>
      </c>
      <c r="F2604" s="69">
        <v>44845</v>
      </c>
    </row>
    <row r="2605" spans="1:6">
      <c r="A2605">
        <v>2604</v>
      </c>
      <c r="B2605" t="s">
        <v>8729</v>
      </c>
      <c r="C2605">
        <v>250</v>
      </c>
      <c r="D2605">
        <v>750</v>
      </c>
      <c r="E2605">
        <v>50</v>
      </c>
      <c r="F2605" s="69">
        <v>44925</v>
      </c>
    </row>
    <row r="2606" spans="1:6">
      <c r="A2606">
        <v>2605</v>
      </c>
      <c r="B2606" t="s">
        <v>8732</v>
      </c>
      <c r="C2606">
        <v>250</v>
      </c>
      <c r="D2606">
        <v>750</v>
      </c>
      <c r="E2606">
        <v>50</v>
      </c>
      <c r="F2606" s="73">
        <v>45040</v>
      </c>
    </row>
    <row r="2607" spans="1:6">
      <c r="A2607">
        <v>2606</v>
      </c>
      <c r="B2607" t="s">
        <v>8735</v>
      </c>
      <c r="C2607">
        <v>250</v>
      </c>
      <c r="D2607">
        <v>750</v>
      </c>
      <c r="E2607">
        <v>50</v>
      </c>
      <c r="F2607" s="60">
        <v>44855</v>
      </c>
    </row>
    <row r="2608" spans="1:6">
      <c r="A2608">
        <v>2607</v>
      </c>
      <c r="B2608" t="s">
        <v>8738</v>
      </c>
      <c r="C2608">
        <v>1000</v>
      </c>
      <c r="D2608">
        <v>0</v>
      </c>
      <c r="E2608">
        <v>50</v>
      </c>
      <c r="F2608" s="77">
        <v>44758</v>
      </c>
    </row>
    <row r="2609" spans="1:6">
      <c r="A2609">
        <v>2608</v>
      </c>
      <c r="B2609" t="s">
        <v>8741</v>
      </c>
      <c r="C2609">
        <v>250</v>
      </c>
      <c r="D2609">
        <v>750</v>
      </c>
      <c r="E2609">
        <v>50</v>
      </c>
      <c r="F2609" s="61">
        <v>44849</v>
      </c>
    </row>
    <row r="2610" spans="1:6">
      <c r="A2610">
        <v>2609</v>
      </c>
      <c r="B2610" t="s">
        <v>8744</v>
      </c>
      <c r="C2610">
        <v>250</v>
      </c>
      <c r="D2610">
        <v>750</v>
      </c>
      <c r="E2610">
        <v>50</v>
      </c>
      <c r="F2610" s="60">
        <v>44922</v>
      </c>
    </row>
    <row r="2611" spans="1:6">
      <c r="A2611">
        <v>2610</v>
      </c>
      <c r="B2611" t="s">
        <v>8748</v>
      </c>
      <c r="C2611">
        <v>2000</v>
      </c>
      <c r="D2611">
        <v>0</v>
      </c>
      <c r="E2611">
        <v>100</v>
      </c>
      <c r="F2611" s="72">
        <v>44912</v>
      </c>
    </row>
    <row r="2612" spans="1:6">
      <c r="A2612">
        <v>2611</v>
      </c>
      <c r="B2612" t="s">
        <v>8752</v>
      </c>
      <c r="C2612">
        <v>10000</v>
      </c>
      <c r="D2612">
        <v>0</v>
      </c>
      <c r="E2612">
        <v>500</v>
      </c>
      <c r="F2612" s="64" t="s">
        <v>16723</v>
      </c>
    </row>
    <row r="2613" spans="1:6">
      <c r="A2613">
        <v>2612</v>
      </c>
      <c r="B2613" t="s">
        <v>8756</v>
      </c>
      <c r="C2613">
        <v>200000</v>
      </c>
      <c r="D2613">
        <v>0</v>
      </c>
      <c r="E2613" t="s">
        <v>16642</v>
      </c>
      <c r="F2613" s="76">
        <v>44939</v>
      </c>
    </row>
    <row r="2614" spans="1:6">
      <c r="A2614">
        <v>2613</v>
      </c>
      <c r="B2614" t="s">
        <v>8760</v>
      </c>
      <c r="C2614">
        <v>250</v>
      </c>
      <c r="D2614">
        <v>750</v>
      </c>
      <c r="E2614">
        <v>50</v>
      </c>
      <c r="F2614" s="60">
        <v>44930</v>
      </c>
    </row>
    <row r="2615" spans="1:6">
      <c r="A2615">
        <v>2614</v>
      </c>
      <c r="B2615" t="s">
        <v>8763</v>
      </c>
      <c r="C2615">
        <v>250</v>
      </c>
      <c r="D2615">
        <v>750</v>
      </c>
      <c r="E2615">
        <v>50</v>
      </c>
      <c r="F2615" s="71">
        <v>44875</v>
      </c>
    </row>
    <row r="2616" spans="1:6">
      <c r="A2616">
        <v>2615</v>
      </c>
      <c r="B2616" t="s">
        <v>8766</v>
      </c>
      <c r="C2616">
        <v>250</v>
      </c>
      <c r="D2616">
        <v>750</v>
      </c>
      <c r="E2616">
        <v>50</v>
      </c>
      <c r="F2616" s="60">
        <v>44898</v>
      </c>
    </row>
    <row r="2617" spans="1:6">
      <c r="A2617">
        <v>2616</v>
      </c>
      <c r="B2617" t="s">
        <v>8769</v>
      </c>
      <c r="C2617">
        <v>1000</v>
      </c>
      <c r="D2617">
        <v>0</v>
      </c>
      <c r="E2617">
        <v>50</v>
      </c>
      <c r="F2617" s="64" t="s">
        <v>16787</v>
      </c>
    </row>
    <row r="2618" spans="1:6">
      <c r="A2618">
        <v>2617</v>
      </c>
      <c r="B2618" t="s">
        <v>8774</v>
      </c>
      <c r="C2618">
        <v>100000</v>
      </c>
      <c r="D2618">
        <v>0</v>
      </c>
      <c r="E2618" t="s">
        <v>16642</v>
      </c>
      <c r="F2618" s="66" t="s">
        <v>16788</v>
      </c>
    </row>
    <row r="2619" spans="1:6">
      <c r="A2619">
        <v>2618</v>
      </c>
      <c r="B2619" t="s">
        <v>8779</v>
      </c>
      <c r="C2619">
        <v>100000</v>
      </c>
      <c r="D2619">
        <v>0</v>
      </c>
      <c r="E2619" t="s">
        <v>16642</v>
      </c>
      <c r="F2619" s="100"/>
    </row>
    <row r="2620" spans="1:6">
      <c r="A2620">
        <v>2619</v>
      </c>
      <c r="B2620" t="s">
        <v>8780</v>
      </c>
      <c r="C2620">
        <v>800000</v>
      </c>
      <c r="D2620">
        <v>0</v>
      </c>
      <c r="E2620" t="s">
        <v>16642</v>
      </c>
      <c r="F2620" s="100"/>
    </row>
    <row r="2621" spans="1:6">
      <c r="A2621">
        <v>2620</v>
      </c>
      <c r="B2621" t="s">
        <v>8785</v>
      </c>
      <c r="C2621">
        <v>200000</v>
      </c>
      <c r="D2621">
        <v>0</v>
      </c>
      <c r="E2621" t="s">
        <v>16642</v>
      </c>
      <c r="F2621" s="66"/>
    </row>
    <row r="2622" spans="1:6">
      <c r="A2622">
        <v>2621</v>
      </c>
      <c r="B2622" t="s">
        <v>8790</v>
      </c>
      <c r="C2622">
        <v>250</v>
      </c>
      <c r="D2622">
        <v>750</v>
      </c>
      <c r="E2622">
        <v>50</v>
      </c>
      <c r="F2622" s="61">
        <v>44820</v>
      </c>
    </row>
    <row r="2623" spans="1:6">
      <c r="A2623">
        <v>2622</v>
      </c>
      <c r="B2623" t="s">
        <v>8794</v>
      </c>
      <c r="C2623">
        <v>100000</v>
      </c>
      <c r="D2623">
        <v>0</v>
      </c>
      <c r="E2623" t="s">
        <v>16642</v>
      </c>
      <c r="F2623" s="76">
        <v>44939</v>
      </c>
    </row>
    <row r="2624" spans="1:6">
      <c r="A2624">
        <v>2623</v>
      </c>
      <c r="B2624" t="s">
        <v>8799</v>
      </c>
      <c r="C2624">
        <v>1000</v>
      </c>
      <c r="D2624">
        <v>0</v>
      </c>
      <c r="E2624">
        <v>50</v>
      </c>
      <c r="F2624" s="60">
        <v>44917</v>
      </c>
    </row>
    <row r="2625" spans="1:6">
      <c r="A2625">
        <v>2624</v>
      </c>
      <c r="B2625" t="s">
        <v>8803</v>
      </c>
      <c r="C2625">
        <v>250</v>
      </c>
      <c r="D2625">
        <v>750</v>
      </c>
      <c r="E2625">
        <v>50</v>
      </c>
      <c r="F2625" s="65">
        <v>44506</v>
      </c>
    </row>
    <row r="2626" spans="1:6">
      <c r="A2626">
        <v>2625</v>
      </c>
      <c r="B2626" t="s">
        <v>8807</v>
      </c>
      <c r="C2626">
        <v>1500</v>
      </c>
      <c r="D2626">
        <v>4500</v>
      </c>
      <c r="E2626">
        <v>300</v>
      </c>
      <c r="F2626" s="60">
        <v>44846</v>
      </c>
    </row>
    <row r="2627" spans="1:6">
      <c r="A2627">
        <v>2626</v>
      </c>
      <c r="B2627" t="s">
        <v>8810</v>
      </c>
      <c r="C2627">
        <v>250</v>
      </c>
      <c r="D2627">
        <v>750</v>
      </c>
      <c r="E2627">
        <v>50</v>
      </c>
      <c r="F2627" s="60">
        <v>44928</v>
      </c>
    </row>
    <row r="2628" spans="1:6">
      <c r="A2628">
        <v>2627</v>
      </c>
      <c r="B2628" t="s">
        <v>8813</v>
      </c>
      <c r="C2628">
        <v>20000</v>
      </c>
      <c r="D2628">
        <v>0</v>
      </c>
      <c r="E2628">
        <v>1000</v>
      </c>
      <c r="F2628" s="64" t="s">
        <v>16789</v>
      </c>
    </row>
    <row r="2629" spans="1:6">
      <c r="A2629">
        <v>2628</v>
      </c>
      <c r="B2629" t="s">
        <v>8817</v>
      </c>
      <c r="C2629">
        <v>250</v>
      </c>
      <c r="D2629">
        <v>750</v>
      </c>
      <c r="E2629">
        <v>50</v>
      </c>
      <c r="F2629" s="60">
        <v>44884</v>
      </c>
    </row>
    <row r="2630" spans="1:6">
      <c r="A2630">
        <v>2629</v>
      </c>
      <c r="B2630" t="s">
        <v>8821</v>
      </c>
      <c r="C2630">
        <v>1000</v>
      </c>
      <c r="D2630">
        <v>0</v>
      </c>
      <c r="E2630">
        <v>50</v>
      </c>
      <c r="F2630" s="69">
        <v>44930</v>
      </c>
    </row>
    <row r="2631" spans="1:6">
      <c r="A2631">
        <v>2630</v>
      </c>
      <c r="B2631" t="s">
        <v>8824</v>
      </c>
      <c r="C2631">
        <v>250</v>
      </c>
      <c r="D2631">
        <v>750</v>
      </c>
      <c r="E2631">
        <v>50</v>
      </c>
      <c r="F2631" s="61">
        <v>44922</v>
      </c>
    </row>
    <row r="2632" spans="1:6">
      <c r="A2632">
        <v>2631</v>
      </c>
      <c r="B2632" t="s">
        <v>8827</v>
      </c>
      <c r="C2632">
        <v>100000</v>
      </c>
      <c r="D2632">
        <v>0</v>
      </c>
      <c r="E2632" t="s">
        <v>16642</v>
      </c>
      <c r="F2632" s="82">
        <v>44809</v>
      </c>
    </row>
    <row r="2633" spans="1:6">
      <c r="A2633">
        <v>2632</v>
      </c>
      <c r="B2633" t="s">
        <v>8832</v>
      </c>
      <c r="C2633">
        <v>100000</v>
      </c>
      <c r="D2633">
        <v>0</v>
      </c>
      <c r="E2633" t="s">
        <v>16642</v>
      </c>
      <c r="F2633" s="100"/>
    </row>
    <row r="2634" spans="1:6">
      <c r="A2634">
        <v>2633</v>
      </c>
      <c r="B2634" t="s">
        <v>8835</v>
      </c>
      <c r="C2634">
        <v>250</v>
      </c>
      <c r="D2634">
        <v>750</v>
      </c>
      <c r="E2634">
        <v>50</v>
      </c>
      <c r="F2634" s="69">
        <v>44900</v>
      </c>
    </row>
    <row r="2635" spans="1:6">
      <c r="A2635">
        <v>2634</v>
      </c>
      <c r="B2635" t="s">
        <v>8839</v>
      </c>
      <c r="C2635">
        <v>250</v>
      </c>
      <c r="D2635">
        <v>750</v>
      </c>
      <c r="E2635">
        <v>50</v>
      </c>
      <c r="F2635" s="70">
        <v>44855</v>
      </c>
    </row>
    <row r="2636" spans="1:6">
      <c r="A2636">
        <v>2635</v>
      </c>
      <c r="B2636" t="s">
        <v>8842</v>
      </c>
      <c r="C2636">
        <v>250</v>
      </c>
      <c r="D2636">
        <v>750</v>
      </c>
      <c r="E2636">
        <v>50</v>
      </c>
      <c r="F2636" s="69">
        <v>44950</v>
      </c>
    </row>
    <row r="2637" spans="1:6">
      <c r="A2637">
        <v>2636</v>
      </c>
      <c r="B2637" t="s">
        <v>8845</v>
      </c>
      <c r="C2637">
        <v>250</v>
      </c>
      <c r="D2637">
        <v>750</v>
      </c>
      <c r="E2637">
        <v>50</v>
      </c>
      <c r="F2637" s="61">
        <v>44883</v>
      </c>
    </row>
    <row r="2638" spans="1:6">
      <c r="A2638">
        <v>2637</v>
      </c>
      <c r="B2638" t="s">
        <v>8848</v>
      </c>
      <c r="C2638">
        <v>250</v>
      </c>
      <c r="D2638">
        <v>750</v>
      </c>
      <c r="E2638">
        <v>50</v>
      </c>
      <c r="F2638" s="75">
        <v>44844</v>
      </c>
    </row>
    <row r="2639" spans="1:6">
      <c r="A2639">
        <v>2638</v>
      </c>
      <c r="B2639" t="s">
        <v>8851</v>
      </c>
      <c r="C2639">
        <v>250</v>
      </c>
      <c r="D2639">
        <v>750</v>
      </c>
      <c r="E2639">
        <v>50</v>
      </c>
      <c r="F2639" s="60">
        <v>45001</v>
      </c>
    </row>
    <row r="2640" spans="1:6">
      <c r="A2640">
        <v>2639</v>
      </c>
      <c r="B2640" t="s">
        <v>8855</v>
      </c>
      <c r="C2640">
        <v>250</v>
      </c>
      <c r="D2640">
        <v>750</v>
      </c>
      <c r="E2640">
        <v>50</v>
      </c>
      <c r="F2640" s="99">
        <v>44905</v>
      </c>
    </row>
    <row r="2641" spans="1:6">
      <c r="A2641">
        <v>2640</v>
      </c>
      <c r="B2641" t="s">
        <v>8858</v>
      </c>
      <c r="C2641">
        <v>250</v>
      </c>
      <c r="D2641">
        <v>750</v>
      </c>
      <c r="E2641">
        <v>50</v>
      </c>
      <c r="F2641" s="71">
        <v>44902</v>
      </c>
    </row>
    <row r="2642" spans="1:6">
      <c r="A2642">
        <v>2641</v>
      </c>
      <c r="B2642" t="s">
        <v>8861</v>
      </c>
      <c r="C2642">
        <v>250</v>
      </c>
      <c r="D2642">
        <v>750</v>
      </c>
      <c r="E2642">
        <v>50</v>
      </c>
      <c r="F2642" s="61">
        <v>44893</v>
      </c>
    </row>
    <row r="2643" spans="1:6">
      <c r="A2643">
        <v>2642</v>
      </c>
      <c r="B2643" t="s">
        <v>8864</v>
      </c>
      <c r="C2643">
        <v>250</v>
      </c>
      <c r="D2643">
        <v>750</v>
      </c>
      <c r="E2643">
        <v>50</v>
      </c>
      <c r="F2643" s="61">
        <v>45042</v>
      </c>
    </row>
    <row r="2644" spans="1:6">
      <c r="A2644">
        <v>2643</v>
      </c>
      <c r="B2644" t="s">
        <v>8867</v>
      </c>
      <c r="C2644">
        <v>500</v>
      </c>
      <c r="D2644">
        <v>500</v>
      </c>
      <c r="E2644">
        <v>50</v>
      </c>
      <c r="F2644" s="61">
        <v>44912</v>
      </c>
    </row>
    <row r="2645" spans="1:6">
      <c r="A2645">
        <v>2644</v>
      </c>
      <c r="B2645" t="s">
        <v>8871</v>
      </c>
      <c r="C2645">
        <v>250</v>
      </c>
      <c r="D2645">
        <v>750</v>
      </c>
      <c r="E2645">
        <v>50</v>
      </c>
      <c r="F2645" s="72">
        <v>44894</v>
      </c>
    </row>
    <row r="2646" spans="1:6">
      <c r="A2646">
        <v>2645</v>
      </c>
      <c r="B2646" t="s">
        <v>8875</v>
      </c>
      <c r="C2646">
        <v>250</v>
      </c>
      <c r="D2646">
        <v>750</v>
      </c>
      <c r="E2646">
        <v>50</v>
      </c>
      <c r="F2646" s="61">
        <v>44860</v>
      </c>
    </row>
    <row r="2647" spans="1:6">
      <c r="A2647">
        <v>2646</v>
      </c>
      <c r="B2647" t="s">
        <v>8878</v>
      </c>
      <c r="C2647">
        <v>250</v>
      </c>
      <c r="D2647">
        <v>750</v>
      </c>
      <c r="E2647">
        <v>50</v>
      </c>
      <c r="F2647" s="73">
        <v>44932</v>
      </c>
    </row>
    <row r="2648" spans="1:6">
      <c r="A2648">
        <v>2647</v>
      </c>
      <c r="B2648" t="s">
        <v>8881</v>
      </c>
      <c r="C2648">
        <v>250</v>
      </c>
      <c r="D2648">
        <v>750</v>
      </c>
      <c r="E2648">
        <v>50</v>
      </c>
      <c r="F2648" s="61">
        <v>44925</v>
      </c>
    </row>
    <row r="2649" spans="1:6">
      <c r="A2649">
        <v>2648</v>
      </c>
      <c r="B2649" t="s">
        <v>8884</v>
      </c>
      <c r="C2649">
        <v>250</v>
      </c>
      <c r="D2649">
        <v>750</v>
      </c>
      <c r="E2649">
        <v>50</v>
      </c>
      <c r="F2649" s="60">
        <v>44901</v>
      </c>
    </row>
    <row r="2650" spans="1:6">
      <c r="A2650">
        <v>2649</v>
      </c>
      <c r="B2650" t="s">
        <v>8887</v>
      </c>
      <c r="C2650">
        <v>1000</v>
      </c>
      <c r="D2650">
        <v>0</v>
      </c>
      <c r="E2650">
        <v>50</v>
      </c>
      <c r="F2650" s="61">
        <v>44868</v>
      </c>
    </row>
    <row r="2651" spans="1:6">
      <c r="A2651">
        <v>2650</v>
      </c>
      <c r="B2651" t="s">
        <v>8890</v>
      </c>
      <c r="C2651">
        <v>1250</v>
      </c>
      <c r="D2651">
        <v>3750</v>
      </c>
      <c r="E2651">
        <v>250</v>
      </c>
      <c r="F2651" s="67">
        <v>45020</v>
      </c>
    </row>
    <row r="2652" spans="1:6">
      <c r="A2652">
        <v>2651</v>
      </c>
      <c r="B2652" t="s">
        <v>8893</v>
      </c>
      <c r="C2652">
        <v>250</v>
      </c>
      <c r="D2652">
        <v>750</v>
      </c>
      <c r="E2652">
        <v>50</v>
      </c>
      <c r="F2652" s="61">
        <v>44879</v>
      </c>
    </row>
    <row r="2653" spans="1:6">
      <c r="A2653">
        <v>2652</v>
      </c>
      <c r="B2653" t="s">
        <v>8897</v>
      </c>
      <c r="C2653">
        <v>250</v>
      </c>
      <c r="D2653">
        <v>750</v>
      </c>
      <c r="E2653">
        <v>50</v>
      </c>
      <c r="F2653" s="61">
        <v>44925</v>
      </c>
    </row>
    <row r="2654" spans="1:6">
      <c r="A2654">
        <v>2653</v>
      </c>
      <c r="B2654" t="s">
        <v>8900</v>
      </c>
      <c r="C2654">
        <v>750</v>
      </c>
      <c r="D2654">
        <v>2250</v>
      </c>
      <c r="E2654">
        <v>150</v>
      </c>
      <c r="F2654" s="77">
        <v>44830</v>
      </c>
    </row>
    <row r="2655" spans="1:6">
      <c r="A2655">
        <v>2654</v>
      </c>
      <c r="B2655" t="s">
        <v>8903</v>
      </c>
      <c r="C2655">
        <v>250</v>
      </c>
      <c r="D2655">
        <v>750</v>
      </c>
      <c r="E2655">
        <v>50</v>
      </c>
      <c r="F2655" s="61">
        <v>44851</v>
      </c>
    </row>
    <row r="2656" spans="1:6">
      <c r="A2656">
        <v>2655</v>
      </c>
      <c r="B2656" t="s">
        <v>8906</v>
      </c>
      <c r="C2656">
        <v>250</v>
      </c>
      <c r="D2656">
        <v>750</v>
      </c>
      <c r="E2656">
        <v>50</v>
      </c>
      <c r="F2656" s="69">
        <v>44876</v>
      </c>
    </row>
    <row r="2657" spans="1:6">
      <c r="A2657">
        <v>2656</v>
      </c>
      <c r="B2657" t="s">
        <v>8909</v>
      </c>
      <c r="C2657">
        <v>250</v>
      </c>
      <c r="D2657">
        <v>750</v>
      </c>
      <c r="E2657">
        <v>50</v>
      </c>
      <c r="F2657" s="65">
        <v>44510</v>
      </c>
    </row>
    <row r="2658" spans="1:6">
      <c r="A2658">
        <v>2657</v>
      </c>
      <c r="B2658" t="s">
        <v>8913</v>
      </c>
      <c r="C2658">
        <v>250</v>
      </c>
      <c r="D2658">
        <v>750</v>
      </c>
      <c r="E2658">
        <v>50</v>
      </c>
      <c r="F2658" s="60">
        <v>45067</v>
      </c>
    </row>
    <row r="2659" spans="1:6">
      <c r="A2659">
        <v>2658</v>
      </c>
      <c r="B2659" t="s">
        <v>8916</v>
      </c>
      <c r="C2659">
        <v>250</v>
      </c>
      <c r="D2659">
        <v>750</v>
      </c>
      <c r="E2659">
        <v>50</v>
      </c>
      <c r="F2659" s="61">
        <v>44825</v>
      </c>
    </row>
    <row r="2660" spans="1:6">
      <c r="A2660">
        <v>2659</v>
      </c>
      <c r="B2660" t="s">
        <v>8919</v>
      </c>
      <c r="C2660">
        <v>250</v>
      </c>
      <c r="D2660">
        <v>750</v>
      </c>
      <c r="E2660">
        <v>50</v>
      </c>
      <c r="F2660" s="61">
        <v>44896</v>
      </c>
    </row>
    <row r="2661" spans="1:6">
      <c r="A2661">
        <v>2660</v>
      </c>
      <c r="B2661" t="s">
        <v>8922</v>
      </c>
      <c r="C2661">
        <v>150000</v>
      </c>
      <c r="D2661">
        <v>0</v>
      </c>
      <c r="E2661">
        <v>7500</v>
      </c>
      <c r="F2661" s="65">
        <v>44538</v>
      </c>
    </row>
    <row r="2662" spans="1:6">
      <c r="A2662">
        <v>2661</v>
      </c>
      <c r="B2662" t="s">
        <v>8926</v>
      </c>
      <c r="C2662">
        <v>250</v>
      </c>
      <c r="D2662">
        <v>750</v>
      </c>
      <c r="E2662">
        <v>50</v>
      </c>
      <c r="F2662" s="73">
        <v>44928</v>
      </c>
    </row>
    <row r="2663" ht="15" spans="1:6">
      <c r="A2663">
        <v>2662</v>
      </c>
      <c r="B2663" t="s">
        <v>8929</v>
      </c>
      <c r="C2663">
        <v>1000000</v>
      </c>
      <c r="D2663">
        <v>500000</v>
      </c>
      <c r="E2663" t="s">
        <v>16642</v>
      </c>
      <c r="F2663" s="88">
        <f>IFERROR(__xludf.DUMMYFUNCTION("""COMPUTED_VALUE"""),45084)</f>
        <v>45084</v>
      </c>
    </row>
    <row r="2664" spans="1:6">
      <c r="A2664">
        <v>2663</v>
      </c>
      <c r="B2664" t="s">
        <v>8930</v>
      </c>
      <c r="C2664">
        <v>250</v>
      </c>
      <c r="D2664">
        <v>750</v>
      </c>
      <c r="E2664">
        <v>50</v>
      </c>
      <c r="F2664" s="60">
        <v>44914</v>
      </c>
    </row>
    <row r="2665" spans="1:6">
      <c r="A2665">
        <v>2664</v>
      </c>
      <c r="B2665" t="s">
        <v>8933</v>
      </c>
      <c r="C2665">
        <v>1000</v>
      </c>
      <c r="D2665">
        <v>0</v>
      </c>
      <c r="E2665">
        <v>50</v>
      </c>
      <c r="F2665" s="65">
        <v>44730</v>
      </c>
    </row>
    <row r="2666" spans="1:6">
      <c r="A2666">
        <v>2665</v>
      </c>
      <c r="B2666" t="s">
        <v>8937</v>
      </c>
      <c r="C2666">
        <v>250</v>
      </c>
      <c r="D2666">
        <v>750</v>
      </c>
      <c r="E2666">
        <v>50</v>
      </c>
      <c r="F2666" s="61">
        <v>44875</v>
      </c>
    </row>
    <row r="2667" spans="1:6">
      <c r="A2667">
        <v>2666</v>
      </c>
      <c r="B2667" t="s">
        <v>8940</v>
      </c>
      <c r="C2667">
        <v>250</v>
      </c>
      <c r="D2667">
        <v>750</v>
      </c>
      <c r="E2667">
        <v>50</v>
      </c>
      <c r="F2667" s="61">
        <v>44871</v>
      </c>
    </row>
    <row r="2668" spans="1:6">
      <c r="A2668">
        <v>2667</v>
      </c>
      <c r="B2668" t="s">
        <v>8944</v>
      </c>
      <c r="C2668">
        <v>250</v>
      </c>
      <c r="D2668">
        <v>750</v>
      </c>
      <c r="E2668">
        <v>50</v>
      </c>
      <c r="F2668" s="73">
        <v>44930</v>
      </c>
    </row>
    <row r="2669" spans="1:6">
      <c r="A2669">
        <v>2668</v>
      </c>
      <c r="B2669" t="s">
        <v>8947</v>
      </c>
      <c r="C2669">
        <v>200000</v>
      </c>
      <c r="D2669">
        <v>0</v>
      </c>
      <c r="E2669" t="s">
        <v>16642</v>
      </c>
      <c r="F2669" s="76">
        <v>44979</v>
      </c>
    </row>
    <row r="2670" spans="1:6">
      <c r="A2670">
        <v>2669</v>
      </c>
      <c r="B2670" t="s">
        <v>8952</v>
      </c>
      <c r="C2670">
        <v>1000</v>
      </c>
      <c r="D2670">
        <v>1000</v>
      </c>
      <c r="E2670">
        <v>100</v>
      </c>
      <c r="F2670" s="64" t="s">
        <v>16770</v>
      </c>
    </row>
    <row r="2671" spans="1:6">
      <c r="A2671">
        <v>2670</v>
      </c>
      <c r="B2671" t="s">
        <v>8955</v>
      </c>
      <c r="C2671">
        <v>200000</v>
      </c>
      <c r="D2671">
        <v>0</v>
      </c>
      <c r="E2671" t="s">
        <v>16642</v>
      </c>
      <c r="F2671" s="66"/>
    </row>
    <row r="2672" spans="1:6">
      <c r="A2672">
        <v>2671</v>
      </c>
      <c r="B2672" t="s">
        <v>8958</v>
      </c>
      <c r="C2672">
        <v>250</v>
      </c>
      <c r="D2672">
        <v>750</v>
      </c>
      <c r="E2672">
        <v>50</v>
      </c>
      <c r="F2672" s="60">
        <v>44867</v>
      </c>
    </row>
    <row r="2673" spans="1:6">
      <c r="A2673">
        <v>2672</v>
      </c>
      <c r="B2673" t="s">
        <v>8961</v>
      </c>
      <c r="C2673">
        <v>250</v>
      </c>
      <c r="D2673">
        <v>750</v>
      </c>
      <c r="E2673">
        <v>50</v>
      </c>
      <c r="F2673" s="87" t="s">
        <v>16790</v>
      </c>
    </row>
    <row r="2674" ht="31.5" spans="1:6">
      <c r="A2674">
        <v>2673</v>
      </c>
      <c r="B2674" t="s">
        <v>8964</v>
      </c>
      <c r="C2674">
        <v>500</v>
      </c>
      <c r="D2674">
        <v>1500</v>
      </c>
      <c r="E2674">
        <v>100</v>
      </c>
      <c r="F2674" s="77" t="s">
        <v>16791</v>
      </c>
    </row>
    <row r="2675" spans="1:6">
      <c r="A2675">
        <v>2674</v>
      </c>
      <c r="B2675" t="s">
        <v>8967</v>
      </c>
      <c r="C2675">
        <v>500</v>
      </c>
      <c r="D2675">
        <v>500</v>
      </c>
      <c r="E2675">
        <v>50</v>
      </c>
      <c r="F2675" s="60">
        <v>44818</v>
      </c>
    </row>
    <row r="2676" spans="1:6">
      <c r="A2676">
        <v>2675</v>
      </c>
      <c r="B2676" t="s">
        <v>8971</v>
      </c>
      <c r="C2676">
        <v>1000000</v>
      </c>
      <c r="D2676">
        <v>500000</v>
      </c>
      <c r="E2676" t="s">
        <v>16642</v>
      </c>
      <c r="F2676" s="80">
        <f>IFERROR(__xludf.DUMMYFUNCTION("""COMPUTED_VALUE"""),45080)</f>
        <v>45080</v>
      </c>
    </row>
    <row r="2677" spans="1:6">
      <c r="A2677">
        <v>2676</v>
      </c>
      <c r="B2677" t="s">
        <v>8972</v>
      </c>
      <c r="C2677">
        <v>1000</v>
      </c>
      <c r="D2677">
        <v>0</v>
      </c>
      <c r="E2677">
        <v>50</v>
      </c>
      <c r="F2677" s="61">
        <v>44874</v>
      </c>
    </row>
    <row r="2678" spans="1:6">
      <c r="A2678">
        <v>2677</v>
      </c>
      <c r="B2678" t="s">
        <v>8975</v>
      </c>
      <c r="C2678">
        <v>250</v>
      </c>
      <c r="D2678">
        <v>750</v>
      </c>
      <c r="E2678">
        <v>50</v>
      </c>
      <c r="F2678" s="61">
        <v>44930</v>
      </c>
    </row>
    <row r="2679" spans="1:6">
      <c r="A2679">
        <v>2678</v>
      </c>
      <c r="B2679" t="s">
        <v>8979</v>
      </c>
      <c r="C2679">
        <v>20000</v>
      </c>
      <c r="D2679">
        <v>60000</v>
      </c>
      <c r="E2679">
        <v>4000</v>
      </c>
      <c r="F2679" s="77">
        <v>44853</v>
      </c>
    </row>
    <row r="2680" spans="1:6">
      <c r="A2680">
        <v>2679</v>
      </c>
      <c r="B2680" t="s">
        <v>8982</v>
      </c>
      <c r="C2680">
        <v>250</v>
      </c>
      <c r="D2680">
        <v>750</v>
      </c>
      <c r="E2680">
        <v>50</v>
      </c>
      <c r="F2680" s="71">
        <v>44893</v>
      </c>
    </row>
    <row r="2681" spans="1:6">
      <c r="A2681">
        <v>2680</v>
      </c>
      <c r="B2681" t="s">
        <v>8985</v>
      </c>
      <c r="C2681">
        <v>1000</v>
      </c>
      <c r="D2681">
        <v>0</v>
      </c>
      <c r="E2681">
        <v>50</v>
      </c>
      <c r="F2681" s="69">
        <v>45062</v>
      </c>
    </row>
    <row r="2682" spans="1:6">
      <c r="A2682">
        <v>2681</v>
      </c>
      <c r="B2682" t="s">
        <v>8988</v>
      </c>
      <c r="C2682">
        <v>250</v>
      </c>
      <c r="D2682">
        <v>750</v>
      </c>
      <c r="E2682">
        <v>50</v>
      </c>
      <c r="F2682" s="73">
        <v>44896</v>
      </c>
    </row>
    <row r="2683" spans="1:6">
      <c r="A2683">
        <v>2682</v>
      </c>
      <c r="B2683" t="s">
        <v>8991</v>
      </c>
      <c r="C2683">
        <v>250</v>
      </c>
      <c r="D2683">
        <v>750</v>
      </c>
      <c r="E2683">
        <v>50</v>
      </c>
      <c r="F2683" s="61">
        <v>44912</v>
      </c>
    </row>
    <row r="2684" spans="1:6">
      <c r="A2684">
        <v>2683</v>
      </c>
      <c r="B2684" t="s">
        <v>8994</v>
      </c>
      <c r="C2684">
        <v>100000</v>
      </c>
      <c r="D2684">
        <v>0</v>
      </c>
      <c r="E2684">
        <v>5000</v>
      </c>
      <c r="F2684" s="77">
        <v>44921</v>
      </c>
    </row>
    <row r="2685" ht="15" spans="1:6">
      <c r="A2685">
        <v>2684</v>
      </c>
      <c r="B2685" t="s">
        <v>8997</v>
      </c>
      <c r="C2685">
        <v>1000000</v>
      </c>
      <c r="D2685">
        <v>500000</v>
      </c>
      <c r="E2685" t="s">
        <v>16642</v>
      </c>
      <c r="F2685" s="81">
        <f>IFERROR(__xludf.DUMMYFUNCTION("""COMPUTED_VALUE"""),45082)</f>
        <v>45082</v>
      </c>
    </row>
    <row r="2686" spans="1:6">
      <c r="A2686">
        <v>2685</v>
      </c>
      <c r="B2686" t="s">
        <v>8998</v>
      </c>
      <c r="C2686">
        <v>100000</v>
      </c>
      <c r="D2686">
        <v>0</v>
      </c>
      <c r="E2686" t="s">
        <v>16642</v>
      </c>
      <c r="F2686" s="107">
        <v>44810</v>
      </c>
    </row>
    <row r="2687" spans="1:6">
      <c r="A2687">
        <v>2686</v>
      </c>
      <c r="B2687" t="s">
        <v>8998</v>
      </c>
      <c r="C2687">
        <v>100000</v>
      </c>
      <c r="D2687">
        <v>0</v>
      </c>
      <c r="E2687" t="s">
        <v>16642</v>
      </c>
      <c r="F2687" s="85"/>
    </row>
    <row r="2688" spans="1:6">
      <c r="A2688">
        <v>2687</v>
      </c>
      <c r="B2688" t="s">
        <v>9002</v>
      </c>
      <c r="C2688">
        <v>100000</v>
      </c>
      <c r="D2688">
        <v>0</v>
      </c>
      <c r="E2688" t="s">
        <v>16642</v>
      </c>
      <c r="F2688" s="66"/>
    </row>
    <row r="2689" spans="1:6">
      <c r="A2689">
        <v>2688</v>
      </c>
      <c r="B2689" t="s">
        <v>9007</v>
      </c>
      <c r="C2689">
        <v>250</v>
      </c>
      <c r="D2689">
        <v>750</v>
      </c>
      <c r="E2689">
        <v>50</v>
      </c>
      <c r="F2689" s="61">
        <v>44930</v>
      </c>
    </row>
    <row r="2690" spans="1:6">
      <c r="A2690">
        <v>2689</v>
      </c>
      <c r="B2690" t="s">
        <v>9010</v>
      </c>
      <c r="C2690">
        <v>250</v>
      </c>
      <c r="D2690">
        <v>750</v>
      </c>
      <c r="E2690">
        <v>50</v>
      </c>
      <c r="F2690" s="61">
        <v>44981</v>
      </c>
    </row>
    <row r="2691" spans="1:6">
      <c r="A2691">
        <v>2690</v>
      </c>
      <c r="B2691" t="s">
        <v>9013</v>
      </c>
      <c r="C2691">
        <v>250</v>
      </c>
      <c r="D2691">
        <v>750</v>
      </c>
      <c r="E2691">
        <v>50</v>
      </c>
      <c r="F2691" s="69">
        <v>44929</v>
      </c>
    </row>
    <row r="2692" spans="1:6">
      <c r="A2692">
        <v>2691</v>
      </c>
      <c r="B2692" t="s">
        <v>9016</v>
      </c>
      <c r="C2692">
        <v>2500</v>
      </c>
      <c r="D2692">
        <v>7500</v>
      </c>
      <c r="E2692">
        <v>500</v>
      </c>
      <c r="F2692" s="65">
        <v>44553</v>
      </c>
    </row>
    <row r="2693" spans="1:6">
      <c r="A2693">
        <v>2692</v>
      </c>
      <c r="B2693" t="s">
        <v>9020</v>
      </c>
      <c r="C2693">
        <v>100000</v>
      </c>
      <c r="D2693">
        <v>0</v>
      </c>
      <c r="E2693" t="s">
        <v>16642</v>
      </c>
      <c r="F2693" s="100"/>
    </row>
    <row r="2694" ht="15" spans="1:6">
      <c r="A2694">
        <v>2693</v>
      </c>
      <c r="B2694" t="s">
        <v>9025</v>
      </c>
      <c r="C2694">
        <v>1000000</v>
      </c>
      <c r="D2694">
        <v>500000</v>
      </c>
      <c r="E2694" t="s">
        <v>16642</v>
      </c>
      <c r="F2694" s="98">
        <f>IFERROR(__xludf.DUMMYFUNCTION("""COMPUTED_VALUE"""),45084)</f>
        <v>45084</v>
      </c>
    </row>
    <row r="2695" spans="1:6">
      <c r="A2695">
        <v>2694</v>
      </c>
      <c r="B2695" t="s">
        <v>9025</v>
      </c>
      <c r="C2695">
        <v>100000</v>
      </c>
      <c r="D2695">
        <v>0</v>
      </c>
      <c r="E2695" t="s">
        <v>16642</v>
      </c>
      <c r="F2695" s="96">
        <v>44921</v>
      </c>
    </row>
    <row r="2696" spans="1:6">
      <c r="A2696">
        <v>2695</v>
      </c>
      <c r="B2696" t="s">
        <v>9025</v>
      </c>
      <c r="C2696">
        <v>100000</v>
      </c>
      <c r="D2696">
        <v>0</v>
      </c>
      <c r="E2696" t="s">
        <v>16642</v>
      </c>
      <c r="F2696" s="85"/>
    </row>
    <row r="2697" spans="1:6">
      <c r="A2697">
        <v>2696</v>
      </c>
      <c r="B2697" t="s">
        <v>9026</v>
      </c>
      <c r="C2697">
        <v>250</v>
      </c>
      <c r="D2697">
        <v>750</v>
      </c>
      <c r="E2697">
        <v>50</v>
      </c>
      <c r="F2697" s="75">
        <v>44916</v>
      </c>
    </row>
    <row r="2698" spans="1:6">
      <c r="A2698">
        <v>2697</v>
      </c>
      <c r="B2698" t="s">
        <v>9029</v>
      </c>
      <c r="C2698">
        <v>1000</v>
      </c>
      <c r="D2698">
        <v>0</v>
      </c>
      <c r="E2698">
        <v>50</v>
      </c>
      <c r="F2698" s="67">
        <v>44910</v>
      </c>
    </row>
    <row r="2699" spans="1:6">
      <c r="A2699">
        <v>2698</v>
      </c>
      <c r="B2699" t="s">
        <v>9032</v>
      </c>
      <c r="C2699">
        <v>250</v>
      </c>
      <c r="D2699">
        <v>750</v>
      </c>
      <c r="E2699">
        <v>50</v>
      </c>
      <c r="F2699" s="61">
        <v>44846</v>
      </c>
    </row>
    <row r="2700" spans="1:6">
      <c r="A2700">
        <v>2699</v>
      </c>
      <c r="B2700" t="s">
        <v>9035</v>
      </c>
      <c r="C2700">
        <v>250</v>
      </c>
      <c r="D2700">
        <v>750</v>
      </c>
      <c r="E2700">
        <v>50</v>
      </c>
      <c r="F2700" s="60">
        <v>44866</v>
      </c>
    </row>
    <row r="2701" spans="1:6">
      <c r="A2701">
        <v>2700</v>
      </c>
      <c r="B2701" t="s">
        <v>9039</v>
      </c>
      <c r="C2701">
        <v>250</v>
      </c>
      <c r="D2701">
        <v>750</v>
      </c>
      <c r="E2701">
        <v>50</v>
      </c>
      <c r="F2701" s="69">
        <v>45008</v>
      </c>
    </row>
    <row r="2702" spans="1:6">
      <c r="A2702">
        <v>2701</v>
      </c>
      <c r="B2702" t="s">
        <v>9042</v>
      </c>
      <c r="C2702">
        <v>40000</v>
      </c>
      <c r="D2702">
        <v>0</v>
      </c>
      <c r="E2702">
        <v>2000</v>
      </c>
      <c r="F2702" s="77">
        <v>44764</v>
      </c>
    </row>
    <row r="2703" spans="1:6">
      <c r="A2703">
        <v>2702</v>
      </c>
      <c r="B2703" t="s">
        <v>9045</v>
      </c>
      <c r="C2703">
        <v>100000</v>
      </c>
      <c r="D2703">
        <v>0</v>
      </c>
      <c r="E2703" t="s">
        <v>16642</v>
      </c>
      <c r="F2703" s="76">
        <v>44942</v>
      </c>
    </row>
    <row r="2704" spans="1:6">
      <c r="A2704">
        <v>2703</v>
      </c>
      <c r="B2704" t="s">
        <v>9049</v>
      </c>
      <c r="C2704">
        <v>250</v>
      </c>
      <c r="D2704">
        <v>750</v>
      </c>
      <c r="E2704">
        <v>50</v>
      </c>
      <c r="F2704" s="60">
        <v>44827</v>
      </c>
    </row>
    <row r="2705" spans="1:6">
      <c r="A2705">
        <v>2704</v>
      </c>
      <c r="B2705" t="s">
        <v>9052</v>
      </c>
      <c r="C2705">
        <v>10000</v>
      </c>
      <c r="D2705">
        <v>0</v>
      </c>
      <c r="E2705">
        <v>500</v>
      </c>
      <c r="F2705" s="77" t="s">
        <v>16792</v>
      </c>
    </row>
    <row r="2706" spans="1:6">
      <c r="A2706">
        <v>2705</v>
      </c>
      <c r="B2706" t="s">
        <v>9055</v>
      </c>
      <c r="C2706">
        <v>25000</v>
      </c>
      <c r="D2706">
        <v>0</v>
      </c>
      <c r="E2706">
        <v>1250</v>
      </c>
      <c r="F2706" s="65">
        <v>44749</v>
      </c>
    </row>
    <row r="2707" ht="15" spans="1:6">
      <c r="A2707">
        <v>2706</v>
      </c>
      <c r="B2707" t="s">
        <v>9059</v>
      </c>
      <c r="C2707">
        <v>1000000</v>
      </c>
      <c r="D2707">
        <v>500000</v>
      </c>
      <c r="E2707" t="s">
        <v>16642</v>
      </c>
      <c r="F2707" s="81">
        <f>IFERROR(__xludf.DUMMYFUNCTION("""COMPUTED_VALUE"""),45079)</f>
        <v>45079</v>
      </c>
    </row>
    <row r="2708" spans="1:6">
      <c r="A2708">
        <v>2707</v>
      </c>
      <c r="B2708" t="s">
        <v>9060</v>
      </c>
      <c r="C2708">
        <v>10000</v>
      </c>
      <c r="D2708">
        <v>0</v>
      </c>
      <c r="E2708">
        <v>500</v>
      </c>
      <c r="F2708" s="65">
        <v>44756</v>
      </c>
    </row>
    <row r="2709" spans="1:6">
      <c r="A2709">
        <v>2708</v>
      </c>
      <c r="B2709" t="s">
        <v>9064</v>
      </c>
      <c r="C2709">
        <v>2500</v>
      </c>
      <c r="D2709">
        <v>2500</v>
      </c>
      <c r="E2709">
        <v>250</v>
      </c>
      <c r="F2709" s="61">
        <v>44921</v>
      </c>
    </row>
    <row r="2710" spans="1:6">
      <c r="A2710">
        <v>2709</v>
      </c>
      <c r="B2710" t="s">
        <v>9068</v>
      </c>
      <c r="C2710">
        <v>20000</v>
      </c>
      <c r="D2710">
        <v>0</v>
      </c>
      <c r="E2710">
        <v>1000</v>
      </c>
      <c r="F2710" s="77">
        <v>44771</v>
      </c>
    </row>
    <row r="2711" spans="1:6">
      <c r="A2711">
        <v>2710</v>
      </c>
      <c r="B2711" t="s">
        <v>9071</v>
      </c>
      <c r="C2711">
        <v>25000</v>
      </c>
      <c r="D2711">
        <v>75000</v>
      </c>
      <c r="E2711">
        <v>5000</v>
      </c>
      <c r="F2711" s="65">
        <v>44516</v>
      </c>
    </row>
    <row r="2712" spans="1:6">
      <c r="A2712">
        <v>2711</v>
      </c>
      <c r="B2712" t="s">
        <v>9075</v>
      </c>
      <c r="C2712">
        <v>200000</v>
      </c>
      <c r="D2712">
        <v>0</v>
      </c>
      <c r="E2712" t="s">
        <v>16642</v>
      </c>
      <c r="F2712" s="104"/>
    </row>
    <row r="2713" spans="1:6">
      <c r="A2713">
        <v>2712</v>
      </c>
      <c r="B2713" t="s">
        <v>9080</v>
      </c>
      <c r="C2713">
        <v>200000</v>
      </c>
      <c r="D2713">
        <v>0</v>
      </c>
      <c r="E2713" t="s">
        <v>16642</v>
      </c>
      <c r="F2713" s="76">
        <v>44574</v>
      </c>
    </row>
    <row r="2714" spans="1:6">
      <c r="A2714">
        <v>2713</v>
      </c>
      <c r="B2714" t="s">
        <v>9084</v>
      </c>
      <c r="C2714">
        <v>50000</v>
      </c>
      <c r="D2714">
        <v>0</v>
      </c>
      <c r="E2714">
        <v>2500</v>
      </c>
      <c r="F2714" s="65">
        <v>44551</v>
      </c>
    </row>
    <row r="2715" spans="1:6">
      <c r="A2715">
        <v>2714</v>
      </c>
      <c r="B2715" t="s">
        <v>9088</v>
      </c>
      <c r="C2715">
        <v>250000</v>
      </c>
      <c r="D2715">
        <v>750000</v>
      </c>
      <c r="E2715">
        <v>50000</v>
      </c>
      <c r="F2715" s="67">
        <v>45159</v>
      </c>
    </row>
    <row r="2716" spans="1:6">
      <c r="A2716">
        <v>2715</v>
      </c>
      <c r="B2716" t="s">
        <v>9091</v>
      </c>
      <c r="C2716">
        <v>1000</v>
      </c>
      <c r="D2716">
        <v>0</v>
      </c>
      <c r="E2716">
        <v>50</v>
      </c>
      <c r="F2716" s="64" t="s">
        <v>16793</v>
      </c>
    </row>
    <row r="2717" spans="1:6">
      <c r="A2717">
        <v>2716</v>
      </c>
      <c r="B2717" t="s">
        <v>9095</v>
      </c>
      <c r="C2717">
        <v>250</v>
      </c>
      <c r="D2717">
        <v>750</v>
      </c>
      <c r="E2717">
        <v>50</v>
      </c>
      <c r="F2717" s="60">
        <v>44935</v>
      </c>
    </row>
    <row r="2718" spans="1:6">
      <c r="A2718">
        <v>2717</v>
      </c>
      <c r="B2718" t="s">
        <v>9099</v>
      </c>
      <c r="C2718">
        <v>2000</v>
      </c>
      <c r="D2718">
        <v>0</v>
      </c>
      <c r="E2718">
        <v>100</v>
      </c>
      <c r="F2718" s="65">
        <v>44539</v>
      </c>
    </row>
    <row r="2719" spans="1:6">
      <c r="A2719">
        <v>2718</v>
      </c>
      <c r="B2719" t="s">
        <v>9103</v>
      </c>
      <c r="C2719">
        <v>25000</v>
      </c>
      <c r="D2719">
        <v>75000</v>
      </c>
      <c r="E2719">
        <v>5000</v>
      </c>
      <c r="F2719" s="65">
        <v>44441</v>
      </c>
    </row>
    <row r="2720" spans="1:6">
      <c r="A2720">
        <v>2719</v>
      </c>
      <c r="B2720" t="s">
        <v>9108</v>
      </c>
      <c r="C2720">
        <v>250</v>
      </c>
      <c r="D2720">
        <v>750</v>
      </c>
      <c r="E2720">
        <v>50</v>
      </c>
      <c r="F2720" s="61">
        <v>44904</v>
      </c>
    </row>
    <row r="2721" spans="1:6">
      <c r="A2721">
        <v>2720</v>
      </c>
      <c r="B2721" t="s">
        <v>9111</v>
      </c>
      <c r="C2721">
        <v>250</v>
      </c>
      <c r="D2721">
        <v>750</v>
      </c>
      <c r="E2721">
        <v>50</v>
      </c>
      <c r="F2721" s="61">
        <v>44882</v>
      </c>
    </row>
    <row r="2722" spans="1:6">
      <c r="A2722">
        <v>2721</v>
      </c>
      <c r="B2722" t="s">
        <v>9115</v>
      </c>
      <c r="C2722">
        <v>250</v>
      </c>
      <c r="D2722">
        <v>750</v>
      </c>
      <c r="E2722">
        <v>50</v>
      </c>
      <c r="F2722" s="60">
        <v>44861</v>
      </c>
    </row>
    <row r="2723" spans="1:6">
      <c r="A2723">
        <v>2722</v>
      </c>
      <c r="B2723" t="s">
        <v>9118</v>
      </c>
      <c r="C2723">
        <v>250</v>
      </c>
      <c r="D2723">
        <v>750</v>
      </c>
      <c r="E2723">
        <v>50</v>
      </c>
      <c r="F2723" s="65">
        <v>44510</v>
      </c>
    </row>
    <row r="2724" spans="1:6">
      <c r="A2724">
        <v>2723</v>
      </c>
      <c r="B2724" t="s">
        <v>9122</v>
      </c>
      <c r="C2724">
        <v>100000</v>
      </c>
      <c r="D2724">
        <v>0</v>
      </c>
      <c r="E2724" t="s">
        <v>16642</v>
      </c>
      <c r="F2724" s="66"/>
    </row>
    <row r="2725" spans="1:6">
      <c r="A2725">
        <v>2724</v>
      </c>
      <c r="B2725" t="s">
        <v>9126</v>
      </c>
      <c r="C2725">
        <v>1000</v>
      </c>
      <c r="D2725">
        <v>0</v>
      </c>
      <c r="E2725">
        <v>50</v>
      </c>
      <c r="F2725" s="72">
        <v>44861</v>
      </c>
    </row>
    <row r="2726" spans="1:6">
      <c r="A2726">
        <v>2725</v>
      </c>
      <c r="B2726" t="s">
        <v>9130</v>
      </c>
      <c r="C2726">
        <v>250</v>
      </c>
      <c r="D2726">
        <v>750</v>
      </c>
      <c r="E2726">
        <v>50</v>
      </c>
      <c r="F2726" s="61">
        <v>44868</v>
      </c>
    </row>
    <row r="2727" spans="1:6">
      <c r="A2727">
        <v>2726</v>
      </c>
      <c r="B2727" t="s">
        <v>9133</v>
      </c>
      <c r="C2727">
        <v>1000000</v>
      </c>
      <c r="D2727">
        <v>500000</v>
      </c>
      <c r="E2727" t="s">
        <v>16642</v>
      </c>
      <c r="F2727" s="80">
        <f>IFERROR(__xludf.DUMMYFUNCTION("""COMPUTED_VALUE"""),45080)</f>
        <v>45080</v>
      </c>
    </row>
    <row r="2728" spans="1:6">
      <c r="A2728">
        <v>2727</v>
      </c>
      <c r="B2728" t="s">
        <v>9134</v>
      </c>
      <c r="C2728">
        <v>1250</v>
      </c>
      <c r="D2728">
        <v>3750</v>
      </c>
      <c r="E2728">
        <v>250</v>
      </c>
      <c r="F2728" s="64" t="s">
        <v>16705</v>
      </c>
    </row>
    <row r="2729" spans="1:6">
      <c r="A2729">
        <v>2728</v>
      </c>
      <c r="B2729" t="s">
        <v>9138</v>
      </c>
      <c r="C2729">
        <v>12500</v>
      </c>
      <c r="D2729">
        <v>37500</v>
      </c>
      <c r="E2729">
        <v>2500</v>
      </c>
      <c r="F2729" s="64" t="s">
        <v>16749</v>
      </c>
    </row>
    <row r="2730" spans="1:6">
      <c r="A2730">
        <v>2729</v>
      </c>
      <c r="B2730" t="s">
        <v>9142</v>
      </c>
      <c r="C2730">
        <v>750</v>
      </c>
      <c r="D2730">
        <v>2250</v>
      </c>
      <c r="E2730">
        <v>150</v>
      </c>
      <c r="F2730" s="60">
        <v>44812</v>
      </c>
    </row>
    <row r="2731" spans="1:6">
      <c r="A2731">
        <v>2730</v>
      </c>
      <c r="B2731" t="s">
        <v>9145</v>
      </c>
      <c r="C2731">
        <v>530000</v>
      </c>
      <c r="D2731">
        <v>0</v>
      </c>
      <c r="F2731" s="83"/>
    </row>
    <row r="2732" ht="15" spans="1:6">
      <c r="A2732">
        <v>2731</v>
      </c>
      <c r="B2732" t="s">
        <v>9145</v>
      </c>
      <c r="C2732">
        <v>1000000</v>
      </c>
      <c r="D2732">
        <v>500000</v>
      </c>
      <c r="E2732" t="s">
        <v>16642</v>
      </c>
      <c r="F2732" s="98">
        <f>IFERROR(__xludf.DUMMYFUNCTION("""COMPUTED_VALUE"""),45083)</f>
        <v>45083</v>
      </c>
    </row>
    <row r="2733" ht="15" spans="1:6">
      <c r="A2733">
        <v>2732</v>
      </c>
      <c r="B2733" t="s">
        <v>9145</v>
      </c>
      <c r="C2733">
        <v>3000000</v>
      </c>
      <c r="D2733">
        <v>500000</v>
      </c>
      <c r="E2733" t="s">
        <v>16642</v>
      </c>
      <c r="F2733" s="97">
        <v>45128</v>
      </c>
    </row>
    <row r="2734" spans="1:6">
      <c r="A2734">
        <v>2733</v>
      </c>
      <c r="B2734" t="s">
        <v>9149</v>
      </c>
      <c r="C2734">
        <v>250</v>
      </c>
      <c r="D2734">
        <v>750</v>
      </c>
      <c r="E2734">
        <v>50</v>
      </c>
      <c r="F2734" s="60">
        <v>44924</v>
      </c>
    </row>
    <row r="2735" spans="1:6">
      <c r="A2735">
        <v>2734</v>
      </c>
      <c r="B2735" t="s">
        <v>9152</v>
      </c>
      <c r="C2735">
        <v>20000</v>
      </c>
      <c r="D2735">
        <v>0</v>
      </c>
      <c r="E2735">
        <v>1000</v>
      </c>
      <c r="F2735" s="67">
        <v>44979</v>
      </c>
    </row>
    <row r="2736" spans="1:6">
      <c r="A2736">
        <v>2735</v>
      </c>
      <c r="B2736" t="s">
        <v>9155</v>
      </c>
      <c r="C2736">
        <v>1000</v>
      </c>
      <c r="D2736">
        <v>0</v>
      </c>
      <c r="E2736">
        <v>50</v>
      </c>
      <c r="F2736" s="61">
        <v>44855</v>
      </c>
    </row>
    <row r="2737" spans="1:6">
      <c r="A2737">
        <v>2736</v>
      </c>
      <c r="B2737" t="s">
        <v>9159</v>
      </c>
      <c r="C2737">
        <v>250</v>
      </c>
      <c r="D2737">
        <v>750</v>
      </c>
      <c r="E2737">
        <v>50</v>
      </c>
      <c r="F2737" s="61">
        <v>44851</v>
      </c>
    </row>
    <row r="2738" spans="1:6">
      <c r="A2738">
        <v>2737</v>
      </c>
      <c r="B2738" t="s">
        <v>9162</v>
      </c>
      <c r="C2738">
        <v>12500</v>
      </c>
      <c r="D2738">
        <v>37500</v>
      </c>
      <c r="E2738">
        <v>2500</v>
      </c>
      <c r="F2738" s="64" t="s">
        <v>16794</v>
      </c>
    </row>
    <row r="2739" spans="1:6">
      <c r="A2739">
        <v>2738</v>
      </c>
      <c r="B2739" t="s">
        <v>9165</v>
      </c>
      <c r="C2739">
        <v>5000</v>
      </c>
      <c r="D2739">
        <v>5000</v>
      </c>
      <c r="E2739">
        <v>500</v>
      </c>
      <c r="F2739" s="77">
        <v>44852</v>
      </c>
    </row>
    <row r="2740" spans="1:6">
      <c r="A2740">
        <v>2739</v>
      </c>
      <c r="B2740" t="s">
        <v>9168</v>
      </c>
      <c r="C2740">
        <v>2000</v>
      </c>
      <c r="D2740">
        <v>0</v>
      </c>
      <c r="E2740">
        <v>100</v>
      </c>
      <c r="F2740" s="79">
        <v>44939</v>
      </c>
    </row>
    <row r="2741" spans="1:6">
      <c r="A2741">
        <v>2740</v>
      </c>
      <c r="B2741" t="s">
        <v>9171</v>
      </c>
      <c r="C2741">
        <v>100000</v>
      </c>
      <c r="D2741">
        <v>0</v>
      </c>
      <c r="E2741" t="s">
        <v>16642</v>
      </c>
      <c r="F2741" s="66"/>
    </row>
    <row r="2742" spans="1:6">
      <c r="A2742">
        <v>2741</v>
      </c>
      <c r="B2742" t="s">
        <v>9176</v>
      </c>
      <c r="C2742">
        <v>250</v>
      </c>
      <c r="D2742">
        <v>750</v>
      </c>
      <c r="E2742">
        <v>50</v>
      </c>
      <c r="F2742" s="60">
        <v>44925</v>
      </c>
    </row>
    <row r="2743" spans="1:6">
      <c r="A2743">
        <v>2742</v>
      </c>
      <c r="B2743" t="s">
        <v>9180</v>
      </c>
      <c r="C2743">
        <v>1000</v>
      </c>
      <c r="D2743">
        <v>0</v>
      </c>
      <c r="E2743">
        <v>50</v>
      </c>
      <c r="F2743" s="61">
        <v>44870</v>
      </c>
    </row>
    <row r="2744" spans="1:6">
      <c r="A2744">
        <v>2743</v>
      </c>
      <c r="B2744" t="s">
        <v>9184</v>
      </c>
      <c r="C2744">
        <v>250</v>
      </c>
      <c r="D2744">
        <v>750</v>
      </c>
      <c r="E2744">
        <v>50</v>
      </c>
      <c r="F2744" s="73">
        <v>44910</v>
      </c>
    </row>
    <row r="2745" spans="1:6">
      <c r="A2745">
        <v>2744</v>
      </c>
      <c r="B2745" t="s">
        <v>9187</v>
      </c>
      <c r="C2745">
        <v>250</v>
      </c>
      <c r="D2745">
        <v>750</v>
      </c>
      <c r="E2745">
        <v>50</v>
      </c>
      <c r="F2745" s="72">
        <v>44692</v>
      </c>
    </row>
    <row r="2746" spans="1:6">
      <c r="A2746">
        <v>2745</v>
      </c>
      <c r="B2746" t="s">
        <v>9190</v>
      </c>
      <c r="C2746">
        <v>250</v>
      </c>
      <c r="D2746">
        <v>750</v>
      </c>
      <c r="E2746">
        <v>50</v>
      </c>
      <c r="F2746" s="99">
        <v>44909</v>
      </c>
    </row>
    <row r="2747" spans="1:6">
      <c r="A2747">
        <v>2746</v>
      </c>
      <c r="B2747" t="s">
        <v>9193</v>
      </c>
      <c r="C2747">
        <v>250</v>
      </c>
      <c r="D2747">
        <v>750</v>
      </c>
      <c r="E2747">
        <v>50</v>
      </c>
      <c r="F2747" s="61">
        <v>44887</v>
      </c>
    </row>
    <row r="2748" spans="1:6">
      <c r="A2748">
        <v>2747</v>
      </c>
      <c r="B2748" t="s">
        <v>9196</v>
      </c>
      <c r="C2748">
        <v>250</v>
      </c>
      <c r="D2748">
        <v>750</v>
      </c>
      <c r="E2748">
        <v>50</v>
      </c>
      <c r="F2748" s="60">
        <v>44868</v>
      </c>
    </row>
    <row r="2749" spans="1:6">
      <c r="A2749">
        <v>2748</v>
      </c>
      <c r="B2749" t="s">
        <v>9199</v>
      </c>
      <c r="C2749">
        <v>250</v>
      </c>
      <c r="D2749">
        <v>750</v>
      </c>
      <c r="E2749">
        <v>50</v>
      </c>
      <c r="F2749" s="61">
        <v>44879</v>
      </c>
    </row>
    <row r="2750" spans="1:6">
      <c r="A2750">
        <v>2749</v>
      </c>
      <c r="B2750" t="s">
        <v>9203</v>
      </c>
      <c r="C2750">
        <v>250</v>
      </c>
      <c r="D2750">
        <v>750</v>
      </c>
      <c r="E2750">
        <v>50</v>
      </c>
      <c r="F2750" s="61">
        <v>44855</v>
      </c>
    </row>
    <row r="2751" spans="1:6">
      <c r="A2751">
        <v>2750</v>
      </c>
      <c r="B2751" t="s">
        <v>9206</v>
      </c>
      <c r="C2751">
        <v>250</v>
      </c>
      <c r="D2751">
        <v>750</v>
      </c>
      <c r="E2751">
        <v>50</v>
      </c>
      <c r="F2751" s="60">
        <v>44851</v>
      </c>
    </row>
    <row r="2752" spans="1:6">
      <c r="A2752">
        <v>2751</v>
      </c>
      <c r="B2752" t="s">
        <v>9209</v>
      </c>
      <c r="C2752">
        <v>250</v>
      </c>
      <c r="D2752">
        <v>750</v>
      </c>
      <c r="E2752">
        <v>50</v>
      </c>
      <c r="F2752" s="60">
        <v>44916</v>
      </c>
    </row>
    <row r="2753" spans="1:6">
      <c r="A2753">
        <v>2752</v>
      </c>
      <c r="B2753" t="s">
        <v>9213</v>
      </c>
      <c r="C2753">
        <v>250</v>
      </c>
      <c r="D2753">
        <v>750</v>
      </c>
      <c r="E2753">
        <v>50</v>
      </c>
      <c r="F2753" s="73">
        <v>44970</v>
      </c>
    </row>
    <row r="2754" spans="1:6">
      <c r="A2754">
        <v>2753</v>
      </c>
      <c r="B2754" t="s">
        <v>9216</v>
      </c>
      <c r="C2754">
        <v>250</v>
      </c>
      <c r="D2754">
        <v>750</v>
      </c>
      <c r="E2754">
        <v>50</v>
      </c>
      <c r="F2754" s="60">
        <v>44888</v>
      </c>
    </row>
    <row r="2755" spans="1:6">
      <c r="A2755">
        <v>2754</v>
      </c>
      <c r="B2755" t="s">
        <v>9220</v>
      </c>
      <c r="C2755">
        <v>250</v>
      </c>
      <c r="D2755">
        <v>750</v>
      </c>
      <c r="E2755">
        <v>50</v>
      </c>
      <c r="F2755" s="61">
        <v>44911</v>
      </c>
    </row>
    <row r="2756" spans="1:6">
      <c r="A2756">
        <v>2755</v>
      </c>
      <c r="B2756" t="s">
        <v>9223</v>
      </c>
      <c r="C2756">
        <v>250</v>
      </c>
      <c r="D2756">
        <v>750</v>
      </c>
      <c r="E2756">
        <v>50</v>
      </c>
      <c r="F2756" s="60">
        <v>44926</v>
      </c>
    </row>
    <row r="2757" spans="1:6">
      <c r="A2757">
        <v>2756</v>
      </c>
      <c r="B2757" t="s">
        <v>9227</v>
      </c>
      <c r="C2757">
        <v>250</v>
      </c>
      <c r="D2757">
        <v>750</v>
      </c>
      <c r="E2757">
        <v>50</v>
      </c>
      <c r="F2757" s="60">
        <v>44903</v>
      </c>
    </row>
    <row r="2758" spans="1:6">
      <c r="A2758">
        <v>2757</v>
      </c>
      <c r="B2758" t="s">
        <v>9230</v>
      </c>
      <c r="C2758">
        <v>250</v>
      </c>
      <c r="D2758">
        <v>750</v>
      </c>
      <c r="E2758">
        <v>50</v>
      </c>
      <c r="F2758" s="61">
        <v>44821</v>
      </c>
    </row>
    <row r="2759" spans="1:6">
      <c r="A2759">
        <v>2758</v>
      </c>
      <c r="B2759" t="s">
        <v>9234</v>
      </c>
      <c r="C2759">
        <v>250</v>
      </c>
      <c r="D2759">
        <v>750</v>
      </c>
      <c r="E2759">
        <v>50</v>
      </c>
      <c r="F2759" s="60">
        <v>44884</v>
      </c>
    </row>
    <row r="2760" ht="31.5" spans="1:6">
      <c r="A2760">
        <v>2759</v>
      </c>
      <c r="B2760" t="s">
        <v>9237</v>
      </c>
      <c r="C2760">
        <v>1000</v>
      </c>
      <c r="D2760">
        <v>0</v>
      </c>
      <c r="E2760">
        <v>50</v>
      </c>
      <c r="F2760" s="133" t="s">
        <v>16795</v>
      </c>
    </row>
    <row r="2761" spans="1:6">
      <c r="A2761">
        <v>2760</v>
      </c>
      <c r="B2761" t="s">
        <v>9240</v>
      </c>
      <c r="C2761">
        <v>250</v>
      </c>
      <c r="D2761">
        <v>750</v>
      </c>
      <c r="E2761">
        <v>50</v>
      </c>
      <c r="F2761" s="60">
        <v>44834</v>
      </c>
    </row>
    <row r="2762" spans="1:6">
      <c r="A2762">
        <v>2761</v>
      </c>
      <c r="B2762" t="s">
        <v>9244</v>
      </c>
      <c r="C2762">
        <v>250</v>
      </c>
      <c r="D2762">
        <v>750</v>
      </c>
      <c r="E2762">
        <v>50</v>
      </c>
      <c r="F2762" s="61">
        <v>44856</v>
      </c>
    </row>
    <row r="2763" spans="1:6">
      <c r="A2763">
        <v>2762</v>
      </c>
      <c r="B2763" t="s">
        <v>9247</v>
      </c>
      <c r="C2763">
        <v>250</v>
      </c>
      <c r="D2763">
        <v>750</v>
      </c>
      <c r="E2763">
        <v>50</v>
      </c>
      <c r="F2763" s="73">
        <v>44960</v>
      </c>
    </row>
    <row r="2764" spans="1:6">
      <c r="A2764">
        <v>2763</v>
      </c>
      <c r="B2764" t="s">
        <v>9251</v>
      </c>
      <c r="C2764">
        <v>250</v>
      </c>
      <c r="D2764">
        <v>750</v>
      </c>
      <c r="E2764">
        <v>50</v>
      </c>
      <c r="F2764" s="69">
        <v>44960</v>
      </c>
    </row>
    <row r="2765" spans="1:6">
      <c r="A2765">
        <v>2764</v>
      </c>
      <c r="B2765" t="s">
        <v>9255</v>
      </c>
      <c r="C2765">
        <v>250</v>
      </c>
      <c r="D2765">
        <v>750</v>
      </c>
      <c r="E2765">
        <v>50</v>
      </c>
      <c r="F2765" s="60">
        <v>44862</v>
      </c>
    </row>
    <row r="2766" spans="1:6">
      <c r="A2766">
        <v>2765</v>
      </c>
      <c r="B2766" t="s">
        <v>9258</v>
      </c>
      <c r="C2766">
        <v>250</v>
      </c>
      <c r="D2766">
        <v>750</v>
      </c>
      <c r="E2766">
        <v>50</v>
      </c>
      <c r="F2766" s="134">
        <v>44900</v>
      </c>
    </row>
    <row r="2767" spans="1:6">
      <c r="A2767">
        <v>2766</v>
      </c>
      <c r="B2767" t="s">
        <v>9262</v>
      </c>
      <c r="C2767">
        <v>250</v>
      </c>
      <c r="D2767">
        <v>750</v>
      </c>
      <c r="E2767">
        <v>50</v>
      </c>
      <c r="F2767" s="73">
        <v>44989</v>
      </c>
    </row>
    <row r="2768" spans="1:6">
      <c r="A2768">
        <v>2767</v>
      </c>
      <c r="B2768" t="s">
        <v>9265</v>
      </c>
      <c r="C2768">
        <v>250</v>
      </c>
      <c r="D2768">
        <v>750</v>
      </c>
      <c r="E2768">
        <v>50</v>
      </c>
      <c r="F2768" s="73">
        <v>44980</v>
      </c>
    </row>
    <row r="2769" spans="1:6">
      <c r="A2769">
        <v>2768</v>
      </c>
      <c r="B2769" t="s">
        <v>9269</v>
      </c>
      <c r="C2769">
        <v>1000</v>
      </c>
      <c r="D2769">
        <v>0</v>
      </c>
      <c r="E2769">
        <v>50</v>
      </c>
      <c r="F2769" s="61">
        <v>44841</v>
      </c>
    </row>
    <row r="2770" spans="1:6">
      <c r="A2770">
        <v>2769</v>
      </c>
      <c r="B2770" t="s">
        <v>9272</v>
      </c>
      <c r="C2770">
        <v>1000</v>
      </c>
      <c r="D2770">
        <v>0</v>
      </c>
      <c r="E2770">
        <v>50</v>
      </c>
      <c r="F2770" s="61">
        <v>44870</v>
      </c>
    </row>
    <row r="2771" spans="1:6">
      <c r="A2771">
        <v>2770</v>
      </c>
      <c r="B2771" t="s">
        <v>9275</v>
      </c>
      <c r="C2771">
        <v>250</v>
      </c>
      <c r="D2771">
        <v>750</v>
      </c>
      <c r="E2771">
        <v>50</v>
      </c>
      <c r="F2771" s="60">
        <v>44879</v>
      </c>
    </row>
    <row r="2772" spans="1:6">
      <c r="A2772">
        <v>2771</v>
      </c>
      <c r="B2772" t="s">
        <v>9278</v>
      </c>
      <c r="C2772">
        <v>500</v>
      </c>
      <c r="D2772">
        <v>500</v>
      </c>
      <c r="E2772">
        <v>50</v>
      </c>
      <c r="F2772" s="67">
        <v>44971</v>
      </c>
    </row>
    <row r="2773" spans="1:6">
      <c r="A2773">
        <v>2772</v>
      </c>
      <c r="B2773" t="s">
        <v>9281</v>
      </c>
      <c r="C2773">
        <v>5000</v>
      </c>
      <c r="D2773">
        <v>15000</v>
      </c>
      <c r="E2773">
        <v>1000</v>
      </c>
      <c r="F2773" s="67">
        <v>44939</v>
      </c>
    </row>
    <row r="2774" spans="1:6">
      <c r="A2774">
        <v>2773</v>
      </c>
      <c r="B2774" t="s">
        <v>9284</v>
      </c>
      <c r="C2774">
        <v>1000</v>
      </c>
      <c r="D2774">
        <v>0</v>
      </c>
      <c r="E2774">
        <v>50</v>
      </c>
      <c r="F2774" s="60">
        <v>44872</v>
      </c>
    </row>
    <row r="2775" spans="1:6">
      <c r="A2775">
        <v>2774</v>
      </c>
      <c r="B2775" t="s">
        <v>9287</v>
      </c>
      <c r="C2775">
        <v>250</v>
      </c>
      <c r="D2775">
        <v>750</v>
      </c>
      <c r="E2775">
        <v>50</v>
      </c>
      <c r="F2775" s="77">
        <v>44781</v>
      </c>
    </row>
    <row r="2776" spans="1:6">
      <c r="A2776">
        <v>2775</v>
      </c>
      <c r="B2776" t="s">
        <v>9290</v>
      </c>
      <c r="C2776">
        <v>250</v>
      </c>
      <c r="D2776">
        <v>750</v>
      </c>
      <c r="E2776">
        <v>50</v>
      </c>
      <c r="F2776" s="73">
        <v>44977</v>
      </c>
    </row>
    <row r="2777" spans="1:6">
      <c r="A2777">
        <v>2776</v>
      </c>
      <c r="B2777" t="s">
        <v>9293</v>
      </c>
      <c r="C2777">
        <v>250</v>
      </c>
      <c r="D2777">
        <v>750</v>
      </c>
      <c r="E2777">
        <v>50</v>
      </c>
      <c r="F2777" s="61">
        <v>44875</v>
      </c>
    </row>
    <row r="2778" spans="1:6">
      <c r="A2778">
        <v>2777</v>
      </c>
      <c r="B2778" t="s">
        <v>9296</v>
      </c>
      <c r="C2778">
        <v>250</v>
      </c>
      <c r="D2778">
        <v>750</v>
      </c>
      <c r="E2778">
        <v>50</v>
      </c>
      <c r="F2778" s="60">
        <v>45108</v>
      </c>
    </row>
    <row r="2779" spans="1:6">
      <c r="A2779">
        <v>2778</v>
      </c>
      <c r="B2779" t="s">
        <v>9299</v>
      </c>
      <c r="C2779">
        <v>1000</v>
      </c>
      <c r="D2779">
        <v>0</v>
      </c>
      <c r="E2779">
        <v>50</v>
      </c>
      <c r="F2779" s="73">
        <v>45034</v>
      </c>
    </row>
    <row r="2780" spans="1:6">
      <c r="A2780">
        <v>2779</v>
      </c>
      <c r="B2780" t="s">
        <v>9303</v>
      </c>
      <c r="C2780">
        <v>250</v>
      </c>
      <c r="D2780">
        <v>750</v>
      </c>
      <c r="E2780">
        <v>50</v>
      </c>
      <c r="F2780" s="69">
        <v>45062</v>
      </c>
    </row>
    <row r="2781" spans="1:6">
      <c r="A2781">
        <v>2780</v>
      </c>
      <c r="B2781" t="s">
        <v>9306</v>
      </c>
      <c r="C2781">
        <v>250</v>
      </c>
      <c r="D2781">
        <v>750</v>
      </c>
      <c r="E2781">
        <v>50</v>
      </c>
      <c r="F2781" s="61">
        <v>44839</v>
      </c>
    </row>
    <row r="2782" spans="1:6">
      <c r="A2782">
        <v>2781</v>
      </c>
      <c r="B2782" t="s">
        <v>9309</v>
      </c>
      <c r="C2782">
        <v>100000</v>
      </c>
      <c r="D2782">
        <v>0</v>
      </c>
      <c r="E2782" t="s">
        <v>16642</v>
      </c>
      <c r="F2782" s="76">
        <v>45019</v>
      </c>
    </row>
    <row r="2783" spans="1:6">
      <c r="A2783">
        <v>2782</v>
      </c>
      <c r="B2783" t="s">
        <v>9314</v>
      </c>
      <c r="C2783">
        <v>250</v>
      </c>
      <c r="D2783">
        <v>750</v>
      </c>
      <c r="E2783">
        <v>50</v>
      </c>
      <c r="F2783" s="60">
        <v>44854</v>
      </c>
    </row>
    <row r="2784" spans="1:6">
      <c r="A2784">
        <v>2783</v>
      </c>
      <c r="B2784" t="s">
        <v>9317</v>
      </c>
      <c r="C2784">
        <v>250</v>
      </c>
      <c r="D2784">
        <v>750</v>
      </c>
      <c r="E2784">
        <v>50</v>
      </c>
      <c r="F2784" s="61">
        <v>44872</v>
      </c>
    </row>
    <row r="2785" spans="1:6">
      <c r="A2785">
        <v>2784</v>
      </c>
      <c r="B2785" t="s">
        <v>9320</v>
      </c>
      <c r="C2785">
        <v>250</v>
      </c>
      <c r="D2785">
        <v>750</v>
      </c>
      <c r="E2785">
        <v>50</v>
      </c>
      <c r="F2785" s="61">
        <v>44852</v>
      </c>
    </row>
    <row r="2786" spans="1:6">
      <c r="A2786">
        <v>2785</v>
      </c>
      <c r="B2786" t="s">
        <v>9323</v>
      </c>
      <c r="C2786">
        <v>250</v>
      </c>
      <c r="D2786">
        <v>750</v>
      </c>
      <c r="E2786">
        <v>50</v>
      </c>
      <c r="F2786" s="60">
        <v>44851</v>
      </c>
    </row>
    <row r="2787" spans="1:6">
      <c r="A2787">
        <v>2786</v>
      </c>
      <c r="B2787" t="s">
        <v>9326</v>
      </c>
      <c r="C2787">
        <v>250</v>
      </c>
      <c r="D2787">
        <v>750</v>
      </c>
      <c r="E2787">
        <v>50</v>
      </c>
      <c r="F2787" s="61">
        <v>44859</v>
      </c>
    </row>
    <row r="2788" spans="1:6">
      <c r="A2788">
        <v>2787</v>
      </c>
      <c r="B2788" t="s">
        <v>9329</v>
      </c>
      <c r="C2788">
        <v>1000</v>
      </c>
      <c r="D2788">
        <v>0</v>
      </c>
      <c r="E2788">
        <v>50</v>
      </c>
      <c r="F2788" s="61">
        <v>44868</v>
      </c>
    </row>
    <row r="2789" spans="1:6">
      <c r="A2789">
        <v>2788</v>
      </c>
      <c r="B2789" t="s">
        <v>9332</v>
      </c>
      <c r="C2789">
        <v>250</v>
      </c>
      <c r="D2789">
        <v>750</v>
      </c>
      <c r="E2789">
        <v>50</v>
      </c>
      <c r="F2789" s="61">
        <v>44931</v>
      </c>
    </row>
    <row r="2790" spans="1:6">
      <c r="A2790">
        <v>2789</v>
      </c>
      <c r="B2790" t="s">
        <v>9335</v>
      </c>
      <c r="C2790">
        <v>250</v>
      </c>
      <c r="D2790">
        <v>750</v>
      </c>
      <c r="E2790">
        <v>50</v>
      </c>
      <c r="F2790" s="69">
        <v>44971</v>
      </c>
    </row>
    <row r="2791" spans="1:6">
      <c r="A2791">
        <v>2790</v>
      </c>
      <c r="B2791" t="s">
        <v>9338</v>
      </c>
      <c r="C2791">
        <v>1000</v>
      </c>
      <c r="D2791">
        <v>0</v>
      </c>
      <c r="E2791">
        <v>50</v>
      </c>
      <c r="F2791" s="60">
        <v>44925</v>
      </c>
    </row>
    <row r="2792" spans="1:6">
      <c r="A2792">
        <v>2791</v>
      </c>
      <c r="B2792" t="s">
        <v>9341</v>
      </c>
      <c r="C2792">
        <v>250</v>
      </c>
      <c r="D2792">
        <v>750</v>
      </c>
      <c r="E2792">
        <v>50</v>
      </c>
      <c r="F2792" s="61" t="s">
        <v>16796</v>
      </c>
    </row>
    <row r="2793" spans="1:6">
      <c r="A2793">
        <v>2792</v>
      </c>
      <c r="B2793" t="s">
        <v>9344</v>
      </c>
      <c r="C2793">
        <v>250</v>
      </c>
      <c r="D2793">
        <v>750</v>
      </c>
      <c r="E2793">
        <v>50</v>
      </c>
      <c r="F2793" s="60">
        <v>44869</v>
      </c>
    </row>
    <row r="2794" spans="1:6">
      <c r="A2794">
        <v>2793</v>
      </c>
      <c r="B2794" t="s">
        <v>9347</v>
      </c>
      <c r="C2794">
        <v>250</v>
      </c>
      <c r="D2794">
        <v>750</v>
      </c>
      <c r="E2794">
        <v>50</v>
      </c>
      <c r="F2794" s="75">
        <v>44914</v>
      </c>
    </row>
    <row r="2795" spans="1:6">
      <c r="A2795">
        <v>2794</v>
      </c>
      <c r="B2795" t="s">
        <v>9350</v>
      </c>
      <c r="C2795">
        <v>250</v>
      </c>
      <c r="D2795">
        <v>750</v>
      </c>
      <c r="E2795">
        <v>50</v>
      </c>
      <c r="F2795" s="61">
        <v>44881</v>
      </c>
    </row>
    <row r="2796" spans="1:6">
      <c r="A2796">
        <v>2795</v>
      </c>
      <c r="B2796" t="s">
        <v>9353</v>
      </c>
      <c r="C2796">
        <v>1000</v>
      </c>
      <c r="D2796">
        <v>0</v>
      </c>
      <c r="E2796">
        <v>50</v>
      </c>
      <c r="F2796" s="69">
        <v>44968</v>
      </c>
    </row>
    <row r="2797" spans="1:6">
      <c r="A2797">
        <v>2796</v>
      </c>
      <c r="B2797" t="s">
        <v>9357</v>
      </c>
      <c r="C2797">
        <v>250</v>
      </c>
      <c r="D2797">
        <v>750</v>
      </c>
      <c r="E2797">
        <v>50</v>
      </c>
      <c r="F2797" s="61">
        <v>44834</v>
      </c>
    </row>
    <row r="2798" spans="1:6">
      <c r="A2798">
        <v>2797</v>
      </c>
      <c r="B2798" t="s">
        <v>9360</v>
      </c>
      <c r="C2798">
        <v>100000</v>
      </c>
      <c r="D2798">
        <v>0</v>
      </c>
      <c r="E2798" t="s">
        <v>16642</v>
      </c>
      <c r="F2798" s="76">
        <v>44939</v>
      </c>
    </row>
    <row r="2799" spans="1:6">
      <c r="A2799">
        <v>2798</v>
      </c>
      <c r="B2799" t="s">
        <v>9364</v>
      </c>
      <c r="C2799">
        <v>5000</v>
      </c>
      <c r="D2799">
        <v>5000</v>
      </c>
      <c r="E2799">
        <v>500</v>
      </c>
      <c r="F2799" s="74">
        <v>44932</v>
      </c>
    </row>
    <row r="2800" spans="1:6">
      <c r="A2800">
        <v>2799</v>
      </c>
      <c r="B2800" t="s">
        <v>9367</v>
      </c>
      <c r="C2800">
        <v>1000</v>
      </c>
      <c r="D2800">
        <v>0</v>
      </c>
      <c r="E2800">
        <v>50</v>
      </c>
      <c r="F2800" s="67">
        <v>44936</v>
      </c>
    </row>
    <row r="2801" ht="15" spans="1:6">
      <c r="A2801">
        <v>2800</v>
      </c>
      <c r="B2801" t="s">
        <v>9370</v>
      </c>
      <c r="C2801">
        <v>1500000</v>
      </c>
      <c r="E2801" t="s">
        <v>16642</v>
      </c>
      <c r="F2801" s="81">
        <f>IFERROR(__xludf.DUMMYFUNCTION("""COMPUTED_VALUE"""),45078)</f>
        <v>45078</v>
      </c>
    </row>
    <row r="2802" spans="1:6">
      <c r="A2802">
        <v>2801</v>
      </c>
      <c r="B2802" t="s">
        <v>9371</v>
      </c>
      <c r="C2802">
        <v>250</v>
      </c>
      <c r="D2802">
        <v>750</v>
      </c>
      <c r="E2802">
        <v>50</v>
      </c>
      <c r="F2802" s="75">
        <v>44841</v>
      </c>
    </row>
    <row r="2803" spans="1:6">
      <c r="A2803">
        <v>2802</v>
      </c>
      <c r="B2803" t="s">
        <v>9375</v>
      </c>
      <c r="C2803">
        <v>250</v>
      </c>
      <c r="D2803">
        <v>750</v>
      </c>
      <c r="E2803">
        <v>50</v>
      </c>
      <c r="F2803" s="60">
        <v>45007</v>
      </c>
    </row>
    <row r="2804" spans="1:6">
      <c r="A2804">
        <v>2803</v>
      </c>
      <c r="B2804" t="s">
        <v>9378</v>
      </c>
      <c r="C2804">
        <v>10000</v>
      </c>
      <c r="D2804">
        <v>0</v>
      </c>
      <c r="E2804">
        <v>500</v>
      </c>
      <c r="F2804" s="64" t="s">
        <v>16797</v>
      </c>
    </row>
    <row r="2805" spans="1:6">
      <c r="A2805">
        <v>2804</v>
      </c>
      <c r="B2805" t="s">
        <v>9382</v>
      </c>
      <c r="C2805">
        <v>250</v>
      </c>
      <c r="D2805">
        <v>750</v>
      </c>
      <c r="E2805">
        <v>50</v>
      </c>
      <c r="F2805" s="61">
        <v>44849</v>
      </c>
    </row>
    <row r="2806" spans="1:6">
      <c r="A2806">
        <v>2805</v>
      </c>
      <c r="B2806" t="s">
        <v>9386</v>
      </c>
      <c r="C2806">
        <v>250</v>
      </c>
      <c r="D2806">
        <v>750</v>
      </c>
      <c r="E2806">
        <v>50</v>
      </c>
      <c r="F2806" s="60">
        <v>44875</v>
      </c>
    </row>
    <row r="2807" spans="1:6">
      <c r="A2807">
        <v>2806</v>
      </c>
      <c r="B2807" t="s">
        <v>9390</v>
      </c>
      <c r="C2807">
        <v>250</v>
      </c>
      <c r="D2807">
        <v>750</v>
      </c>
      <c r="E2807">
        <v>50</v>
      </c>
      <c r="F2807" s="60">
        <v>44889</v>
      </c>
    </row>
    <row r="2808" spans="1:6">
      <c r="A2808">
        <v>2807</v>
      </c>
      <c r="B2808" t="s">
        <v>9394</v>
      </c>
      <c r="C2808">
        <v>1000</v>
      </c>
      <c r="D2808">
        <v>0</v>
      </c>
      <c r="E2808">
        <v>50</v>
      </c>
      <c r="F2808" s="61">
        <v>45021</v>
      </c>
    </row>
    <row r="2809" spans="1:6">
      <c r="A2809">
        <v>2808</v>
      </c>
      <c r="B2809" t="s">
        <v>9397</v>
      </c>
      <c r="C2809">
        <v>7500</v>
      </c>
      <c r="D2809">
        <v>2500</v>
      </c>
      <c r="E2809">
        <v>250</v>
      </c>
      <c r="F2809" s="64" t="s">
        <v>16705</v>
      </c>
    </row>
    <row r="2810" spans="1:6">
      <c r="A2810">
        <v>2809</v>
      </c>
      <c r="B2810" t="s">
        <v>9401</v>
      </c>
      <c r="C2810">
        <v>250</v>
      </c>
      <c r="D2810">
        <v>750</v>
      </c>
      <c r="E2810">
        <v>50</v>
      </c>
      <c r="F2810" s="77">
        <v>44793</v>
      </c>
    </row>
    <row r="2811" spans="1:6">
      <c r="A2811">
        <v>2810</v>
      </c>
      <c r="B2811" t="s">
        <v>9404</v>
      </c>
      <c r="C2811">
        <v>250</v>
      </c>
      <c r="D2811">
        <v>750</v>
      </c>
      <c r="E2811">
        <v>50</v>
      </c>
      <c r="F2811" s="60">
        <v>44858</v>
      </c>
    </row>
    <row r="2812" ht="15" spans="1:6">
      <c r="A2812">
        <v>2811</v>
      </c>
      <c r="B2812" t="s">
        <v>9407</v>
      </c>
      <c r="C2812">
        <v>1000000</v>
      </c>
      <c r="D2812">
        <v>500000</v>
      </c>
      <c r="E2812" t="s">
        <v>16642</v>
      </c>
      <c r="F2812" s="98">
        <f>IFERROR(__xludf.DUMMYFUNCTION("""COMPUTED_VALUE"""),45078)</f>
        <v>45078</v>
      </c>
    </row>
    <row r="2813" ht="15" spans="1:6">
      <c r="A2813">
        <v>2812</v>
      </c>
      <c r="B2813" t="s">
        <v>9407</v>
      </c>
      <c r="C2813">
        <v>1000000</v>
      </c>
      <c r="D2813">
        <v>500000</v>
      </c>
      <c r="E2813" t="s">
        <v>16642</v>
      </c>
      <c r="F2813" s="98">
        <f>IFERROR(__xludf.DUMMYFUNCTION("""COMPUTED_VALUE"""),45078)</f>
        <v>45078</v>
      </c>
    </row>
    <row r="2814" ht="15" spans="1:6">
      <c r="A2814">
        <v>2813</v>
      </c>
      <c r="B2814" t="s">
        <v>9407</v>
      </c>
      <c r="C2814">
        <v>1000000</v>
      </c>
      <c r="D2814">
        <v>500000</v>
      </c>
      <c r="E2814" t="s">
        <v>16642</v>
      </c>
      <c r="F2814" s="98">
        <f>IFERROR(__xludf.DUMMYFUNCTION("""COMPUTED_VALUE"""),45078)</f>
        <v>45078</v>
      </c>
    </row>
    <row r="2815" ht="15" spans="1:6">
      <c r="A2815">
        <v>2814</v>
      </c>
      <c r="B2815" t="s">
        <v>9408</v>
      </c>
      <c r="C2815">
        <v>1500000</v>
      </c>
      <c r="E2815" t="s">
        <v>16642</v>
      </c>
      <c r="F2815" s="81">
        <f>IFERROR(__xludf.DUMMYFUNCTION("""COMPUTED_VALUE"""),45083)</f>
        <v>45083</v>
      </c>
    </row>
    <row r="2816" spans="1:6">
      <c r="A2816">
        <v>2815</v>
      </c>
      <c r="B2816" t="s">
        <v>9409</v>
      </c>
      <c r="C2816">
        <v>250</v>
      </c>
      <c r="D2816">
        <v>750</v>
      </c>
      <c r="E2816">
        <v>50</v>
      </c>
      <c r="F2816" s="75">
        <v>44907</v>
      </c>
    </row>
    <row r="2817" spans="1:6">
      <c r="A2817">
        <v>2816</v>
      </c>
      <c r="B2817" t="s">
        <v>9412</v>
      </c>
      <c r="C2817">
        <v>2000</v>
      </c>
      <c r="D2817">
        <v>0</v>
      </c>
      <c r="E2817">
        <v>100</v>
      </c>
      <c r="F2817" s="67">
        <v>44919</v>
      </c>
    </row>
    <row r="2818" spans="1:6">
      <c r="A2818">
        <v>2817</v>
      </c>
      <c r="B2818" t="s">
        <v>9415</v>
      </c>
      <c r="C2818">
        <v>250</v>
      </c>
      <c r="D2818">
        <v>750</v>
      </c>
      <c r="E2818">
        <v>50</v>
      </c>
      <c r="F2818" s="60">
        <v>44849</v>
      </c>
    </row>
    <row r="2819" spans="1:6">
      <c r="A2819">
        <v>2818</v>
      </c>
      <c r="B2819" t="s">
        <v>9419</v>
      </c>
      <c r="C2819">
        <v>1000</v>
      </c>
      <c r="D2819">
        <v>0</v>
      </c>
      <c r="E2819">
        <v>50</v>
      </c>
      <c r="F2819" s="60">
        <v>44928</v>
      </c>
    </row>
    <row r="2820" spans="1:6">
      <c r="A2820">
        <v>2819</v>
      </c>
      <c r="B2820" t="s">
        <v>9422</v>
      </c>
      <c r="C2820">
        <v>250</v>
      </c>
      <c r="D2820">
        <v>750</v>
      </c>
      <c r="E2820">
        <v>50</v>
      </c>
      <c r="F2820" s="61">
        <v>44905</v>
      </c>
    </row>
    <row r="2821" spans="1:6">
      <c r="A2821">
        <v>2820</v>
      </c>
      <c r="B2821" t="s">
        <v>9425</v>
      </c>
      <c r="C2821">
        <v>250</v>
      </c>
      <c r="D2821">
        <v>750</v>
      </c>
      <c r="E2821">
        <v>50</v>
      </c>
      <c r="F2821" s="60" t="s">
        <v>16798</v>
      </c>
    </row>
    <row r="2822" spans="1:6">
      <c r="A2822">
        <v>2821</v>
      </c>
      <c r="B2822" t="s">
        <v>9428</v>
      </c>
      <c r="C2822">
        <v>1000</v>
      </c>
      <c r="D2822">
        <v>0</v>
      </c>
      <c r="E2822">
        <v>50</v>
      </c>
      <c r="F2822" s="60">
        <v>44930</v>
      </c>
    </row>
    <row r="2823" spans="1:6">
      <c r="A2823">
        <v>2822</v>
      </c>
      <c r="B2823" t="s">
        <v>9431</v>
      </c>
      <c r="C2823">
        <v>1000</v>
      </c>
      <c r="D2823">
        <v>0</v>
      </c>
      <c r="E2823">
        <v>50</v>
      </c>
      <c r="F2823" s="73">
        <v>44985</v>
      </c>
    </row>
    <row r="2824" spans="1:6">
      <c r="A2824">
        <v>2823</v>
      </c>
      <c r="B2824" t="s">
        <v>9435</v>
      </c>
      <c r="C2824">
        <v>250</v>
      </c>
      <c r="D2824">
        <v>750</v>
      </c>
      <c r="E2824">
        <v>50</v>
      </c>
      <c r="F2824" s="60">
        <v>44890</v>
      </c>
    </row>
    <row r="2825" spans="1:6">
      <c r="A2825">
        <v>2824</v>
      </c>
      <c r="B2825" t="s">
        <v>9439</v>
      </c>
      <c r="C2825">
        <v>250</v>
      </c>
      <c r="D2825">
        <v>750</v>
      </c>
      <c r="E2825">
        <v>50</v>
      </c>
      <c r="F2825" s="71">
        <v>44925</v>
      </c>
    </row>
    <row r="2826" spans="1:6">
      <c r="A2826">
        <v>2825</v>
      </c>
      <c r="B2826" t="s">
        <v>9442</v>
      </c>
      <c r="C2826">
        <v>250</v>
      </c>
      <c r="D2826">
        <v>750</v>
      </c>
      <c r="E2826">
        <v>50</v>
      </c>
      <c r="F2826" s="60">
        <v>44862</v>
      </c>
    </row>
    <row r="2827" spans="1:6">
      <c r="A2827">
        <v>2826</v>
      </c>
      <c r="B2827" t="s">
        <v>9445</v>
      </c>
      <c r="C2827">
        <v>250</v>
      </c>
      <c r="D2827">
        <v>750</v>
      </c>
      <c r="E2827">
        <v>50</v>
      </c>
      <c r="F2827" s="61">
        <v>44858</v>
      </c>
    </row>
    <row r="2828" spans="1:6">
      <c r="A2828">
        <v>2827</v>
      </c>
      <c r="B2828" t="s">
        <v>9448</v>
      </c>
      <c r="C2828">
        <v>250</v>
      </c>
      <c r="D2828">
        <v>750</v>
      </c>
      <c r="E2828">
        <v>50</v>
      </c>
      <c r="F2828" s="60">
        <v>44992</v>
      </c>
    </row>
    <row r="2829" spans="1:6">
      <c r="A2829">
        <v>2828</v>
      </c>
      <c r="B2829" t="s">
        <v>9451</v>
      </c>
      <c r="C2829">
        <v>250</v>
      </c>
      <c r="D2829">
        <v>750</v>
      </c>
      <c r="E2829">
        <v>50</v>
      </c>
      <c r="F2829" s="61">
        <v>44896</v>
      </c>
    </row>
    <row r="2830" spans="1:6">
      <c r="A2830">
        <v>2829</v>
      </c>
      <c r="B2830" t="s">
        <v>9454</v>
      </c>
      <c r="C2830">
        <v>250</v>
      </c>
      <c r="D2830">
        <v>750</v>
      </c>
      <c r="E2830">
        <v>50</v>
      </c>
      <c r="F2830" s="61">
        <v>44870</v>
      </c>
    </row>
    <row r="2831" spans="1:6">
      <c r="A2831">
        <v>2830</v>
      </c>
      <c r="B2831" t="s">
        <v>9457</v>
      </c>
      <c r="C2831">
        <v>100000</v>
      </c>
      <c r="D2831">
        <v>0</v>
      </c>
      <c r="E2831" t="s">
        <v>16642</v>
      </c>
      <c r="F2831" s="66"/>
    </row>
    <row r="2832" spans="1:6">
      <c r="A2832">
        <v>2831</v>
      </c>
      <c r="B2832" t="s">
        <v>9462</v>
      </c>
      <c r="C2832">
        <v>250</v>
      </c>
      <c r="D2832">
        <v>750</v>
      </c>
      <c r="E2832">
        <v>50</v>
      </c>
      <c r="F2832" s="71">
        <v>44902</v>
      </c>
    </row>
    <row r="2833" spans="1:6">
      <c r="A2833">
        <v>2832</v>
      </c>
      <c r="B2833" t="s">
        <v>9465</v>
      </c>
      <c r="C2833">
        <v>250</v>
      </c>
      <c r="D2833">
        <v>750</v>
      </c>
      <c r="E2833">
        <v>50</v>
      </c>
      <c r="F2833" s="72">
        <v>44868</v>
      </c>
    </row>
    <row r="2834" spans="1:6">
      <c r="A2834">
        <v>2833</v>
      </c>
      <c r="B2834" t="s">
        <v>9468</v>
      </c>
      <c r="C2834">
        <v>1000</v>
      </c>
      <c r="D2834">
        <v>0</v>
      </c>
      <c r="E2834">
        <v>50</v>
      </c>
      <c r="F2834" s="73">
        <v>44880</v>
      </c>
    </row>
    <row r="2835" spans="1:6">
      <c r="A2835">
        <v>2834</v>
      </c>
      <c r="B2835" t="s">
        <v>9472</v>
      </c>
      <c r="C2835">
        <v>250</v>
      </c>
      <c r="D2835">
        <v>750</v>
      </c>
      <c r="E2835">
        <v>50</v>
      </c>
      <c r="F2835" s="61">
        <v>45043</v>
      </c>
    </row>
    <row r="2836" spans="1:6">
      <c r="A2836">
        <v>2835</v>
      </c>
      <c r="B2836" t="s">
        <v>9475</v>
      </c>
      <c r="C2836">
        <v>250</v>
      </c>
      <c r="D2836">
        <v>750</v>
      </c>
      <c r="E2836">
        <v>50</v>
      </c>
      <c r="F2836" s="60">
        <v>44903</v>
      </c>
    </row>
    <row r="2837" spans="1:6">
      <c r="A2837">
        <v>2836</v>
      </c>
      <c r="B2837" t="s">
        <v>9478</v>
      </c>
      <c r="C2837">
        <v>250</v>
      </c>
      <c r="D2837">
        <v>750</v>
      </c>
      <c r="E2837">
        <v>50</v>
      </c>
      <c r="F2837" s="60">
        <v>44866</v>
      </c>
    </row>
    <row r="2838" spans="1:6">
      <c r="A2838">
        <v>2837</v>
      </c>
      <c r="B2838" t="s">
        <v>9482</v>
      </c>
      <c r="C2838">
        <v>250</v>
      </c>
      <c r="D2838">
        <v>750</v>
      </c>
      <c r="E2838">
        <v>50</v>
      </c>
      <c r="F2838" s="75">
        <v>44926</v>
      </c>
    </row>
    <row r="2839" spans="1:6">
      <c r="A2839">
        <v>2838</v>
      </c>
      <c r="B2839" t="s">
        <v>9485</v>
      </c>
      <c r="C2839">
        <v>250</v>
      </c>
      <c r="D2839">
        <v>750</v>
      </c>
      <c r="E2839">
        <v>50</v>
      </c>
      <c r="F2839" s="69">
        <v>44972</v>
      </c>
    </row>
    <row r="2840" spans="1:6">
      <c r="A2840">
        <v>2839</v>
      </c>
      <c r="B2840" t="s">
        <v>9488</v>
      </c>
      <c r="C2840">
        <v>5000</v>
      </c>
      <c r="D2840">
        <v>15000</v>
      </c>
      <c r="E2840">
        <v>1000</v>
      </c>
      <c r="F2840" s="64" t="s">
        <v>16799</v>
      </c>
    </row>
    <row r="2841" ht="15" spans="1:6">
      <c r="A2841">
        <v>2840</v>
      </c>
      <c r="B2841" t="s">
        <v>9492</v>
      </c>
      <c r="C2841">
        <v>1000000</v>
      </c>
      <c r="D2841">
        <v>500000</v>
      </c>
      <c r="E2841" t="s">
        <v>16642</v>
      </c>
      <c r="F2841" s="81">
        <f>IFERROR(__xludf.DUMMYFUNCTION("""COMPUTED_VALUE"""),45083)</f>
        <v>45083</v>
      </c>
    </row>
    <row r="2842" spans="1:6">
      <c r="A2842">
        <v>2841</v>
      </c>
      <c r="B2842" t="s">
        <v>9493</v>
      </c>
      <c r="C2842">
        <v>250</v>
      </c>
      <c r="D2842">
        <v>750</v>
      </c>
      <c r="E2842">
        <v>50</v>
      </c>
      <c r="F2842" s="60">
        <v>44911</v>
      </c>
    </row>
    <row r="2843" spans="1:6">
      <c r="A2843">
        <v>2842</v>
      </c>
      <c r="B2843" t="s">
        <v>9497</v>
      </c>
      <c r="C2843">
        <v>1000000</v>
      </c>
      <c r="D2843">
        <v>500000</v>
      </c>
      <c r="E2843" t="s">
        <v>16642</v>
      </c>
      <c r="F2843" s="80">
        <f>IFERROR(__xludf.DUMMYFUNCTION("""COMPUTED_VALUE"""),45080)</f>
        <v>45080</v>
      </c>
    </row>
    <row r="2844" spans="1:6">
      <c r="A2844">
        <v>2843</v>
      </c>
      <c r="B2844" t="s">
        <v>9498</v>
      </c>
      <c r="C2844">
        <v>250</v>
      </c>
      <c r="D2844">
        <v>750</v>
      </c>
      <c r="E2844">
        <v>50</v>
      </c>
      <c r="F2844" s="61">
        <v>44868</v>
      </c>
    </row>
    <row r="2845" spans="1:6">
      <c r="A2845">
        <v>2844</v>
      </c>
      <c r="B2845" t="s">
        <v>9501</v>
      </c>
      <c r="C2845">
        <v>250</v>
      </c>
      <c r="D2845">
        <v>750</v>
      </c>
      <c r="E2845">
        <v>50</v>
      </c>
      <c r="F2845" s="61">
        <v>44919</v>
      </c>
    </row>
    <row r="2846" spans="1:6">
      <c r="A2846">
        <v>2845</v>
      </c>
      <c r="B2846" t="s">
        <v>9504</v>
      </c>
      <c r="C2846">
        <v>250</v>
      </c>
      <c r="D2846">
        <v>750</v>
      </c>
      <c r="E2846">
        <v>50</v>
      </c>
      <c r="F2846" s="61">
        <v>44923</v>
      </c>
    </row>
    <row r="2847" spans="1:6">
      <c r="A2847">
        <v>2846</v>
      </c>
      <c r="B2847" t="s">
        <v>9507</v>
      </c>
      <c r="C2847">
        <v>250</v>
      </c>
      <c r="D2847">
        <v>750</v>
      </c>
      <c r="E2847">
        <v>50</v>
      </c>
      <c r="F2847" s="60">
        <v>44866</v>
      </c>
    </row>
    <row r="2848" spans="1:6">
      <c r="A2848">
        <v>2847</v>
      </c>
      <c r="B2848" t="s">
        <v>9510</v>
      </c>
      <c r="C2848">
        <v>23000</v>
      </c>
      <c r="D2848">
        <v>0</v>
      </c>
      <c r="E2848">
        <v>1150</v>
      </c>
      <c r="F2848" s="65">
        <v>44480</v>
      </c>
    </row>
    <row r="2849" spans="1:6">
      <c r="A2849">
        <v>2848</v>
      </c>
      <c r="B2849" t="s">
        <v>9515</v>
      </c>
      <c r="C2849">
        <v>1000</v>
      </c>
      <c r="D2849">
        <v>0</v>
      </c>
      <c r="E2849">
        <v>50</v>
      </c>
      <c r="F2849" s="60">
        <v>44869</v>
      </c>
    </row>
    <row r="2850" spans="1:6">
      <c r="A2850">
        <v>2849</v>
      </c>
      <c r="B2850" t="s">
        <v>9519</v>
      </c>
      <c r="C2850">
        <v>1000</v>
      </c>
      <c r="D2850">
        <v>0</v>
      </c>
      <c r="E2850">
        <v>50</v>
      </c>
      <c r="F2850" s="60">
        <v>44872</v>
      </c>
    </row>
    <row r="2851" spans="1:6">
      <c r="A2851">
        <v>2850</v>
      </c>
      <c r="B2851" t="s">
        <v>9522</v>
      </c>
      <c r="C2851">
        <v>1000</v>
      </c>
      <c r="D2851">
        <v>3000</v>
      </c>
      <c r="E2851">
        <v>200</v>
      </c>
      <c r="F2851" s="67" t="s">
        <v>16800</v>
      </c>
    </row>
    <row r="2852" spans="1:6">
      <c r="A2852">
        <v>2851</v>
      </c>
      <c r="B2852" t="s">
        <v>9525</v>
      </c>
      <c r="C2852">
        <v>1000</v>
      </c>
      <c r="D2852">
        <v>0</v>
      </c>
      <c r="E2852">
        <v>50</v>
      </c>
      <c r="F2852" s="61">
        <v>44909</v>
      </c>
    </row>
    <row r="2853" spans="1:6">
      <c r="A2853">
        <v>2852</v>
      </c>
      <c r="B2853" t="s">
        <v>9529</v>
      </c>
      <c r="C2853">
        <v>100000</v>
      </c>
      <c r="D2853">
        <v>0</v>
      </c>
      <c r="E2853" t="s">
        <v>16642</v>
      </c>
      <c r="F2853" s="66"/>
    </row>
    <row r="2854" spans="1:6">
      <c r="A2854">
        <v>2853</v>
      </c>
      <c r="B2854" t="s">
        <v>9533</v>
      </c>
      <c r="C2854">
        <v>100000</v>
      </c>
      <c r="D2854">
        <v>0</v>
      </c>
      <c r="E2854">
        <v>5000</v>
      </c>
      <c r="F2854" s="77">
        <v>44788</v>
      </c>
    </row>
    <row r="2855" spans="1:6">
      <c r="A2855">
        <v>2854</v>
      </c>
      <c r="B2855" t="s">
        <v>9536</v>
      </c>
      <c r="C2855">
        <v>10000</v>
      </c>
      <c r="D2855">
        <v>0</v>
      </c>
      <c r="E2855">
        <v>500</v>
      </c>
      <c r="F2855" s="79">
        <v>44944</v>
      </c>
    </row>
    <row r="2856" spans="1:6">
      <c r="A2856">
        <v>2855</v>
      </c>
      <c r="B2856" t="s">
        <v>9539</v>
      </c>
      <c r="C2856">
        <v>250</v>
      </c>
      <c r="D2856">
        <v>750</v>
      </c>
      <c r="E2856">
        <v>50</v>
      </c>
      <c r="F2856" s="61">
        <v>44917</v>
      </c>
    </row>
    <row r="2857" spans="1:6">
      <c r="A2857">
        <v>2856</v>
      </c>
      <c r="B2857" t="s">
        <v>9543</v>
      </c>
      <c r="C2857">
        <v>250</v>
      </c>
      <c r="D2857">
        <v>750</v>
      </c>
      <c r="E2857">
        <v>50</v>
      </c>
      <c r="F2857" s="60">
        <v>44935</v>
      </c>
    </row>
    <row r="2858" spans="1:6">
      <c r="A2858">
        <v>2857</v>
      </c>
      <c r="B2858" t="s">
        <v>9546</v>
      </c>
      <c r="C2858">
        <v>2500</v>
      </c>
      <c r="D2858">
        <v>7500</v>
      </c>
      <c r="E2858">
        <v>500</v>
      </c>
      <c r="F2858" s="77">
        <v>44898</v>
      </c>
    </row>
    <row r="2859" spans="1:6">
      <c r="A2859">
        <v>2858</v>
      </c>
      <c r="B2859" t="s">
        <v>9549</v>
      </c>
      <c r="C2859">
        <v>250</v>
      </c>
      <c r="D2859">
        <v>750</v>
      </c>
      <c r="E2859">
        <v>50</v>
      </c>
      <c r="F2859" s="60">
        <v>44859</v>
      </c>
    </row>
    <row r="2860" spans="1:6">
      <c r="A2860">
        <v>2859</v>
      </c>
      <c r="B2860" t="s">
        <v>9552</v>
      </c>
      <c r="C2860">
        <v>250</v>
      </c>
      <c r="D2860">
        <v>750</v>
      </c>
      <c r="E2860">
        <v>50</v>
      </c>
      <c r="F2860" s="75">
        <v>44911</v>
      </c>
    </row>
    <row r="2861" spans="1:6">
      <c r="A2861">
        <v>2860</v>
      </c>
      <c r="B2861" t="s">
        <v>9555</v>
      </c>
      <c r="C2861">
        <v>3000</v>
      </c>
      <c r="D2861">
        <v>0</v>
      </c>
      <c r="E2861">
        <v>150</v>
      </c>
      <c r="F2861" s="77">
        <v>44880</v>
      </c>
    </row>
    <row r="2862" spans="1:6">
      <c r="A2862">
        <v>2861</v>
      </c>
      <c r="B2862" t="s">
        <v>9558</v>
      </c>
      <c r="C2862">
        <v>250</v>
      </c>
      <c r="D2862">
        <v>750</v>
      </c>
      <c r="E2862">
        <v>50</v>
      </c>
      <c r="F2862" s="61">
        <v>44853</v>
      </c>
    </row>
    <row r="2863" spans="1:6">
      <c r="A2863">
        <v>2862</v>
      </c>
      <c r="B2863" t="s">
        <v>9561</v>
      </c>
      <c r="C2863">
        <v>250</v>
      </c>
      <c r="D2863">
        <v>750</v>
      </c>
      <c r="E2863">
        <v>50</v>
      </c>
      <c r="F2863" s="71">
        <v>44887</v>
      </c>
    </row>
    <row r="2864" ht="15" spans="1:6">
      <c r="A2864">
        <v>2863</v>
      </c>
      <c r="B2864" t="s">
        <v>9564</v>
      </c>
      <c r="C2864">
        <v>3500000</v>
      </c>
      <c r="D2864">
        <v>0</v>
      </c>
      <c r="E2864" t="s">
        <v>16642</v>
      </c>
      <c r="F2864" s="92">
        <v>45142</v>
      </c>
    </row>
    <row r="2865" spans="1:6">
      <c r="A2865">
        <v>2864</v>
      </c>
      <c r="B2865" t="s">
        <v>9569</v>
      </c>
      <c r="C2865">
        <v>2550</v>
      </c>
      <c r="D2865">
        <v>2450</v>
      </c>
      <c r="E2865">
        <v>250</v>
      </c>
      <c r="F2865" s="64" t="s">
        <v>16666</v>
      </c>
    </row>
    <row r="2866" spans="1:6">
      <c r="A2866">
        <v>2865</v>
      </c>
      <c r="B2866" t="s">
        <v>9573</v>
      </c>
      <c r="C2866">
        <v>250</v>
      </c>
      <c r="D2866">
        <v>750</v>
      </c>
      <c r="E2866">
        <v>50</v>
      </c>
      <c r="F2866" s="60">
        <v>44992</v>
      </c>
    </row>
    <row r="2867" spans="1:6">
      <c r="A2867">
        <v>2866</v>
      </c>
      <c r="B2867" t="s">
        <v>9577</v>
      </c>
      <c r="C2867">
        <v>250</v>
      </c>
      <c r="D2867">
        <v>750</v>
      </c>
      <c r="E2867">
        <v>50</v>
      </c>
      <c r="F2867" s="72">
        <v>44872</v>
      </c>
    </row>
    <row r="2868" spans="1:6">
      <c r="A2868">
        <v>2867</v>
      </c>
      <c r="B2868" t="s">
        <v>9580</v>
      </c>
      <c r="C2868">
        <v>50000</v>
      </c>
      <c r="D2868">
        <v>0</v>
      </c>
      <c r="F2868" s="65"/>
    </row>
    <row r="2869" spans="1:6">
      <c r="A2869">
        <v>2868</v>
      </c>
      <c r="B2869" t="s">
        <v>9584</v>
      </c>
      <c r="C2869">
        <v>5000</v>
      </c>
      <c r="D2869">
        <v>15000</v>
      </c>
      <c r="E2869">
        <v>1000</v>
      </c>
      <c r="F2869" s="64" t="s">
        <v>16681</v>
      </c>
    </row>
    <row r="2870" spans="1:6">
      <c r="A2870">
        <v>2869</v>
      </c>
      <c r="B2870" t="s">
        <v>9588</v>
      </c>
      <c r="C2870">
        <v>10000</v>
      </c>
      <c r="D2870">
        <v>0</v>
      </c>
      <c r="E2870">
        <v>500</v>
      </c>
      <c r="F2870" s="77">
        <v>44781</v>
      </c>
    </row>
    <row r="2871" spans="1:6">
      <c r="A2871">
        <v>2870</v>
      </c>
      <c r="B2871" t="s">
        <v>9591</v>
      </c>
      <c r="C2871">
        <v>250</v>
      </c>
      <c r="D2871">
        <v>750</v>
      </c>
      <c r="E2871">
        <v>50</v>
      </c>
      <c r="F2871" s="60">
        <v>44903</v>
      </c>
    </row>
    <row r="2872" spans="1:6">
      <c r="A2872">
        <v>2871</v>
      </c>
      <c r="B2872" t="s">
        <v>9594</v>
      </c>
      <c r="C2872">
        <v>100000</v>
      </c>
      <c r="D2872">
        <v>0</v>
      </c>
      <c r="E2872" t="s">
        <v>16642</v>
      </c>
      <c r="F2872" s="76">
        <v>45040</v>
      </c>
    </row>
    <row r="2873" spans="1:6">
      <c r="A2873">
        <v>2872</v>
      </c>
      <c r="B2873" t="s">
        <v>9598</v>
      </c>
      <c r="C2873">
        <v>250</v>
      </c>
      <c r="D2873">
        <v>750</v>
      </c>
      <c r="E2873">
        <v>50</v>
      </c>
      <c r="F2873" s="60">
        <v>44896</v>
      </c>
    </row>
    <row r="2874" spans="1:6">
      <c r="A2874">
        <v>2873</v>
      </c>
      <c r="B2874" t="s">
        <v>9602</v>
      </c>
      <c r="C2874">
        <v>1000</v>
      </c>
      <c r="D2874">
        <v>0</v>
      </c>
      <c r="E2874">
        <v>50</v>
      </c>
      <c r="F2874" s="65">
        <v>44685</v>
      </c>
    </row>
    <row r="2875" spans="1:6">
      <c r="A2875">
        <v>2874</v>
      </c>
      <c r="B2875" t="s">
        <v>9606</v>
      </c>
      <c r="C2875">
        <v>1000</v>
      </c>
      <c r="D2875">
        <v>0</v>
      </c>
      <c r="E2875">
        <v>50</v>
      </c>
      <c r="F2875" s="65">
        <v>44685</v>
      </c>
    </row>
    <row r="2876" spans="1:6">
      <c r="A2876">
        <v>2875</v>
      </c>
      <c r="B2876" t="s">
        <v>9610</v>
      </c>
      <c r="C2876">
        <v>1000</v>
      </c>
      <c r="D2876">
        <v>0</v>
      </c>
      <c r="E2876">
        <v>50</v>
      </c>
      <c r="F2876" s="65">
        <v>44685</v>
      </c>
    </row>
    <row r="2877" spans="1:6">
      <c r="A2877">
        <v>2876</v>
      </c>
      <c r="B2877" t="s">
        <v>9614</v>
      </c>
      <c r="C2877">
        <v>1000</v>
      </c>
      <c r="D2877">
        <v>0</v>
      </c>
      <c r="E2877">
        <v>50</v>
      </c>
      <c r="F2877" s="65">
        <v>44685</v>
      </c>
    </row>
    <row r="2878" spans="1:6">
      <c r="A2878">
        <v>2877</v>
      </c>
      <c r="B2878" t="s">
        <v>9618</v>
      </c>
      <c r="C2878">
        <v>2000</v>
      </c>
      <c r="D2878">
        <v>0</v>
      </c>
      <c r="E2878">
        <v>100</v>
      </c>
      <c r="F2878" s="65">
        <v>44690</v>
      </c>
    </row>
    <row r="2879" spans="1:6">
      <c r="A2879">
        <v>2878</v>
      </c>
      <c r="B2879" t="s">
        <v>9622</v>
      </c>
      <c r="C2879">
        <v>250</v>
      </c>
      <c r="D2879">
        <v>750</v>
      </c>
      <c r="E2879">
        <v>50</v>
      </c>
      <c r="F2879" s="72">
        <v>44848</v>
      </c>
    </row>
    <row r="2880" spans="1:6">
      <c r="A2880">
        <v>2879</v>
      </c>
      <c r="B2880" t="s">
        <v>9626</v>
      </c>
      <c r="C2880">
        <v>2200</v>
      </c>
      <c r="D2880">
        <v>0</v>
      </c>
      <c r="E2880">
        <v>50</v>
      </c>
      <c r="F2880" s="65">
        <v>44510</v>
      </c>
    </row>
    <row r="2881" spans="1:6">
      <c r="A2881">
        <v>2880</v>
      </c>
      <c r="B2881" t="s">
        <v>9630</v>
      </c>
      <c r="C2881">
        <v>2000</v>
      </c>
      <c r="D2881">
        <v>0</v>
      </c>
      <c r="E2881">
        <v>100</v>
      </c>
      <c r="F2881" s="67">
        <v>44937</v>
      </c>
    </row>
    <row r="2882" spans="1:6">
      <c r="A2882">
        <v>2881</v>
      </c>
      <c r="B2882" t="s">
        <v>9633</v>
      </c>
      <c r="C2882">
        <v>8000</v>
      </c>
      <c r="D2882">
        <v>0</v>
      </c>
      <c r="E2882">
        <v>400</v>
      </c>
      <c r="F2882" s="77">
        <v>44844</v>
      </c>
    </row>
    <row r="2883" spans="1:6">
      <c r="A2883">
        <v>2882</v>
      </c>
      <c r="B2883" t="s">
        <v>9636</v>
      </c>
      <c r="C2883">
        <v>10000</v>
      </c>
      <c r="D2883">
        <v>0</v>
      </c>
      <c r="E2883">
        <v>500</v>
      </c>
      <c r="F2883" s="77">
        <v>44820</v>
      </c>
    </row>
    <row r="2884" spans="1:6">
      <c r="A2884">
        <v>2883</v>
      </c>
      <c r="B2884" t="s">
        <v>9639</v>
      </c>
      <c r="C2884">
        <v>1000</v>
      </c>
      <c r="D2884">
        <v>0</v>
      </c>
      <c r="E2884">
        <v>50</v>
      </c>
      <c r="F2884" s="64" t="s">
        <v>16801</v>
      </c>
    </row>
    <row r="2885" spans="1:6">
      <c r="A2885">
        <v>2884</v>
      </c>
      <c r="B2885" t="s">
        <v>9644</v>
      </c>
      <c r="C2885">
        <v>25000</v>
      </c>
      <c r="D2885">
        <v>75000</v>
      </c>
      <c r="E2885">
        <v>5000</v>
      </c>
      <c r="F2885" s="77">
        <v>44771</v>
      </c>
    </row>
    <row r="2886" spans="1:6">
      <c r="A2886">
        <v>2885</v>
      </c>
      <c r="B2886" t="s">
        <v>9648</v>
      </c>
      <c r="C2886">
        <v>250</v>
      </c>
      <c r="D2886">
        <v>750</v>
      </c>
      <c r="E2886">
        <v>50</v>
      </c>
      <c r="F2886" s="60">
        <v>44901</v>
      </c>
    </row>
    <row r="2887" spans="1:6">
      <c r="A2887">
        <v>2886</v>
      </c>
      <c r="B2887" t="s">
        <v>9651</v>
      </c>
      <c r="C2887">
        <v>250</v>
      </c>
      <c r="D2887">
        <v>750</v>
      </c>
      <c r="E2887">
        <v>50</v>
      </c>
      <c r="F2887" s="60">
        <v>44918</v>
      </c>
    </row>
    <row r="2888" spans="1:6">
      <c r="A2888">
        <v>2887</v>
      </c>
      <c r="B2888" t="s">
        <v>9654</v>
      </c>
      <c r="C2888">
        <v>250</v>
      </c>
      <c r="D2888">
        <v>750</v>
      </c>
      <c r="E2888">
        <v>50</v>
      </c>
      <c r="F2888" s="61">
        <v>44853</v>
      </c>
    </row>
    <row r="2889" spans="1:6">
      <c r="A2889">
        <v>2888</v>
      </c>
      <c r="B2889" t="s">
        <v>9657</v>
      </c>
      <c r="C2889">
        <v>250</v>
      </c>
      <c r="D2889">
        <v>750</v>
      </c>
      <c r="E2889">
        <v>50</v>
      </c>
      <c r="F2889" s="61">
        <v>44901</v>
      </c>
    </row>
    <row r="2890" spans="1:6">
      <c r="A2890">
        <v>2889</v>
      </c>
      <c r="B2890" t="s">
        <v>9660</v>
      </c>
      <c r="C2890">
        <v>100000</v>
      </c>
      <c r="D2890">
        <v>0</v>
      </c>
      <c r="E2890" t="s">
        <v>16642</v>
      </c>
      <c r="F2890" s="76">
        <v>44877</v>
      </c>
    </row>
    <row r="2891" ht="15" spans="1:6">
      <c r="A2891">
        <v>2890</v>
      </c>
      <c r="B2891" t="s">
        <v>9664</v>
      </c>
      <c r="C2891">
        <v>1000000</v>
      </c>
      <c r="D2891">
        <v>500000</v>
      </c>
      <c r="E2891" t="s">
        <v>16642</v>
      </c>
      <c r="F2891" s="98">
        <f>IFERROR(__xludf.DUMMYFUNCTION("""COMPUTED_VALUE"""),45078)</f>
        <v>45078</v>
      </c>
    </row>
    <row r="2892" ht="15" spans="1:6">
      <c r="A2892">
        <v>2891</v>
      </c>
      <c r="B2892" t="s">
        <v>9664</v>
      </c>
      <c r="C2892">
        <v>1000000</v>
      </c>
      <c r="D2892">
        <v>500000</v>
      </c>
      <c r="E2892" t="s">
        <v>16642</v>
      </c>
      <c r="F2892" s="98">
        <f>IFERROR(__xludf.DUMMYFUNCTION("""COMPUTED_VALUE"""),45078)</f>
        <v>45078</v>
      </c>
    </row>
    <row r="2893" ht="15" spans="1:6">
      <c r="A2893">
        <v>2892</v>
      </c>
      <c r="B2893" t="s">
        <v>9664</v>
      </c>
      <c r="C2893">
        <v>1000000</v>
      </c>
      <c r="D2893">
        <v>500000</v>
      </c>
      <c r="E2893" t="s">
        <v>16642</v>
      </c>
      <c r="F2893" s="98">
        <f>IFERROR(__xludf.DUMMYFUNCTION("""COMPUTED_VALUE"""),45078)</f>
        <v>45078</v>
      </c>
    </row>
    <row r="2894" spans="1:6">
      <c r="A2894">
        <v>2893</v>
      </c>
      <c r="B2894" t="s">
        <v>9665</v>
      </c>
      <c r="C2894">
        <v>200000</v>
      </c>
      <c r="D2894">
        <v>0</v>
      </c>
      <c r="E2894" t="s">
        <v>16642</v>
      </c>
      <c r="F2894" s="76">
        <v>44939</v>
      </c>
    </row>
    <row r="2895" spans="1:6">
      <c r="A2895">
        <v>2894</v>
      </c>
      <c r="B2895" t="s">
        <v>9670</v>
      </c>
      <c r="C2895">
        <v>2000</v>
      </c>
      <c r="D2895">
        <v>6000</v>
      </c>
      <c r="E2895">
        <v>400</v>
      </c>
      <c r="F2895" s="77">
        <v>44805</v>
      </c>
    </row>
    <row r="2896" spans="1:6">
      <c r="A2896">
        <v>2895</v>
      </c>
      <c r="B2896" t="s">
        <v>9673</v>
      </c>
      <c r="C2896">
        <v>10000</v>
      </c>
      <c r="D2896">
        <v>0</v>
      </c>
      <c r="E2896">
        <v>500</v>
      </c>
      <c r="F2896" s="64" t="s">
        <v>16682</v>
      </c>
    </row>
    <row r="2897" spans="1:6">
      <c r="A2897">
        <v>2896</v>
      </c>
      <c r="B2897" t="s">
        <v>9677</v>
      </c>
      <c r="C2897">
        <v>20000</v>
      </c>
      <c r="D2897">
        <v>0</v>
      </c>
      <c r="E2897">
        <v>100</v>
      </c>
      <c r="F2897" s="65">
        <v>44620</v>
      </c>
    </row>
    <row r="2898" spans="1:6">
      <c r="A2898">
        <v>2897</v>
      </c>
      <c r="B2898" t="s">
        <v>9681</v>
      </c>
      <c r="C2898">
        <v>1000</v>
      </c>
      <c r="D2898">
        <v>0</v>
      </c>
      <c r="E2898">
        <v>50</v>
      </c>
      <c r="F2898" s="61">
        <v>45058</v>
      </c>
    </row>
    <row r="2899" spans="1:6">
      <c r="A2899">
        <v>2898</v>
      </c>
      <c r="B2899" t="s">
        <v>9684</v>
      </c>
      <c r="C2899">
        <v>250</v>
      </c>
      <c r="D2899">
        <v>750</v>
      </c>
      <c r="E2899">
        <v>50</v>
      </c>
      <c r="F2899" s="61">
        <v>44891</v>
      </c>
    </row>
    <row r="2900" spans="1:6">
      <c r="A2900">
        <v>2899</v>
      </c>
      <c r="B2900" t="s">
        <v>9688</v>
      </c>
      <c r="C2900">
        <v>2500</v>
      </c>
      <c r="D2900">
        <v>7500</v>
      </c>
      <c r="E2900">
        <v>500</v>
      </c>
      <c r="F2900" s="67">
        <v>45111</v>
      </c>
    </row>
    <row r="2901" spans="1:6">
      <c r="A2901">
        <v>2900</v>
      </c>
      <c r="B2901" t="s">
        <v>9691</v>
      </c>
      <c r="C2901">
        <v>500</v>
      </c>
      <c r="D2901">
        <v>1500</v>
      </c>
      <c r="E2901">
        <v>100</v>
      </c>
      <c r="F2901" s="61">
        <v>44891</v>
      </c>
    </row>
    <row r="2902" spans="1:6">
      <c r="A2902">
        <v>2901</v>
      </c>
      <c r="B2902" t="s">
        <v>9695</v>
      </c>
      <c r="C2902">
        <v>1000</v>
      </c>
      <c r="D2902">
        <v>1000</v>
      </c>
      <c r="E2902">
        <v>100</v>
      </c>
      <c r="F2902" s="64" t="s">
        <v>16694</v>
      </c>
    </row>
    <row r="2903" spans="1:6">
      <c r="A2903">
        <v>2902</v>
      </c>
      <c r="B2903" t="s">
        <v>9699</v>
      </c>
      <c r="C2903">
        <v>1000</v>
      </c>
      <c r="D2903">
        <v>0</v>
      </c>
      <c r="E2903">
        <v>50</v>
      </c>
      <c r="F2903" s="61">
        <v>44854</v>
      </c>
    </row>
    <row r="2904" spans="1:6">
      <c r="A2904">
        <v>2903</v>
      </c>
      <c r="B2904" t="s">
        <v>9703</v>
      </c>
      <c r="C2904">
        <v>1000</v>
      </c>
      <c r="D2904">
        <v>0</v>
      </c>
      <c r="E2904">
        <v>50</v>
      </c>
      <c r="F2904" s="60">
        <v>45016</v>
      </c>
    </row>
    <row r="2905" spans="1:6">
      <c r="A2905">
        <v>2904</v>
      </c>
      <c r="B2905" t="s">
        <v>9706</v>
      </c>
      <c r="C2905">
        <v>250</v>
      </c>
      <c r="D2905">
        <v>750</v>
      </c>
      <c r="E2905">
        <v>50</v>
      </c>
      <c r="F2905" s="61">
        <v>44807</v>
      </c>
    </row>
    <row r="2906" spans="1:6">
      <c r="A2906">
        <v>2905</v>
      </c>
      <c r="B2906" t="s">
        <v>9709</v>
      </c>
      <c r="C2906">
        <v>250</v>
      </c>
      <c r="D2906">
        <v>750</v>
      </c>
      <c r="E2906">
        <v>50</v>
      </c>
      <c r="F2906" s="60">
        <v>44905</v>
      </c>
    </row>
    <row r="2907" spans="1:6">
      <c r="A2907">
        <v>2906</v>
      </c>
      <c r="B2907" t="s">
        <v>9713</v>
      </c>
      <c r="C2907">
        <v>250</v>
      </c>
      <c r="D2907">
        <v>750</v>
      </c>
      <c r="E2907">
        <v>50</v>
      </c>
      <c r="F2907" s="61">
        <v>44884</v>
      </c>
    </row>
    <row r="2908" spans="1:6">
      <c r="A2908">
        <v>2907</v>
      </c>
      <c r="B2908" t="s">
        <v>9717</v>
      </c>
      <c r="C2908">
        <v>250</v>
      </c>
      <c r="D2908">
        <v>750</v>
      </c>
      <c r="E2908">
        <v>50</v>
      </c>
      <c r="F2908" s="61">
        <v>44929</v>
      </c>
    </row>
    <row r="2909" spans="1:6">
      <c r="A2909">
        <v>2908</v>
      </c>
      <c r="B2909" t="s">
        <v>9721</v>
      </c>
      <c r="C2909">
        <v>3250</v>
      </c>
      <c r="D2909">
        <v>6750</v>
      </c>
      <c r="E2909">
        <v>500</v>
      </c>
      <c r="F2909" s="65">
        <v>44508</v>
      </c>
    </row>
    <row r="2910" ht="15" spans="1:6">
      <c r="A2910">
        <v>2909</v>
      </c>
      <c r="B2910" t="s">
        <v>9725</v>
      </c>
      <c r="C2910">
        <v>1000000</v>
      </c>
      <c r="D2910">
        <v>500000</v>
      </c>
      <c r="E2910" t="s">
        <v>16642</v>
      </c>
      <c r="F2910" s="81">
        <f>IFERROR(__xludf.DUMMYFUNCTION("""COMPUTED_VALUE"""),45077)</f>
        <v>45077</v>
      </c>
    </row>
    <row r="2911" spans="1:6">
      <c r="A2911">
        <v>2910</v>
      </c>
      <c r="B2911" t="s">
        <v>9726</v>
      </c>
      <c r="C2911">
        <v>2500</v>
      </c>
      <c r="D2911">
        <v>7500</v>
      </c>
      <c r="E2911">
        <v>500</v>
      </c>
      <c r="F2911" s="65">
        <v>44631</v>
      </c>
    </row>
    <row r="2912" spans="1:6">
      <c r="A2912">
        <v>2911</v>
      </c>
      <c r="B2912" t="s">
        <v>9730</v>
      </c>
      <c r="C2912">
        <v>1000</v>
      </c>
      <c r="D2912">
        <v>0</v>
      </c>
      <c r="E2912">
        <v>50</v>
      </c>
      <c r="F2912" s="64" t="s">
        <v>16802</v>
      </c>
    </row>
    <row r="2913" spans="1:6">
      <c r="A2913">
        <v>2912</v>
      </c>
      <c r="B2913" t="s">
        <v>9733</v>
      </c>
      <c r="C2913">
        <v>250</v>
      </c>
      <c r="D2913">
        <v>750</v>
      </c>
      <c r="E2913">
        <v>50</v>
      </c>
      <c r="F2913" s="60">
        <v>44807</v>
      </c>
    </row>
    <row r="2914" spans="1:6">
      <c r="A2914">
        <v>2913</v>
      </c>
      <c r="B2914" t="s">
        <v>9736</v>
      </c>
      <c r="C2914">
        <v>30000</v>
      </c>
      <c r="D2914">
        <v>0</v>
      </c>
      <c r="E2914">
        <v>1500</v>
      </c>
      <c r="F2914" s="65">
        <v>44670</v>
      </c>
    </row>
    <row r="2915" spans="1:6">
      <c r="A2915">
        <v>2914</v>
      </c>
      <c r="B2915" t="s">
        <v>9740</v>
      </c>
      <c r="C2915">
        <v>250</v>
      </c>
      <c r="D2915">
        <v>750</v>
      </c>
      <c r="E2915">
        <v>50</v>
      </c>
      <c r="F2915" s="117" t="s">
        <v>16669</v>
      </c>
    </row>
    <row r="2916" ht="15" spans="1:6">
      <c r="A2916">
        <v>2915</v>
      </c>
      <c r="B2916" t="s">
        <v>9743</v>
      </c>
      <c r="C2916">
        <v>1000000</v>
      </c>
      <c r="D2916">
        <v>500000</v>
      </c>
      <c r="E2916" t="s">
        <v>16642</v>
      </c>
      <c r="F2916" s="81">
        <f>IFERROR(__xludf.DUMMYFUNCTION("""COMPUTED_VALUE"""),45084)</f>
        <v>45084</v>
      </c>
    </row>
    <row r="2917" spans="1:6">
      <c r="A2917">
        <v>2916</v>
      </c>
      <c r="B2917" t="s">
        <v>9744</v>
      </c>
      <c r="C2917">
        <v>5000</v>
      </c>
      <c r="D2917">
        <v>0</v>
      </c>
      <c r="E2917">
        <v>250</v>
      </c>
      <c r="F2917" s="64" t="s">
        <v>16803</v>
      </c>
    </row>
    <row r="2918" spans="1:6">
      <c r="A2918">
        <v>2917</v>
      </c>
      <c r="B2918" t="s">
        <v>9748</v>
      </c>
      <c r="C2918">
        <v>250</v>
      </c>
      <c r="D2918">
        <v>750</v>
      </c>
      <c r="E2918">
        <v>50</v>
      </c>
      <c r="F2918" s="77">
        <v>44793</v>
      </c>
    </row>
    <row r="2919" spans="1:6">
      <c r="A2919">
        <v>2918</v>
      </c>
      <c r="B2919" t="s">
        <v>9751</v>
      </c>
      <c r="C2919">
        <v>1000</v>
      </c>
      <c r="D2919">
        <v>0</v>
      </c>
      <c r="E2919">
        <v>50</v>
      </c>
      <c r="F2919" s="60">
        <v>45016</v>
      </c>
    </row>
    <row r="2920" spans="1:6">
      <c r="A2920">
        <v>2919</v>
      </c>
      <c r="B2920" t="s">
        <v>9754</v>
      </c>
      <c r="C2920">
        <v>450</v>
      </c>
      <c r="D2920">
        <v>550</v>
      </c>
      <c r="E2920">
        <v>50</v>
      </c>
      <c r="F2920" s="61">
        <v>44919</v>
      </c>
    </row>
    <row r="2921" spans="1:6">
      <c r="A2921">
        <v>2920</v>
      </c>
      <c r="B2921" t="s">
        <v>9757</v>
      </c>
      <c r="C2921">
        <v>250</v>
      </c>
      <c r="D2921">
        <v>750</v>
      </c>
      <c r="E2921">
        <v>50</v>
      </c>
      <c r="F2921" s="117" t="s">
        <v>16669</v>
      </c>
    </row>
    <row r="2922" spans="1:6">
      <c r="A2922">
        <v>2921</v>
      </c>
      <c r="B2922" t="s">
        <v>9760</v>
      </c>
      <c r="C2922">
        <v>250</v>
      </c>
      <c r="D2922">
        <v>750</v>
      </c>
      <c r="E2922">
        <v>50</v>
      </c>
      <c r="F2922" s="60">
        <v>44921</v>
      </c>
    </row>
    <row r="2923" spans="1:6">
      <c r="A2923">
        <v>2922</v>
      </c>
      <c r="B2923" t="s">
        <v>9763</v>
      </c>
      <c r="C2923">
        <v>250</v>
      </c>
      <c r="D2923">
        <v>750</v>
      </c>
      <c r="E2923">
        <v>50</v>
      </c>
      <c r="F2923" s="61">
        <v>44845</v>
      </c>
    </row>
    <row r="2924" spans="1:6">
      <c r="A2924">
        <v>2923</v>
      </c>
      <c r="B2924" t="s">
        <v>9766</v>
      </c>
      <c r="C2924">
        <v>250</v>
      </c>
      <c r="D2924">
        <v>750</v>
      </c>
      <c r="E2924">
        <v>50</v>
      </c>
      <c r="F2924" s="60">
        <v>44860</v>
      </c>
    </row>
    <row r="2925" spans="1:6">
      <c r="A2925">
        <v>2924</v>
      </c>
      <c r="B2925" t="s">
        <v>9769</v>
      </c>
      <c r="C2925">
        <v>250</v>
      </c>
      <c r="D2925">
        <v>750</v>
      </c>
      <c r="E2925">
        <v>50</v>
      </c>
      <c r="F2925" s="61">
        <v>45001</v>
      </c>
    </row>
    <row r="2926" spans="1:6">
      <c r="A2926">
        <v>2925</v>
      </c>
      <c r="B2926" t="s">
        <v>9772</v>
      </c>
      <c r="C2926">
        <v>3000</v>
      </c>
      <c r="D2926">
        <v>0</v>
      </c>
      <c r="E2926">
        <v>150</v>
      </c>
      <c r="F2926" s="77">
        <v>44811</v>
      </c>
    </row>
    <row r="2927" spans="1:6">
      <c r="A2927">
        <v>2926</v>
      </c>
      <c r="B2927" t="s">
        <v>9775</v>
      </c>
      <c r="C2927">
        <v>250</v>
      </c>
      <c r="D2927">
        <v>750</v>
      </c>
      <c r="E2927">
        <v>50</v>
      </c>
      <c r="F2927" s="61">
        <v>44855</v>
      </c>
    </row>
    <row r="2928" spans="1:6">
      <c r="A2928">
        <v>2927</v>
      </c>
      <c r="B2928" t="s">
        <v>9778</v>
      </c>
      <c r="C2928">
        <v>250</v>
      </c>
      <c r="D2928">
        <v>750</v>
      </c>
      <c r="E2928">
        <v>50</v>
      </c>
      <c r="F2928" s="60">
        <v>45035</v>
      </c>
    </row>
    <row r="2929" spans="1:6">
      <c r="A2929">
        <v>2928</v>
      </c>
      <c r="B2929" t="s">
        <v>9781</v>
      </c>
      <c r="C2929">
        <v>250</v>
      </c>
      <c r="D2929">
        <v>750</v>
      </c>
      <c r="E2929">
        <v>50</v>
      </c>
      <c r="F2929" s="64" t="s">
        <v>16664</v>
      </c>
    </row>
    <row r="2930" spans="1:6">
      <c r="A2930">
        <v>2929</v>
      </c>
      <c r="B2930" t="s">
        <v>9785</v>
      </c>
      <c r="C2930">
        <v>9250</v>
      </c>
      <c r="D2930">
        <v>9250</v>
      </c>
      <c r="E2930">
        <v>925</v>
      </c>
      <c r="F2930" s="65">
        <v>44478</v>
      </c>
    </row>
    <row r="2931" spans="1:6">
      <c r="A2931">
        <v>2930</v>
      </c>
      <c r="B2931" t="s">
        <v>9790</v>
      </c>
      <c r="C2931">
        <v>250</v>
      </c>
      <c r="D2931">
        <v>750</v>
      </c>
      <c r="E2931">
        <v>50</v>
      </c>
      <c r="F2931" s="60">
        <v>44901</v>
      </c>
    </row>
    <row r="2932" spans="1:6">
      <c r="A2932">
        <v>2931</v>
      </c>
      <c r="B2932" t="s">
        <v>9793</v>
      </c>
      <c r="C2932">
        <v>250</v>
      </c>
      <c r="D2932">
        <v>750</v>
      </c>
      <c r="E2932">
        <v>50</v>
      </c>
      <c r="F2932" s="67">
        <v>45191</v>
      </c>
    </row>
    <row r="2933" spans="1:6">
      <c r="A2933">
        <v>2932</v>
      </c>
      <c r="B2933" t="s">
        <v>9796</v>
      </c>
      <c r="C2933">
        <v>250</v>
      </c>
      <c r="D2933">
        <v>750</v>
      </c>
      <c r="E2933">
        <v>50</v>
      </c>
      <c r="F2933" s="60">
        <v>44887</v>
      </c>
    </row>
    <row r="2934" spans="1:6">
      <c r="A2934">
        <v>2933</v>
      </c>
      <c r="B2934" t="s">
        <v>9800</v>
      </c>
      <c r="C2934">
        <v>500</v>
      </c>
      <c r="D2934">
        <v>500</v>
      </c>
      <c r="E2934">
        <v>50</v>
      </c>
      <c r="F2934" s="61">
        <v>44821</v>
      </c>
    </row>
    <row r="2935" spans="1:6">
      <c r="A2935">
        <v>2934</v>
      </c>
      <c r="B2935" t="s">
        <v>9804</v>
      </c>
      <c r="C2935">
        <v>250</v>
      </c>
      <c r="D2935">
        <v>750</v>
      </c>
      <c r="E2935">
        <v>50</v>
      </c>
      <c r="F2935" s="75">
        <v>44754</v>
      </c>
    </row>
    <row r="2936" spans="1:6">
      <c r="A2936">
        <v>2935</v>
      </c>
      <c r="B2936" t="s">
        <v>9807</v>
      </c>
      <c r="C2936">
        <v>250</v>
      </c>
      <c r="D2936">
        <v>750</v>
      </c>
      <c r="E2936">
        <v>50</v>
      </c>
      <c r="F2936" s="69">
        <v>44965</v>
      </c>
    </row>
    <row r="2937" spans="1:6">
      <c r="A2937">
        <v>2936</v>
      </c>
      <c r="B2937" t="s">
        <v>9810</v>
      </c>
      <c r="C2937">
        <v>10000</v>
      </c>
      <c r="D2937">
        <v>0</v>
      </c>
      <c r="E2937">
        <v>500</v>
      </c>
      <c r="F2937" s="64" t="s">
        <v>16774</v>
      </c>
    </row>
    <row r="2938" spans="1:6">
      <c r="A2938">
        <v>2937</v>
      </c>
      <c r="B2938" t="s">
        <v>9815</v>
      </c>
      <c r="C2938">
        <v>250</v>
      </c>
      <c r="D2938">
        <v>750</v>
      </c>
      <c r="E2938">
        <v>50</v>
      </c>
      <c r="F2938" s="60">
        <v>44845</v>
      </c>
    </row>
    <row r="2939" spans="1:6">
      <c r="A2939">
        <v>2938</v>
      </c>
      <c r="B2939" t="s">
        <v>9819</v>
      </c>
      <c r="C2939">
        <v>250</v>
      </c>
      <c r="D2939">
        <v>750</v>
      </c>
      <c r="E2939">
        <v>50</v>
      </c>
      <c r="F2939" s="60">
        <v>44862</v>
      </c>
    </row>
    <row r="2940" spans="1:6">
      <c r="A2940">
        <v>2939</v>
      </c>
      <c r="B2940" t="s">
        <v>9822</v>
      </c>
      <c r="C2940">
        <v>250</v>
      </c>
      <c r="D2940">
        <v>750</v>
      </c>
      <c r="E2940">
        <v>50</v>
      </c>
      <c r="F2940" s="60">
        <v>44887</v>
      </c>
    </row>
    <row r="2941" spans="1:6">
      <c r="A2941">
        <v>2940</v>
      </c>
      <c r="B2941" t="s">
        <v>9825</v>
      </c>
      <c r="C2941">
        <v>100000</v>
      </c>
      <c r="D2941">
        <v>0</v>
      </c>
      <c r="E2941" t="s">
        <v>16642</v>
      </c>
      <c r="F2941" s="66"/>
    </row>
    <row r="2942" spans="1:6">
      <c r="A2942">
        <v>2941</v>
      </c>
      <c r="B2942" t="s">
        <v>9829</v>
      </c>
      <c r="C2942">
        <v>250</v>
      </c>
      <c r="D2942">
        <v>750</v>
      </c>
      <c r="E2942">
        <v>50</v>
      </c>
      <c r="F2942" s="61">
        <v>44873</v>
      </c>
    </row>
    <row r="2943" spans="1:6">
      <c r="A2943">
        <v>2942</v>
      </c>
      <c r="B2943" t="s">
        <v>9833</v>
      </c>
      <c r="C2943">
        <v>1000000</v>
      </c>
      <c r="D2943">
        <v>500000</v>
      </c>
      <c r="E2943" t="s">
        <v>16642</v>
      </c>
      <c r="F2943" s="90">
        <f>IFERROR(__xludf.DUMMYFUNCTION("""COMPUTED_VALUE"""),45064)</f>
        <v>45064</v>
      </c>
    </row>
    <row r="2944" spans="1:6">
      <c r="A2944">
        <v>2943</v>
      </c>
      <c r="B2944" t="s">
        <v>9833</v>
      </c>
      <c r="C2944">
        <v>1000000</v>
      </c>
      <c r="D2944">
        <v>500000</v>
      </c>
      <c r="E2944" t="s">
        <v>16642</v>
      </c>
      <c r="F2944" s="90">
        <f>IFERROR(__xludf.DUMMYFUNCTION("""COMPUTED_VALUE"""),45064)</f>
        <v>45064</v>
      </c>
    </row>
    <row r="2945" spans="1:6">
      <c r="A2945">
        <v>2944</v>
      </c>
      <c r="B2945" t="s">
        <v>9833</v>
      </c>
      <c r="C2945">
        <v>1000000</v>
      </c>
      <c r="D2945">
        <v>500000</v>
      </c>
      <c r="E2945" t="s">
        <v>16642</v>
      </c>
      <c r="F2945" s="90">
        <f>IFERROR(__xludf.DUMMYFUNCTION("""COMPUTED_VALUE"""),45064)</f>
        <v>45064</v>
      </c>
    </row>
    <row r="2946" spans="1:6">
      <c r="A2946">
        <v>2945</v>
      </c>
      <c r="B2946" t="s">
        <v>9833</v>
      </c>
      <c r="C2946">
        <v>1000000</v>
      </c>
      <c r="D2946">
        <v>500000</v>
      </c>
      <c r="E2946" t="s">
        <v>16642</v>
      </c>
      <c r="F2946" s="90">
        <f>IFERROR(__xludf.DUMMYFUNCTION("""COMPUTED_VALUE"""),45064)</f>
        <v>45064</v>
      </c>
    </row>
    <row r="2947" spans="1:6">
      <c r="A2947">
        <v>2946</v>
      </c>
      <c r="B2947" t="s">
        <v>9833</v>
      </c>
      <c r="C2947">
        <v>1000000</v>
      </c>
      <c r="D2947">
        <v>500000</v>
      </c>
      <c r="E2947" t="s">
        <v>16642</v>
      </c>
      <c r="F2947" s="90">
        <f>IFERROR(__xludf.DUMMYFUNCTION("""COMPUTED_VALUE"""),45064)</f>
        <v>45064</v>
      </c>
    </row>
    <row r="2948" spans="1:6">
      <c r="A2948">
        <v>2947</v>
      </c>
      <c r="B2948" t="s">
        <v>9833</v>
      </c>
      <c r="C2948">
        <v>1000000</v>
      </c>
      <c r="D2948">
        <v>500000</v>
      </c>
      <c r="E2948" t="s">
        <v>16642</v>
      </c>
      <c r="F2948" s="90">
        <f>IFERROR(__xludf.DUMMYFUNCTION("""COMPUTED_VALUE"""),45064)</f>
        <v>45064</v>
      </c>
    </row>
    <row r="2949" spans="1:6">
      <c r="A2949">
        <v>2948</v>
      </c>
      <c r="B2949" t="s">
        <v>9834</v>
      </c>
      <c r="C2949">
        <v>250</v>
      </c>
      <c r="D2949">
        <v>750</v>
      </c>
      <c r="E2949">
        <v>50</v>
      </c>
      <c r="F2949" s="62">
        <v>45007</v>
      </c>
    </row>
    <row r="2950" spans="1:6">
      <c r="A2950">
        <v>2949</v>
      </c>
      <c r="B2950" t="s">
        <v>9837</v>
      </c>
      <c r="C2950">
        <v>200000</v>
      </c>
      <c r="D2950">
        <v>0</v>
      </c>
      <c r="E2950">
        <v>10000</v>
      </c>
      <c r="F2950" s="65">
        <v>44481</v>
      </c>
    </row>
    <row r="2951" spans="1:6">
      <c r="A2951">
        <v>2950</v>
      </c>
      <c r="B2951" t="s">
        <v>9842</v>
      </c>
      <c r="C2951">
        <v>20000</v>
      </c>
      <c r="D2951">
        <v>0</v>
      </c>
      <c r="F2951" s="65"/>
    </row>
    <row r="2952" spans="1:6">
      <c r="A2952">
        <v>2951</v>
      </c>
      <c r="B2952" t="s">
        <v>9846</v>
      </c>
      <c r="C2952">
        <v>1000</v>
      </c>
      <c r="D2952">
        <v>0</v>
      </c>
      <c r="E2952">
        <v>50</v>
      </c>
      <c r="F2952" s="101">
        <v>44770</v>
      </c>
    </row>
    <row r="2953" spans="1:6">
      <c r="A2953">
        <v>2952</v>
      </c>
      <c r="B2953" t="s">
        <v>9849</v>
      </c>
      <c r="C2953">
        <v>2500</v>
      </c>
      <c r="D2953">
        <v>7500</v>
      </c>
      <c r="E2953">
        <v>500</v>
      </c>
      <c r="F2953" s="67">
        <v>44994</v>
      </c>
    </row>
    <row r="2954" spans="1:6">
      <c r="A2954">
        <v>2953</v>
      </c>
      <c r="B2954" t="s">
        <v>9852</v>
      </c>
      <c r="C2954">
        <v>250</v>
      </c>
      <c r="D2954">
        <v>750</v>
      </c>
      <c r="E2954">
        <v>50</v>
      </c>
      <c r="F2954" s="60">
        <v>44861</v>
      </c>
    </row>
    <row r="2955" spans="1:6">
      <c r="A2955">
        <v>2954</v>
      </c>
      <c r="B2955" t="s">
        <v>9855</v>
      </c>
      <c r="C2955">
        <v>250</v>
      </c>
      <c r="D2955">
        <v>750</v>
      </c>
      <c r="E2955">
        <v>50</v>
      </c>
      <c r="F2955" s="61">
        <v>44965</v>
      </c>
    </row>
    <row r="2956" spans="1:6">
      <c r="A2956">
        <v>2955</v>
      </c>
      <c r="B2956" t="s">
        <v>9859</v>
      </c>
      <c r="C2956">
        <v>25000</v>
      </c>
      <c r="D2956">
        <v>75000</v>
      </c>
      <c r="E2956">
        <v>5000</v>
      </c>
      <c r="F2956" s="67">
        <v>44963</v>
      </c>
    </row>
    <row r="2957" spans="1:6">
      <c r="A2957">
        <v>2956</v>
      </c>
      <c r="B2957" t="s">
        <v>9862</v>
      </c>
      <c r="C2957">
        <v>250</v>
      </c>
      <c r="D2957">
        <v>750</v>
      </c>
      <c r="E2957">
        <v>50</v>
      </c>
      <c r="F2957" s="75">
        <v>44909</v>
      </c>
    </row>
    <row r="2958" spans="1:6">
      <c r="A2958">
        <v>2957</v>
      </c>
      <c r="B2958" t="s">
        <v>9865</v>
      </c>
      <c r="C2958">
        <v>250</v>
      </c>
      <c r="D2958">
        <v>750</v>
      </c>
      <c r="E2958">
        <v>50</v>
      </c>
      <c r="F2958" s="60">
        <v>44856</v>
      </c>
    </row>
    <row r="2959" spans="1:6">
      <c r="A2959">
        <v>2958</v>
      </c>
      <c r="B2959" t="s">
        <v>9868</v>
      </c>
      <c r="C2959">
        <v>1000</v>
      </c>
      <c r="D2959">
        <v>0</v>
      </c>
      <c r="E2959">
        <v>50</v>
      </c>
      <c r="F2959" s="70">
        <v>44869</v>
      </c>
    </row>
    <row r="2960" spans="1:6">
      <c r="A2960">
        <v>2959</v>
      </c>
      <c r="B2960" t="s">
        <v>9872</v>
      </c>
      <c r="C2960">
        <v>10000</v>
      </c>
      <c r="D2960">
        <v>0</v>
      </c>
      <c r="E2960">
        <v>500</v>
      </c>
      <c r="F2960" s="74">
        <v>44775</v>
      </c>
    </row>
    <row r="2961" spans="1:6">
      <c r="A2961">
        <v>2960</v>
      </c>
      <c r="B2961" t="s">
        <v>9875</v>
      </c>
      <c r="C2961">
        <v>250</v>
      </c>
      <c r="D2961">
        <v>750</v>
      </c>
      <c r="E2961">
        <v>50</v>
      </c>
      <c r="F2961" s="61">
        <v>44917</v>
      </c>
    </row>
    <row r="2962" spans="1:6">
      <c r="A2962">
        <v>2961</v>
      </c>
      <c r="B2962" t="s">
        <v>9878</v>
      </c>
      <c r="C2962">
        <v>100000</v>
      </c>
      <c r="D2962">
        <v>0</v>
      </c>
      <c r="E2962" t="s">
        <v>16642</v>
      </c>
      <c r="F2962" s="100"/>
    </row>
    <row r="2963" spans="1:6">
      <c r="A2963">
        <v>2962</v>
      </c>
      <c r="B2963" t="s">
        <v>9883</v>
      </c>
      <c r="C2963">
        <v>5000</v>
      </c>
      <c r="D2963">
        <v>15000</v>
      </c>
      <c r="E2963">
        <v>1000</v>
      </c>
      <c r="F2963" s="64" t="s">
        <v>16804</v>
      </c>
    </row>
    <row r="2964" spans="1:6">
      <c r="A2964">
        <v>2963</v>
      </c>
      <c r="B2964" t="s">
        <v>9887</v>
      </c>
      <c r="C2964">
        <v>1000</v>
      </c>
      <c r="D2964">
        <v>0</v>
      </c>
      <c r="E2964">
        <v>50</v>
      </c>
      <c r="F2964" s="67">
        <v>0</v>
      </c>
    </row>
    <row r="2965" spans="1:6">
      <c r="A2965">
        <v>2964</v>
      </c>
      <c r="B2965" t="s">
        <v>9890</v>
      </c>
      <c r="C2965">
        <v>300000</v>
      </c>
      <c r="D2965">
        <v>0</v>
      </c>
      <c r="E2965">
        <v>15000</v>
      </c>
      <c r="F2965" s="65">
        <v>44522</v>
      </c>
    </row>
    <row r="2966" spans="1:6">
      <c r="A2966">
        <v>2965</v>
      </c>
      <c r="B2966" t="s">
        <v>9894</v>
      </c>
      <c r="C2966">
        <v>12500</v>
      </c>
      <c r="D2966">
        <v>37500</v>
      </c>
      <c r="E2966">
        <v>2500</v>
      </c>
      <c r="F2966" s="65">
        <v>44561</v>
      </c>
    </row>
    <row r="2967" spans="1:6">
      <c r="A2967">
        <v>2966</v>
      </c>
      <c r="B2967" t="s">
        <v>9897</v>
      </c>
      <c r="C2967">
        <v>2000</v>
      </c>
      <c r="D2967">
        <v>0</v>
      </c>
      <c r="E2967">
        <v>100</v>
      </c>
      <c r="F2967" s="64" t="s">
        <v>16805</v>
      </c>
    </row>
    <row r="2968" spans="1:6">
      <c r="A2968">
        <v>2967</v>
      </c>
      <c r="B2968" t="s">
        <v>9901</v>
      </c>
      <c r="C2968">
        <v>55000</v>
      </c>
      <c r="D2968">
        <v>0</v>
      </c>
      <c r="E2968">
        <v>2750</v>
      </c>
      <c r="F2968" s="67">
        <v>44685</v>
      </c>
    </row>
    <row r="2969" spans="1:6">
      <c r="A2969">
        <v>2968</v>
      </c>
      <c r="B2969" t="s">
        <v>9904</v>
      </c>
      <c r="C2969">
        <v>100000</v>
      </c>
      <c r="D2969">
        <v>0</v>
      </c>
      <c r="E2969" t="s">
        <v>16642</v>
      </c>
      <c r="F2969" s="76">
        <v>45009</v>
      </c>
    </row>
    <row r="2970" spans="1:6">
      <c r="A2970">
        <v>2969</v>
      </c>
      <c r="B2970" t="s">
        <v>9908</v>
      </c>
      <c r="C2970">
        <v>250</v>
      </c>
      <c r="D2970">
        <v>750</v>
      </c>
      <c r="E2970">
        <v>50</v>
      </c>
      <c r="F2970" s="60">
        <v>44888</v>
      </c>
    </row>
    <row r="2971" spans="1:6">
      <c r="A2971">
        <v>2970</v>
      </c>
      <c r="B2971" t="s">
        <v>9912</v>
      </c>
      <c r="C2971">
        <v>1000</v>
      </c>
      <c r="D2971">
        <v>0</v>
      </c>
      <c r="E2971">
        <v>50</v>
      </c>
      <c r="F2971" s="64" t="s">
        <v>16665</v>
      </c>
    </row>
    <row r="2972" spans="1:6">
      <c r="A2972">
        <v>2971</v>
      </c>
      <c r="B2972" t="s">
        <v>9917</v>
      </c>
      <c r="C2972">
        <v>250</v>
      </c>
      <c r="D2972">
        <v>750</v>
      </c>
      <c r="E2972">
        <v>50</v>
      </c>
      <c r="F2972" s="60">
        <v>44998</v>
      </c>
    </row>
    <row r="2973" spans="1:6">
      <c r="A2973">
        <v>2972</v>
      </c>
      <c r="B2973" t="s">
        <v>9920</v>
      </c>
      <c r="C2973">
        <v>250</v>
      </c>
      <c r="D2973">
        <v>750</v>
      </c>
      <c r="E2973">
        <v>50</v>
      </c>
      <c r="F2973" s="60">
        <v>45068</v>
      </c>
    </row>
    <row r="2974" spans="1:6">
      <c r="A2974">
        <v>2973</v>
      </c>
      <c r="B2974" t="s">
        <v>9923</v>
      </c>
      <c r="C2974">
        <v>250</v>
      </c>
      <c r="D2974">
        <v>750</v>
      </c>
      <c r="E2974">
        <v>50</v>
      </c>
      <c r="F2974" s="60">
        <v>44860</v>
      </c>
    </row>
    <row r="2975" spans="1:6">
      <c r="A2975">
        <v>2974</v>
      </c>
      <c r="B2975" t="s">
        <v>9927</v>
      </c>
      <c r="C2975">
        <v>1000</v>
      </c>
      <c r="D2975">
        <v>0</v>
      </c>
      <c r="E2975">
        <v>50</v>
      </c>
      <c r="F2975" s="60">
        <v>44844</v>
      </c>
    </row>
    <row r="2976" spans="1:6">
      <c r="A2976">
        <v>2975</v>
      </c>
      <c r="B2976" t="s">
        <v>9930</v>
      </c>
      <c r="C2976">
        <v>250</v>
      </c>
      <c r="D2976">
        <v>750</v>
      </c>
      <c r="E2976">
        <v>50</v>
      </c>
      <c r="F2976" s="61">
        <v>44914</v>
      </c>
    </row>
    <row r="2977" spans="1:6">
      <c r="A2977">
        <v>2976</v>
      </c>
      <c r="B2977" t="s">
        <v>9933</v>
      </c>
      <c r="C2977">
        <v>150000</v>
      </c>
      <c r="D2977">
        <v>150000</v>
      </c>
      <c r="E2977">
        <v>15000</v>
      </c>
      <c r="F2977" s="65">
        <v>44615</v>
      </c>
    </row>
    <row r="2978" spans="1:6">
      <c r="A2978">
        <v>2977</v>
      </c>
      <c r="B2978" t="s">
        <v>9938</v>
      </c>
      <c r="C2978">
        <v>100000</v>
      </c>
      <c r="D2978">
        <v>0</v>
      </c>
      <c r="E2978" t="s">
        <v>16642</v>
      </c>
      <c r="F2978" s="104"/>
    </row>
    <row r="2979" spans="1:6">
      <c r="A2979">
        <v>2978</v>
      </c>
      <c r="B2979" t="s">
        <v>9940</v>
      </c>
      <c r="C2979">
        <v>1000</v>
      </c>
      <c r="D2979">
        <v>0</v>
      </c>
      <c r="E2979">
        <v>50</v>
      </c>
      <c r="F2979" s="61">
        <v>44868</v>
      </c>
    </row>
    <row r="2980" spans="1:6">
      <c r="A2980">
        <v>2979</v>
      </c>
      <c r="B2980" t="s">
        <v>9943</v>
      </c>
      <c r="C2980">
        <v>250</v>
      </c>
      <c r="D2980">
        <v>750</v>
      </c>
      <c r="E2980">
        <v>50</v>
      </c>
      <c r="F2980" s="61">
        <v>44931</v>
      </c>
    </row>
    <row r="2981" spans="1:6">
      <c r="A2981">
        <v>2980</v>
      </c>
      <c r="B2981" t="s">
        <v>9946</v>
      </c>
      <c r="C2981">
        <v>2000</v>
      </c>
      <c r="D2981">
        <v>0</v>
      </c>
      <c r="E2981">
        <v>100</v>
      </c>
      <c r="F2981" s="64" t="s">
        <v>16649</v>
      </c>
    </row>
    <row r="2982" spans="1:6">
      <c r="A2982">
        <v>2981</v>
      </c>
      <c r="B2982" t="s">
        <v>9950</v>
      </c>
      <c r="C2982">
        <v>1000</v>
      </c>
      <c r="D2982">
        <v>0</v>
      </c>
      <c r="E2982">
        <v>50</v>
      </c>
      <c r="F2982" s="77">
        <v>44903</v>
      </c>
    </row>
    <row r="2983" spans="1:6">
      <c r="A2983">
        <v>2982</v>
      </c>
      <c r="B2983" t="s">
        <v>9953</v>
      </c>
      <c r="C2983">
        <v>1000</v>
      </c>
      <c r="D2983">
        <v>0</v>
      </c>
      <c r="E2983">
        <v>50</v>
      </c>
      <c r="F2983" s="77">
        <v>44903</v>
      </c>
    </row>
    <row r="2984" spans="1:6">
      <c r="A2984">
        <v>2983</v>
      </c>
      <c r="B2984" t="s">
        <v>9956</v>
      </c>
      <c r="C2984">
        <v>1000</v>
      </c>
      <c r="D2984">
        <v>0</v>
      </c>
      <c r="E2984">
        <v>50</v>
      </c>
      <c r="F2984" s="77">
        <v>44903</v>
      </c>
    </row>
    <row r="2985" spans="1:6">
      <c r="A2985">
        <v>2984</v>
      </c>
      <c r="B2985" t="s">
        <v>9959</v>
      </c>
      <c r="C2985">
        <v>10000</v>
      </c>
      <c r="D2985">
        <v>30000</v>
      </c>
      <c r="E2985">
        <v>2000</v>
      </c>
      <c r="F2985" s="83">
        <v>44681</v>
      </c>
    </row>
    <row r="2986" spans="1:6">
      <c r="A2986">
        <v>2985</v>
      </c>
      <c r="B2986" t="s">
        <v>9959</v>
      </c>
      <c r="C2986">
        <v>100000</v>
      </c>
      <c r="D2986">
        <v>0</v>
      </c>
      <c r="E2986" t="s">
        <v>16642</v>
      </c>
      <c r="F2986" s="89"/>
    </row>
    <row r="2987" spans="1:6">
      <c r="A2987">
        <v>2986</v>
      </c>
      <c r="B2987" t="s">
        <v>9963</v>
      </c>
      <c r="C2987">
        <v>250</v>
      </c>
      <c r="D2987">
        <v>750</v>
      </c>
      <c r="E2987">
        <v>50</v>
      </c>
      <c r="F2987" s="69">
        <v>44968</v>
      </c>
    </row>
    <row r="2988" spans="1:6">
      <c r="A2988">
        <v>2987</v>
      </c>
      <c r="B2988" t="s">
        <v>9967</v>
      </c>
      <c r="C2988">
        <v>250</v>
      </c>
      <c r="D2988">
        <v>750</v>
      </c>
      <c r="E2988">
        <v>50</v>
      </c>
      <c r="F2988" s="60">
        <v>44931</v>
      </c>
    </row>
    <row r="2989" ht="15" spans="1:6">
      <c r="A2989">
        <v>2988</v>
      </c>
      <c r="B2989" t="s">
        <v>9970</v>
      </c>
      <c r="C2989">
        <v>1000000</v>
      </c>
      <c r="D2989">
        <v>500000</v>
      </c>
      <c r="E2989" t="s">
        <v>16642</v>
      </c>
      <c r="F2989" s="98">
        <f>IFERROR(__xludf.DUMMYFUNCTION("""COMPUTED_VALUE"""),45079)</f>
        <v>45079</v>
      </c>
    </row>
    <row r="2990" ht="15" spans="1:6">
      <c r="A2990">
        <v>2989</v>
      </c>
      <c r="B2990" t="s">
        <v>9970</v>
      </c>
      <c r="C2990">
        <v>1000000</v>
      </c>
      <c r="D2990">
        <v>500000</v>
      </c>
      <c r="E2990" t="s">
        <v>16642</v>
      </c>
      <c r="F2990" s="98">
        <f>IFERROR(__xludf.DUMMYFUNCTION("""COMPUTED_VALUE"""),45079)</f>
        <v>45079</v>
      </c>
    </row>
    <row r="2991" spans="1:6">
      <c r="A2991">
        <v>2990</v>
      </c>
      <c r="B2991" t="s">
        <v>9971</v>
      </c>
      <c r="C2991">
        <v>100000</v>
      </c>
      <c r="D2991">
        <v>0</v>
      </c>
      <c r="E2991" t="s">
        <v>16642</v>
      </c>
      <c r="F2991" s="66"/>
    </row>
    <row r="2992" ht="15" spans="1:6">
      <c r="A2992">
        <v>2991</v>
      </c>
      <c r="B2992" t="s">
        <v>9976</v>
      </c>
      <c r="C2992">
        <v>1000000</v>
      </c>
      <c r="D2992">
        <v>500000</v>
      </c>
      <c r="E2992" t="s">
        <v>16642</v>
      </c>
      <c r="F2992" s="81">
        <f>IFERROR(__xludf.DUMMYFUNCTION("""COMPUTED_VALUE"""),45083)</f>
        <v>45083</v>
      </c>
    </row>
    <row r="2993" spans="1:6">
      <c r="A2993">
        <v>2992</v>
      </c>
      <c r="B2993" t="s">
        <v>9977</v>
      </c>
      <c r="C2993">
        <v>150000</v>
      </c>
      <c r="D2993">
        <v>0</v>
      </c>
      <c r="E2993">
        <v>7500</v>
      </c>
      <c r="F2993" s="65">
        <v>44401</v>
      </c>
    </row>
    <row r="2994" spans="1:6">
      <c r="A2994">
        <v>2993</v>
      </c>
      <c r="B2994" t="s">
        <v>9981</v>
      </c>
      <c r="C2994">
        <v>100000</v>
      </c>
      <c r="D2994">
        <v>0</v>
      </c>
      <c r="F2994" s="65">
        <v>44298</v>
      </c>
    </row>
    <row r="2995" spans="1:6">
      <c r="A2995">
        <v>2994</v>
      </c>
      <c r="B2995" t="s">
        <v>9986</v>
      </c>
      <c r="C2995">
        <v>7500</v>
      </c>
      <c r="D2995">
        <v>22500</v>
      </c>
      <c r="E2995">
        <v>1500</v>
      </c>
      <c r="F2995" s="79">
        <v>44939</v>
      </c>
    </row>
    <row r="2996" spans="1:6">
      <c r="A2996">
        <v>2995</v>
      </c>
      <c r="B2996" t="s">
        <v>9989</v>
      </c>
      <c r="C2996">
        <v>250</v>
      </c>
      <c r="D2996">
        <v>750</v>
      </c>
      <c r="E2996">
        <v>50</v>
      </c>
      <c r="F2996" s="69">
        <v>45291</v>
      </c>
    </row>
    <row r="2997" spans="1:6">
      <c r="A2997">
        <v>2996</v>
      </c>
      <c r="B2997" t="s">
        <v>9992</v>
      </c>
      <c r="C2997">
        <v>1000000</v>
      </c>
      <c r="D2997">
        <v>500000</v>
      </c>
      <c r="E2997" t="s">
        <v>16642</v>
      </c>
      <c r="F2997" s="80">
        <f>IFERROR(__xludf.DUMMYFUNCTION("""COMPUTED_VALUE"""),45080)</f>
        <v>45080</v>
      </c>
    </row>
    <row r="2998" spans="1:6">
      <c r="A2998">
        <v>2997</v>
      </c>
      <c r="B2998" t="s">
        <v>9993</v>
      </c>
      <c r="C2998">
        <v>10000</v>
      </c>
      <c r="D2998">
        <v>0</v>
      </c>
      <c r="E2998">
        <v>500</v>
      </c>
      <c r="F2998" s="77">
        <v>44806</v>
      </c>
    </row>
    <row r="2999" spans="1:6">
      <c r="A2999">
        <v>2998</v>
      </c>
      <c r="B2999" t="s">
        <v>9996</v>
      </c>
      <c r="C2999">
        <v>50000</v>
      </c>
      <c r="D2999">
        <v>0</v>
      </c>
      <c r="E2999">
        <v>2500</v>
      </c>
      <c r="F2999" s="65">
        <v>44685</v>
      </c>
    </row>
    <row r="3000" spans="1:6">
      <c r="A3000">
        <v>2999</v>
      </c>
      <c r="B3000" t="s">
        <v>10000</v>
      </c>
      <c r="C3000">
        <v>250</v>
      </c>
      <c r="D3000">
        <v>750</v>
      </c>
      <c r="E3000">
        <v>50</v>
      </c>
      <c r="F3000" s="61">
        <v>44923</v>
      </c>
    </row>
    <row r="3001" spans="1:6">
      <c r="A3001">
        <v>3000</v>
      </c>
      <c r="B3001" t="s">
        <v>10003</v>
      </c>
      <c r="C3001">
        <v>8000</v>
      </c>
      <c r="D3001">
        <v>0</v>
      </c>
      <c r="E3001">
        <v>400</v>
      </c>
      <c r="F3001" s="77">
        <v>44844</v>
      </c>
    </row>
    <row r="3002" spans="1:6">
      <c r="A3002">
        <v>3001</v>
      </c>
      <c r="B3002" t="s">
        <v>10006</v>
      </c>
      <c r="C3002">
        <v>10000</v>
      </c>
      <c r="D3002">
        <v>0</v>
      </c>
      <c r="E3002">
        <v>500</v>
      </c>
      <c r="F3002" s="64" t="s">
        <v>16806</v>
      </c>
    </row>
    <row r="3003" spans="1:6">
      <c r="A3003">
        <v>3002</v>
      </c>
      <c r="B3003" t="s">
        <v>10010</v>
      </c>
      <c r="C3003">
        <v>10000</v>
      </c>
      <c r="D3003">
        <v>0</v>
      </c>
      <c r="E3003">
        <v>500</v>
      </c>
      <c r="F3003" s="64" t="s">
        <v>16806</v>
      </c>
    </row>
    <row r="3004" spans="1:6">
      <c r="A3004">
        <v>3003</v>
      </c>
      <c r="B3004" t="s">
        <v>10014</v>
      </c>
      <c r="C3004">
        <v>250</v>
      </c>
      <c r="D3004">
        <v>750</v>
      </c>
      <c r="E3004">
        <v>50</v>
      </c>
      <c r="F3004" s="61">
        <v>44924</v>
      </c>
    </row>
    <row r="3005" spans="1:6">
      <c r="A3005">
        <v>3004</v>
      </c>
      <c r="B3005" t="s">
        <v>10017</v>
      </c>
      <c r="C3005">
        <v>2500</v>
      </c>
      <c r="D3005">
        <v>2500</v>
      </c>
      <c r="E3005">
        <v>250</v>
      </c>
      <c r="F3005" s="77">
        <v>44849</v>
      </c>
    </row>
    <row r="3006" ht="15" spans="1:6">
      <c r="A3006">
        <v>3005</v>
      </c>
      <c r="B3006" t="s">
        <v>10020</v>
      </c>
      <c r="C3006">
        <v>1000000</v>
      </c>
      <c r="D3006">
        <v>500000</v>
      </c>
      <c r="E3006" t="s">
        <v>16642</v>
      </c>
      <c r="F3006" s="81">
        <f>IFERROR(__xludf.DUMMYFUNCTION("""COMPUTED_VALUE"""),45078)</f>
        <v>45078</v>
      </c>
    </row>
    <row r="3007" ht="15" spans="1:6">
      <c r="A3007">
        <v>3006</v>
      </c>
      <c r="B3007" t="s">
        <v>10021</v>
      </c>
      <c r="C3007">
        <v>1000000</v>
      </c>
      <c r="D3007">
        <v>500000</v>
      </c>
      <c r="E3007" t="s">
        <v>16642</v>
      </c>
      <c r="F3007" s="88">
        <f>IFERROR(__xludf.DUMMYFUNCTION("""COMPUTED_VALUE"""),45082)</f>
        <v>45082</v>
      </c>
    </row>
    <row r="3008" spans="1:6">
      <c r="A3008">
        <v>3007</v>
      </c>
      <c r="B3008" t="s">
        <v>10022</v>
      </c>
      <c r="C3008">
        <v>2000</v>
      </c>
      <c r="D3008">
        <v>0</v>
      </c>
      <c r="E3008">
        <v>100</v>
      </c>
      <c r="F3008" s="67">
        <v>44531</v>
      </c>
    </row>
    <row r="3009" spans="1:6">
      <c r="A3009">
        <v>3008</v>
      </c>
      <c r="B3009" t="s">
        <v>10025</v>
      </c>
      <c r="C3009">
        <v>100000</v>
      </c>
      <c r="D3009">
        <v>0</v>
      </c>
      <c r="E3009" t="s">
        <v>16642</v>
      </c>
      <c r="F3009" s="104"/>
    </row>
    <row r="3010" spans="1:6">
      <c r="A3010">
        <v>3009</v>
      </c>
      <c r="B3010" t="s">
        <v>10029</v>
      </c>
      <c r="C3010">
        <v>5000</v>
      </c>
      <c r="D3010">
        <v>0</v>
      </c>
      <c r="E3010">
        <v>250</v>
      </c>
      <c r="F3010" s="65">
        <v>44666</v>
      </c>
    </row>
    <row r="3011" ht="15" spans="1:6">
      <c r="A3011">
        <v>3010</v>
      </c>
      <c r="B3011" t="s">
        <v>10033</v>
      </c>
      <c r="C3011">
        <v>1500000</v>
      </c>
      <c r="D3011">
        <v>0</v>
      </c>
      <c r="E3011" t="s">
        <v>16642</v>
      </c>
      <c r="F3011" s="98">
        <f>IFERROR(__xludf.DUMMYFUNCTION("""COMPUTED_VALUE"""),45079)</f>
        <v>45079</v>
      </c>
    </row>
    <row r="3012" spans="1:6">
      <c r="A3012">
        <v>3011</v>
      </c>
      <c r="B3012" t="s">
        <v>10033</v>
      </c>
      <c r="C3012">
        <v>1000000</v>
      </c>
      <c r="D3012">
        <v>500000</v>
      </c>
      <c r="E3012" t="s">
        <v>16642</v>
      </c>
      <c r="F3012" s="90">
        <f>IFERROR(__xludf.DUMMYFUNCTION("""COMPUTED_VALUE"""),45080)</f>
        <v>45080</v>
      </c>
    </row>
    <row r="3013" spans="1:6">
      <c r="A3013">
        <v>3012</v>
      </c>
      <c r="B3013" t="s">
        <v>10034</v>
      </c>
      <c r="C3013">
        <v>100000</v>
      </c>
      <c r="D3013">
        <v>0</v>
      </c>
      <c r="E3013" t="s">
        <v>16642</v>
      </c>
      <c r="F3013" s="82">
        <v>44811</v>
      </c>
    </row>
    <row r="3014" ht="31.5" spans="1:6">
      <c r="A3014">
        <v>3013</v>
      </c>
      <c r="B3014" t="s">
        <v>10039</v>
      </c>
      <c r="C3014">
        <v>10000</v>
      </c>
      <c r="D3014">
        <v>0</v>
      </c>
      <c r="E3014">
        <v>500</v>
      </c>
      <c r="F3014" s="135" t="s">
        <v>16807</v>
      </c>
    </row>
    <row r="3015" spans="1:6">
      <c r="A3015">
        <v>3014</v>
      </c>
      <c r="B3015" t="s">
        <v>10043</v>
      </c>
      <c r="C3015">
        <v>100000</v>
      </c>
      <c r="D3015">
        <v>0</v>
      </c>
      <c r="E3015" t="s">
        <v>16642</v>
      </c>
      <c r="F3015" s="82">
        <v>44786</v>
      </c>
    </row>
    <row r="3016" spans="1:6">
      <c r="A3016">
        <v>3015</v>
      </c>
      <c r="B3016" t="s">
        <v>10048</v>
      </c>
      <c r="C3016">
        <v>250</v>
      </c>
      <c r="D3016">
        <v>750</v>
      </c>
      <c r="E3016">
        <v>50</v>
      </c>
      <c r="F3016" s="77">
        <v>44793</v>
      </c>
    </row>
    <row r="3017" spans="1:6">
      <c r="A3017">
        <v>3016</v>
      </c>
      <c r="B3017" t="s">
        <v>10051</v>
      </c>
      <c r="C3017">
        <v>2500</v>
      </c>
      <c r="D3017">
        <v>7500</v>
      </c>
      <c r="E3017">
        <v>500</v>
      </c>
      <c r="F3017" s="64" t="s">
        <v>16808</v>
      </c>
    </row>
    <row r="3018" spans="1:6">
      <c r="A3018">
        <v>3017</v>
      </c>
      <c r="B3018" t="s">
        <v>10055</v>
      </c>
      <c r="C3018">
        <v>26000</v>
      </c>
      <c r="D3018">
        <v>74000</v>
      </c>
      <c r="E3018">
        <v>5000</v>
      </c>
      <c r="F3018" s="64" t="s">
        <v>16808</v>
      </c>
    </row>
    <row r="3019" spans="1:6">
      <c r="A3019">
        <v>3018</v>
      </c>
      <c r="B3019" t="s">
        <v>10059</v>
      </c>
      <c r="C3019">
        <v>2500</v>
      </c>
      <c r="D3019">
        <v>7500</v>
      </c>
      <c r="E3019">
        <v>500</v>
      </c>
      <c r="F3019" s="64" t="s">
        <v>16808</v>
      </c>
    </row>
    <row r="3020" spans="1:6">
      <c r="A3020">
        <v>3019</v>
      </c>
      <c r="B3020" t="s">
        <v>10063</v>
      </c>
      <c r="C3020">
        <v>50000</v>
      </c>
      <c r="D3020">
        <v>0</v>
      </c>
      <c r="F3020" s="65"/>
    </row>
    <row r="3021" spans="1:6">
      <c r="A3021">
        <v>3020</v>
      </c>
      <c r="B3021" t="s">
        <v>10068</v>
      </c>
      <c r="C3021">
        <v>2500</v>
      </c>
      <c r="D3021">
        <v>7500</v>
      </c>
      <c r="E3021">
        <v>500</v>
      </c>
      <c r="F3021" s="79">
        <v>44943</v>
      </c>
    </row>
    <row r="3022" spans="1:6">
      <c r="A3022">
        <v>3021</v>
      </c>
      <c r="B3022" t="s">
        <v>10071</v>
      </c>
      <c r="C3022">
        <v>100000</v>
      </c>
      <c r="D3022">
        <v>0</v>
      </c>
      <c r="E3022" t="s">
        <v>16642</v>
      </c>
      <c r="F3022" s="76">
        <v>44872</v>
      </c>
    </row>
    <row r="3023" spans="1:6">
      <c r="A3023">
        <v>3022</v>
      </c>
      <c r="B3023" t="s">
        <v>10076</v>
      </c>
      <c r="C3023">
        <v>100000</v>
      </c>
      <c r="D3023">
        <v>0</v>
      </c>
      <c r="E3023">
        <v>5000</v>
      </c>
      <c r="F3023" s="64" t="s">
        <v>16809</v>
      </c>
    </row>
    <row r="3024" spans="1:6">
      <c r="A3024">
        <v>3023</v>
      </c>
      <c r="B3024" t="s">
        <v>10080</v>
      </c>
      <c r="C3024">
        <v>100000</v>
      </c>
      <c r="D3024">
        <v>0</v>
      </c>
      <c r="E3024" t="s">
        <v>16642</v>
      </c>
      <c r="F3024" s="100"/>
    </row>
    <row r="3025" spans="1:6">
      <c r="A3025">
        <v>3024</v>
      </c>
      <c r="B3025" t="s">
        <v>10084</v>
      </c>
      <c r="C3025">
        <v>100000</v>
      </c>
      <c r="D3025">
        <v>0</v>
      </c>
      <c r="E3025" t="s">
        <v>16642</v>
      </c>
      <c r="F3025" s="76">
        <v>44875</v>
      </c>
    </row>
    <row r="3026" spans="1:6">
      <c r="A3026">
        <v>3025</v>
      </c>
      <c r="B3026" t="s">
        <v>10086</v>
      </c>
      <c r="C3026">
        <v>10000</v>
      </c>
      <c r="D3026">
        <v>0</v>
      </c>
      <c r="E3026">
        <v>500</v>
      </c>
      <c r="F3026" s="64" t="s">
        <v>16810</v>
      </c>
    </row>
    <row r="3027" spans="1:6">
      <c r="A3027">
        <v>3026</v>
      </c>
      <c r="B3027" t="s">
        <v>10090</v>
      </c>
      <c r="C3027">
        <v>10000</v>
      </c>
      <c r="D3027">
        <v>10000</v>
      </c>
      <c r="E3027">
        <v>1000</v>
      </c>
      <c r="F3027" s="74">
        <v>44725</v>
      </c>
    </row>
    <row r="3028" spans="1:6">
      <c r="A3028">
        <v>3027</v>
      </c>
      <c r="B3028" t="s">
        <v>10093</v>
      </c>
      <c r="C3028">
        <v>250</v>
      </c>
      <c r="D3028">
        <v>750</v>
      </c>
      <c r="E3028">
        <v>50</v>
      </c>
      <c r="F3028" s="61">
        <v>44923</v>
      </c>
    </row>
    <row r="3029" spans="1:6">
      <c r="A3029">
        <v>3028</v>
      </c>
      <c r="B3029" t="s">
        <v>10097</v>
      </c>
      <c r="C3029">
        <v>250</v>
      </c>
      <c r="D3029">
        <v>750</v>
      </c>
      <c r="E3029">
        <v>50</v>
      </c>
      <c r="F3029" s="61">
        <v>44931</v>
      </c>
    </row>
    <row r="3030" spans="1:6">
      <c r="A3030">
        <v>3029</v>
      </c>
      <c r="B3030" t="s">
        <v>10101</v>
      </c>
      <c r="C3030">
        <v>100000</v>
      </c>
      <c r="D3030">
        <v>0</v>
      </c>
      <c r="E3030" t="s">
        <v>16642</v>
      </c>
      <c r="F3030" s="66"/>
    </row>
    <row r="3031" spans="1:6">
      <c r="A3031">
        <v>3030</v>
      </c>
      <c r="B3031" t="s">
        <v>10105</v>
      </c>
      <c r="C3031">
        <v>1250</v>
      </c>
      <c r="D3031">
        <v>3750</v>
      </c>
      <c r="E3031">
        <v>250</v>
      </c>
      <c r="F3031" s="64" t="s">
        <v>16686</v>
      </c>
    </row>
    <row r="3032" spans="1:6">
      <c r="A3032">
        <v>3031</v>
      </c>
      <c r="B3032" t="s">
        <v>10109</v>
      </c>
      <c r="C3032">
        <v>300000</v>
      </c>
      <c r="D3032">
        <v>0</v>
      </c>
      <c r="E3032" t="s">
        <v>16642</v>
      </c>
      <c r="F3032" s="82">
        <v>44781</v>
      </c>
    </row>
    <row r="3033" ht="31.5" spans="1:6">
      <c r="A3033">
        <v>3032</v>
      </c>
      <c r="B3033" t="s">
        <v>10113</v>
      </c>
      <c r="C3033">
        <v>200000</v>
      </c>
      <c r="D3033">
        <v>0</v>
      </c>
      <c r="E3033" t="s">
        <v>16642</v>
      </c>
      <c r="F3033" s="76" t="s">
        <v>16811</v>
      </c>
    </row>
    <row r="3034" spans="1:6">
      <c r="A3034">
        <v>3033</v>
      </c>
      <c r="B3034" t="s">
        <v>10117</v>
      </c>
      <c r="C3034">
        <v>1000</v>
      </c>
      <c r="D3034">
        <v>0</v>
      </c>
      <c r="E3034">
        <v>50</v>
      </c>
      <c r="F3034" s="65">
        <v>44707</v>
      </c>
    </row>
    <row r="3035" spans="1:6">
      <c r="A3035">
        <v>3034</v>
      </c>
      <c r="B3035" t="s">
        <v>10121</v>
      </c>
      <c r="C3035">
        <v>100000</v>
      </c>
      <c r="D3035">
        <v>0</v>
      </c>
      <c r="E3035" t="s">
        <v>16642</v>
      </c>
      <c r="F3035" s="66"/>
    </row>
    <row r="3036" spans="1:6">
      <c r="A3036">
        <v>3035</v>
      </c>
      <c r="B3036" t="s">
        <v>10126</v>
      </c>
      <c r="C3036">
        <v>250</v>
      </c>
      <c r="D3036">
        <v>750</v>
      </c>
      <c r="E3036">
        <v>50</v>
      </c>
      <c r="F3036" s="60">
        <v>44807</v>
      </c>
    </row>
    <row r="3037" spans="1:6">
      <c r="A3037">
        <v>3036</v>
      </c>
      <c r="B3037" t="s">
        <v>10129</v>
      </c>
      <c r="C3037">
        <v>250</v>
      </c>
      <c r="D3037">
        <v>750</v>
      </c>
      <c r="E3037">
        <v>50</v>
      </c>
      <c r="F3037" s="78">
        <v>45291</v>
      </c>
    </row>
    <row r="3038" spans="1:6">
      <c r="A3038">
        <v>3037</v>
      </c>
      <c r="B3038" t="s">
        <v>10132</v>
      </c>
      <c r="C3038">
        <v>32500</v>
      </c>
      <c r="D3038">
        <v>0</v>
      </c>
      <c r="E3038">
        <v>1625</v>
      </c>
      <c r="F3038" s="64" t="s">
        <v>16716</v>
      </c>
    </row>
    <row r="3039" spans="1:6">
      <c r="A3039">
        <v>3038</v>
      </c>
      <c r="B3039" t="s">
        <v>10137</v>
      </c>
      <c r="C3039">
        <v>100000</v>
      </c>
      <c r="D3039">
        <v>0</v>
      </c>
      <c r="E3039" t="s">
        <v>16642</v>
      </c>
      <c r="F3039" s="76">
        <v>44904</v>
      </c>
    </row>
    <row r="3040" spans="1:6">
      <c r="A3040">
        <v>3039</v>
      </c>
      <c r="B3040" t="s">
        <v>10141</v>
      </c>
      <c r="C3040">
        <v>33000</v>
      </c>
      <c r="D3040">
        <v>13000</v>
      </c>
      <c r="E3040">
        <v>1000</v>
      </c>
      <c r="F3040" s="101">
        <v>44716</v>
      </c>
    </row>
    <row r="3041" spans="1:6">
      <c r="A3041">
        <v>3040</v>
      </c>
      <c r="B3041" t="s">
        <v>10145</v>
      </c>
      <c r="C3041">
        <v>17000</v>
      </c>
      <c r="D3041">
        <v>10000</v>
      </c>
      <c r="E3041">
        <v>350</v>
      </c>
      <c r="F3041" s="101">
        <v>44716</v>
      </c>
    </row>
    <row r="3042" spans="1:6">
      <c r="A3042">
        <v>3041</v>
      </c>
      <c r="B3042" t="s">
        <v>10149</v>
      </c>
      <c r="C3042">
        <v>20000</v>
      </c>
      <c r="D3042">
        <v>0</v>
      </c>
      <c r="E3042">
        <v>1000</v>
      </c>
      <c r="F3042" s="79">
        <v>44784</v>
      </c>
    </row>
    <row r="3043" spans="1:6">
      <c r="A3043">
        <v>3042</v>
      </c>
      <c r="B3043" t="s">
        <v>10152</v>
      </c>
      <c r="C3043">
        <v>250</v>
      </c>
      <c r="D3043">
        <v>750</v>
      </c>
      <c r="E3043">
        <v>50</v>
      </c>
      <c r="F3043" s="61">
        <v>44902</v>
      </c>
    </row>
    <row r="3044" spans="1:6">
      <c r="A3044">
        <v>3043</v>
      </c>
      <c r="B3044" t="s">
        <v>10155</v>
      </c>
      <c r="C3044">
        <v>250</v>
      </c>
      <c r="D3044">
        <v>750</v>
      </c>
      <c r="E3044">
        <v>50</v>
      </c>
      <c r="F3044" s="70">
        <v>44865</v>
      </c>
    </row>
    <row r="3045" spans="1:6">
      <c r="A3045">
        <v>3044</v>
      </c>
      <c r="B3045" t="s">
        <v>10158</v>
      </c>
      <c r="C3045">
        <v>250</v>
      </c>
      <c r="D3045">
        <v>750</v>
      </c>
      <c r="E3045">
        <v>50</v>
      </c>
      <c r="F3045" s="70">
        <v>44894</v>
      </c>
    </row>
    <row r="3046" spans="1:6">
      <c r="A3046">
        <v>3045</v>
      </c>
      <c r="B3046" t="s">
        <v>10162</v>
      </c>
      <c r="C3046">
        <v>250</v>
      </c>
      <c r="D3046">
        <v>750</v>
      </c>
      <c r="E3046">
        <v>50</v>
      </c>
      <c r="F3046" s="60">
        <v>44965</v>
      </c>
    </row>
    <row r="3047" spans="1:6">
      <c r="A3047">
        <v>3046</v>
      </c>
      <c r="B3047" t="s">
        <v>10165</v>
      </c>
      <c r="C3047">
        <v>250</v>
      </c>
      <c r="D3047">
        <v>750</v>
      </c>
      <c r="E3047">
        <v>50</v>
      </c>
      <c r="F3047" s="61">
        <v>44866</v>
      </c>
    </row>
    <row r="3048" spans="1:6">
      <c r="A3048">
        <v>3047</v>
      </c>
      <c r="B3048" t="s">
        <v>10169</v>
      </c>
      <c r="C3048">
        <v>250</v>
      </c>
      <c r="D3048">
        <v>750</v>
      </c>
      <c r="E3048">
        <v>50</v>
      </c>
      <c r="F3048" s="60">
        <v>44879</v>
      </c>
    </row>
    <row r="3049" spans="1:6">
      <c r="A3049">
        <v>3048</v>
      </c>
      <c r="B3049" t="s">
        <v>10173</v>
      </c>
      <c r="C3049">
        <v>250</v>
      </c>
      <c r="D3049">
        <v>750</v>
      </c>
      <c r="E3049">
        <v>50</v>
      </c>
      <c r="F3049" s="60">
        <v>45057</v>
      </c>
    </row>
    <row r="3050" spans="1:6">
      <c r="A3050">
        <v>3049</v>
      </c>
      <c r="B3050" t="s">
        <v>10176</v>
      </c>
      <c r="C3050">
        <v>250</v>
      </c>
      <c r="D3050">
        <v>750</v>
      </c>
      <c r="E3050">
        <v>50</v>
      </c>
      <c r="F3050" s="61">
        <v>44893</v>
      </c>
    </row>
    <row r="3051" spans="1:6">
      <c r="A3051">
        <v>3050</v>
      </c>
      <c r="B3051" t="s">
        <v>10179</v>
      </c>
      <c r="C3051">
        <v>250</v>
      </c>
      <c r="D3051">
        <v>750</v>
      </c>
      <c r="E3051">
        <v>50</v>
      </c>
      <c r="F3051" s="60">
        <v>45019</v>
      </c>
    </row>
    <row r="3052" spans="1:6">
      <c r="A3052">
        <v>3051</v>
      </c>
      <c r="B3052" t="s">
        <v>10182</v>
      </c>
      <c r="C3052">
        <v>250</v>
      </c>
      <c r="D3052">
        <v>750</v>
      </c>
      <c r="E3052">
        <v>50</v>
      </c>
      <c r="F3052" s="61">
        <v>44897</v>
      </c>
    </row>
    <row r="3053" spans="1:6">
      <c r="A3053">
        <v>3052</v>
      </c>
      <c r="B3053" t="s">
        <v>10185</v>
      </c>
      <c r="C3053">
        <v>250</v>
      </c>
      <c r="D3053">
        <v>750</v>
      </c>
      <c r="E3053">
        <v>50</v>
      </c>
      <c r="F3053" s="61">
        <v>44887</v>
      </c>
    </row>
    <row r="3054" spans="1:6">
      <c r="A3054">
        <v>3053</v>
      </c>
      <c r="B3054" t="s">
        <v>10188</v>
      </c>
      <c r="C3054">
        <v>250</v>
      </c>
      <c r="D3054">
        <v>750</v>
      </c>
      <c r="E3054">
        <v>50</v>
      </c>
      <c r="F3054" s="61">
        <v>44854</v>
      </c>
    </row>
    <row r="3055" spans="1:6">
      <c r="A3055">
        <v>3054</v>
      </c>
      <c r="B3055" t="s">
        <v>10191</v>
      </c>
      <c r="C3055">
        <v>250</v>
      </c>
      <c r="D3055">
        <v>750</v>
      </c>
      <c r="E3055">
        <v>50</v>
      </c>
      <c r="F3055" s="117" t="s">
        <v>16669</v>
      </c>
    </row>
    <row r="3056" spans="1:6">
      <c r="A3056">
        <v>3055</v>
      </c>
      <c r="B3056" t="s">
        <v>10194</v>
      </c>
      <c r="C3056">
        <v>250</v>
      </c>
      <c r="D3056">
        <v>750</v>
      </c>
      <c r="E3056">
        <v>50</v>
      </c>
      <c r="F3056" s="60">
        <v>44858</v>
      </c>
    </row>
    <row r="3057" spans="1:6">
      <c r="A3057">
        <v>3056</v>
      </c>
      <c r="B3057" t="s">
        <v>10197</v>
      </c>
      <c r="C3057">
        <v>250</v>
      </c>
      <c r="D3057">
        <v>750</v>
      </c>
      <c r="E3057">
        <v>50</v>
      </c>
      <c r="F3057" s="61">
        <v>44897</v>
      </c>
    </row>
    <row r="3058" spans="1:6">
      <c r="A3058">
        <v>3057</v>
      </c>
      <c r="B3058" t="s">
        <v>10200</v>
      </c>
      <c r="C3058">
        <v>250</v>
      </c>
      <c r="D3058">
        <v>750</v>
      </c>
      <c r="E3058">
        <v>50</v>
      </c>
      <c r="F3058" s="60">
        <v>44865</v>
      </c>
    </row>
    <row r="3059" spans="1:6">
      <c r="A3059">
        <v>3058</v>
      </c>
      <c r="B3059" t="s">
        <v>10204</v>
      </c>
      <c r="C3059">
        <v>250</v>
      </c>
      <c r="D3059">
        <v>750</v>
      </c>
      <c r="E3059">
        <v>50</v>
      </c>
      <c r="F3059" s="61">
        <v>44951</v>
      </c>
    </row>
    <row r="3060" spans="1:6">
      <c r="A3060">
        <v>3059</v>
      </c>
      <c r="B3060" t="s">
        <v>10207</v>
      </c>
      <c r="C3060">
        <v>250</v>
      </c>
      <c r="D3060">
        <v>750</v>
      </c>
      <c r="E3060">
        <v>50</v>
      </c>
      <c r="F3060" s="60">
        <v>44835</v>
      </c>
    </row>
    <row r="3061" spans="1:6">
      <c r="A3061">
        <v>3060</v>
      </c>
      <c r="B3061" t="s">
        <v>10210</v>
      </c>
      <c r="C3061">
        <v>1000</v>
      </c>
      <c r="D3061">
        <v>0</v>
      </c>
      <c r="E3061">
        <v>50</v>
      </c>
      <c r="F3061" s="61">
        <v>45062</v>
      </c>
    </row>
    <row r="3062" spans="1:6">
      <c r="A3062">
        <v>3061</v>
      </c>
      <c r="B3062" t="s">
        <v>10213</v>
      </c>
      <c r="C3062">
        <v>250</v>
      </c>
      <c r="D3062">
        <v>750</v>
      </c>
      <c r="E3062">
        <v>50</v>
      </c>
      <c r="F3062" s="61">
        <v>45015</v>
      </c>
    </row>
    <row r="3063" spans="1:6">
      <c r="A3063">
        <v>3062</v>
      </c>
      <c r="B3063" t="s">
        <v>10216</v>
      </c>
      <c r="C3063">
        <v>250</v>
      </c>
      <c r="D3063">
        <v>750</v>
      </c>
      <c r="E3063">
        <v>50</v>
      </c>
      <c r="F3063" s="73">
        <v>45283</v>
      </c>
    </row>
    <row r="3064" spans="1:6">
      <c r="A3064">
        <v>3063</v>
      </c>
      <c r="B3064" t="s">
        <v>10220</v>
      </c>
      <c r="C3064">
        <v>250</v>
      </c>
      <c r="D3064">
        <v>750</v>
      </c>
      <c r="E3064">
        <v>50</v>
      </c>
      <c r="F3064" s="75">
        <v>44877</v>
      </c>
    </row>
    <row r="3065" spans="1:6">
      <c r="A3065">
        <v>3064</v>
      </c>
      <c r="B3065" t="s">
        <v>10223</v>
      </c>
      <c r="C3065">
        <v>1000</v>
      </c>
      <c r="D3065">
        <v>0</v>
      </c>
      <c r="E3065">
        <v>50</v>
      </c>
      <c r="F3065" s="67">
        <v>45113</v>
      </c>
    </row>
    <row r="3066" spans="1:6">
      <c r="A3066">
        <v>3065</v>
      </c>
      <c r="B3066" t="s">
        <v>10226</v>
      </c>
      <c r="C3066">
        <v>250</v>
      </c>
      <c r="D3066">
        <v>750</v>
      </c>
      <c r="E3066">
        <v>50</v>
      </c>
      <c r="F3066" s="61">
        <v>44975</v>
      </c>
    </row>
    <row r="3067" spans="1:6">
      <c r="A3067">
        <v>3066</v>
      </c>
      <c r="B3067" t="s">
        <v>10229</v>
      </c>
      <c r="C3067">
        <v>250</v>
      </c>
      <c r="D3067">
        <v>750</v>
      </c>
      <c r="E3067">
        <v>50</v>
      </c>
      <c r="F3067" s="70">
        <v>44875</v>
      </c>
    </row>
    <row r="3068" spans="1:6">
      <c r="A3068">
        <v>3067</v>
      </c>
      <c r="B3068" t="s">
        <v>10233</v>
      </c>
      <c r="C3068">
        <v>250</v>
      </c>
      <c r="D3068">
        <v>750</v>
      </c>
      <c r="E3068">
        <v>50</v>
      </c>
      <c r="F3068" s="70">
        <v>44998</v>
      </c>
    </row>
    <row r="3069" spans="1:6">
      <c r="A3069">
        <v>3068</v>
      </c>
      <c r="B3069" t="s">
        <v>10236</v>
      </c>
      <c r="C3069">
        <v>250</v>
      </c>
      <c r="D3069">
        <v>750</v>
      </c>
      <c r="E3069">
        <v>50</v>
      </c>
      <c r="F3069" s="73">
        <v>45016</v>
      </c>
    </row>
    <row r="3070" spans="1:6">
      <c r="A3070">
        <v>3069</v>
      </c>
      <c r="B3070" t="s">
        <v>10239</v>
      </c>
      <c r="C3070">
        <v>100000</v>
      </c>
      <c r="D3070">
        <v>0</v>
      </c>
      <c r="E3070" t="s">
        <v>16642</v>
      </c>
      <c r="F3070" s="82">
        <v>44796</v>
      </c>
    </row>
    <row r="3071" spans="1:6">
      <c r="A3071">
        <v>3070</v>
      </c>
      <c r="B3071" t="s">
        <v>10244</v>
      </c>
      <c r="C3071">
        <v>250</v>
      </c>
      <c r="D3071">
        <v>750</v>
      </c>
      <c r="E3071">
        <v>50</v>
      </c>
      <c r="F3071" s="60">
        <v>44938</v>
      </c>
    </row>
    <row r="3072" spans="1:6">
      <c r="A3072">
        <v>3071</v>
      </c>
      <c r="B3072" t="s">
        <v>10248</v>
      </c>
      <c r="C3072">
        <v>250</v>
      </c>
      <c r="D3072">
        <v>750</v>
      </c>
      <c r="E3072">
        <v>50</v>
      </c>
      <c r="F3072" s="60">
        <v>44847</v>
      </c>
    </row>
    <row r="3073" spans="1:6">
      <c r="A3073">
        <v>3072</v>
      </c>
      <c r="B3073" t="s">
        <v>10252</v>
      </c>
      <c r="C3073">
        <v>250</v>
      </c>
      <c r="D3073">
        <v>750</v>
      </c>
      <c r="E3073">
        <v>50</v>
      </c>
      <c r="F3073" s="73">
        <v>44944</v>
      </c>
    </row>
    <row r="3074" spans="1:6">
      <c r="A3074">
        <v>3073</v>
      </c>
      <c r="B3074" t="s">
        <v>10255</v>
      </c>
      <c r="C3074">
        <v>250</v>
      </c>
      <c r="D3074">
        <v>750</v>
      </c>
      <c r="E3074">
        <v>50</v>
      </c>
      <c r="F3074" s="70">
        <v>44877</v>
      </c>
    </row>
    <row r="3075" spans="1:6">
      <c r="A3075">
        <v>3074</v>
      </c>
      <c r="B3075" t="s">
        <v>10259</v>
      </c>
      <c r="C3075">
        <v>1000</v>
      </c>
      <c r="D3075">
        <v>0</v>
      </c>
      <c r="E3075">
        <v>50</v>
      </c>
      <c r="F3075" s="61">
        <v>44870</v>
      </c>
    </row>
    <row r="3076" spans="1:6">
      <c r="A3076">
        <v>3075</v>
      </c>
      <c r="B3076" t="s">
        <v>10263</v>
      </c>
      <c r="C3076">
        <v>750</v>
      </c>
      <c r="D3076">
        <v>2250</v>
      </c>
      <c r="E3076">
        <v>150</v>
      </c>
      <c r="F3076" s="77">
        <v>44804</v>
      </c>
    </row>
    <row r="3077" spans="1:6">
      <c r="A3077">
        <v>3076</v>
      </c>
      <c r="B3077" t="s">
        <v>10266</v>
      </c>
      <c r="C3077">
        <v>1000</v>
      </c>
      <c r="D3077">
        <v>3000</v>
      </c>
      <c r="E3077">
        <v>200</v>
      </c>
      <c r="F3077" s="65">
        <v>44510</v>
      </c>
    </row>
    <row r="3078" spans="1:6">
      <c r="A3078">
        <v>3077</v>
      </c>
      <c r="B3078" t="s">
        <v>10269</v>
      </c>
      <c r="C3078">
        <v>250</v>
      </c>
      <c r="D3078">
        <v>750</v>
      </c>
      <c r="E3078">
        <v>50</v>
      </c>
      <c r="F3078" s="61">
        <v>45212</v>
      </c>
    </row>
    <row r="3079" spans="1:6">
      <c r="A3079">
        <v>3078</v>
      </c>
      <c r="B3079" t="s">
        <v>10272</v>
      </c>
      <c r="C3079">
        <v>250</v>
      </c>
      <c r="D3079">
        <v>750</v>
      </c>
      <c r="E3079">
        <v>50</v>
      </c>
      <c r="F3079" s="61">
        <v>44853</v>
      </c>
    </row>
    <row r="3080" spans="1:6">
      <c r="A3080">
        <v>3079</v>
      </c>
      <c r="B3080" t="s">
        <v>10275</v>
      </c>
      <c r="C3080">
        <v>250</v>
      </c>
      <c r="D3080">
        <v>750</v>
      </c>
      <c r="E3080">
        <v>50</v>
      </c>
      <c r="F3080" s="61">
        <v>44870</v>
      </c>
    </row>
    <row r="3081" spans="1:6">
      <c r="A3081">
        <v>3080</v>
      </c>
      <c r="B3081" t="s">
        <v>10278</v>
      </c>
      <c r="C3081">
        <v>250</v>
      </c>
      <c r="D3081">
        <v>750</v>
      </c>
      <c r="E3081">
        <v>50</v>
      </c>
      <c r="F3081" s="134">
        <v>44907</v>
      </c>
    </row>
    <row r="3082" spans="1:6">
      <c r="A3082">
        <v>3081</v>
      </c>
      <c r="B3082" t="s">
        <v>10282</v>
      </c>
      <c r="C3082">
        <v>250</v>
      </c>
      <c r="D3082">
        <v>750</v>
      </c>
      <c r="E3082">
        <v>50</v>
      </c>
      <c r="F3082" s="75">
        <v>44909</v>
      </c>
    </row>
    <row r="3083" spans="1:6">
      <c r="A3083">
        <v>3082</v>
      </c>
      <c r="B3083" t="s">
        <v>10285</v>
      </c>
      <c r="C3083">
        <v>250</v>
      </c>
      <c r="D3083">
        <v>750</v>
      </c>
      <c r="E3083">
        <v>50</v>
      </c>
      <c r="F3083" s="73">
        <v>44985</v>
      </c>
    </row>
    <row r="3084" spans="1:6">
      <c r="A3084">
        <v>3083</v>
      </c>
      <c r="B3084" t="s">
        <v>10289</v>
      </c>
      <c r="C3084">
        <v>250</v>
      </c>
      <c r="D3084">
        <v>750</v>
      </c>
      <c r="E3084">
        <v>50</v>
      </c>
      <c r="F3084" s="61">
        <v>45013</v>
      </c>
    </row>
    <row r="3085" spans="1:6">
      <c r="A3085">
        <v>3084</v>
      </c>
      <c r="B3085" t="s">
        <v>10292</v>
      </c>
      <c r="C3085">
        <v>250</v>
      </c>
      <c r="D3085">
        <v>750</v>
      </c>
      <c r="E3085">
        <v>50</v>
      </c>
      <c r="F3085" s="73">
        <v>44995</v>
      </c>
    </row>
    <row r="3086" spans="1:6">
      <c r="A3086">
        <v>3085</v>
      </c>
      <c r="B3086" t="s">
        <v>10295</v>
      </c>
      <c r="C3086">
        <v>250</v>
      </c>
      <c r="D3086">
        <v>750</v>
      </c>
      <c r="E3086">
        <v>50</v>
      </c>
      <c r="F3086" s="73">
        <v>44980</v>
      </c>
    </row>
    <row r="3087" spans="1:6">
      <c r="A3087">
        <v>3086</v>
      </c>
      <c r="B3087" t="s">
        <v>10298</v>
      </c>
      <c r="C3087">
        <v>250</v>
      </c>
      <c r="D3087">
        <v>750</v>
      </c>
      <c r="E3087">
        <v>50</v>
      </c>
      <c r="F3087" s="61">
        <v>44858</v>
      </c>
    </row>
    <row r="3088" spans="1:6">
      <c r="A3088">
        <v>3087</v>
      </c>
      <c r="B3088" t="s">
        <v>10301</v>
      </c>
      <c r="C3088">
        <v>1000</v>
      </c>
      <c r="D3088">
        <v>0</v>
      </c>
      <c r="E3088">
        <v>50</v>
      </c>
      <c r="F3088" s="60">
        <v>45016</v>
      </c>
    </row>
    <row r="3089" spans="1:6">
      <c r="A3089">
        <v>3088</v>
      </c>
      <c r="B3089" t="s">
        <v>10304</v>
      </c>
      <c r="C3089">
        <v>1000</v>
      </c>
      <c r="D3089">
        <v>0</v>
      </c>
      <c r="E3089">
        <v>50</v>
      </c>
      <c r="F3089" s="69">
        <v>45016</v>
      </c>
    </row>
    <row r="3090" spans="1:6">
      <c r="A3090">
        <v>3089</v>
      </c>
      <c r="B3090" t="s">
        <v>10307</v>
      </c>
      <c r="C3090">
        <v>1000</v>
      </c>
      <c r="D3090">
        <v>0</v>
      </c>
      <c r="E3090">
        <v>50</v>
      </c>
      <c r="F3090" s="73">
        <v>45062</v>
      </c>
    </row>
    <row r="3091" spans="1:6">
      <c r="A3091">
        <v>3090</v>
      </c>
      <c r="B3091" t="s">
        <v>10310</v>
      </c>
      <c r="C3091">
        <v>250</v>
      </c>
      <c r="D3091">
        <v>750</v>
      </c>
      <c r="E3091">
        <v>50</v>
      </c>
      <c r="F3091" s="60">
        <v>44930</v>
      </c>
    </row>
    <row r="3092" spans="1:6">
      <c r="A3092">
        <v>3091</v>
      </c>
      <c r="B3092" t="s">
        <v>10314</v>
      </c>
      <c r="C3092">
        <v>250</v>
      </c>
      <c r="D3092">
        <v>750</v>
      </c>
      <c r="E3092">
        <v>50</v>
      </c>
      <c r="F3092" s="61">
        <v>44853</v>
      </c>
    </row>
    <row r="3093" spans="1:6">
      <c r="A3093">
        <v>3092</v>
      </c>
      <c r="B3093" t="s">
        <v>10317</v>
      </c>
      <c r="C3093">
        <v>250</v>
      </c>
      <c r="D3093">
        <v>750</v>
      </c>
      <c r="E3093">
        <v>50</v>
      </c>
      <c r="F3093" s="60">
        <v>44851</v>
      </c>
    </row>
    <row r="3094" spans="1:6">
      <c r="A3094">
        <v>3093</v>
      </c>
      <c r="B3094" t="s">
        <v>10320</v>
      </c>
      <c r="C3094">
        <v>250</v>
      </c>
      <c r="D3094">
        <v>750</v>
      </c>
      <c r="E3094">
        <v>50</v>
      </c>
      <c r="F3094" s="61">
        <v>44648</v>
      </c>
    </row>
    <row r="3095" spans="1:6">
      <c r="A3095">
        <v>3094</v>
      </c>
      <c r="B3095" t="s">
        <v>10324</v>
      </c>
      <c r="C3095">
        <v>250</v>
      </c>
      <c r="D3095">
        <v>750</v>
      </c>
      <c r="E3095">
        <v>50</v>
      </c>
      <c r="F3095" s="60">
        <v>45002</v>
      </c>
    </row>
    <row r="3096" spans="1:6">
      <c r="A3096">
        <v>3095</v>
      </c>
      <c r="B3096" t="s">
        <v>10328</v>
      </c>
      <c r="C3096">
        <v>250</v>
      </c>
      <c r="D3096">
        <v>750</v>
      </c>
      <c r="E3096">
        <v>50</v>
      </c>
      <c r="F3096" s="61">
        <v>44714</v>
      </c>
    </row>
    <row r="3097" spans="1:6">
      <c r="A3097">
        <v>3096</v>
      </c>
      <c r="B3097" t="s">
        <v>10332</v>
      </c>
      <c r="C3097">
        <v>48000</v>
      </c>
      <c r="D3097">
        <v>0</v>
      </c>
      <c r="E3097">
        <v>2400</v>
      </c>
      <c r="F3097" s="65">
        <v>44493</v>
      </c>
    </row>
    <row r="3098" spans="1:6">
      <c r="A3098">
        <v>3097</v>
      </c>
      <c r="B3098" t="s">
        <v>10337</v>
      </c>
      <c r="C3098">
        <v>250</v>
      </c>
      <c r="D3098">
        <v>750</v>
      </c>
      <c r="E3098">
        <v>50</v>
      </c>
      <c r="F3098" s="61">
        <v>44859</v>
      </c>
    </row>
    <row r="3099" spans="1:6">
      <c r="A3099">
        <v>3098</v>
      </c>
      <c r="B3099" t="s">
        <v>10340</v>
      </c>
      <c r="C3099">
        <v>250</v>
      </c>
      <c r="D3099">
        <v>750</v>
      </c>
      <c r="E3099">
        <v>50</v>
      </c>
      <c r="F3099" s="73">
        <v>44921</v>
      </c>
    </row>
    <row r="3100" spans="1:6">
      <c r="A3100">
        <v>3099</v>
      </c>
      <c r="B3100" t="s">
        <v>10344</v>
      </c>
      <c r="C3100">
        <v>1000</v>
      </c>
      <c r="D3100">
        <v>0</v>
      </c>
      <c r="E3100">
        <v>50</v>
      </c>
      <c r="F3100" s="71">
        <v>44925</v>
      </c>
    </row>
    <row r="3101" spans="1:6">
      <c r="A3101">
        <v>3100</v>
      </c>
      <c r="B3101" t="s">
        <v>10347</v>
      </c>
      <c r="C3101">
        <v>1000</v>
      </c>
      <c r="D3101">
        <v>0</v>
      </c>
      <c r="E3101">
        <v>50</v>
      </c>
      <c r="F3101" s="71">
        <v>44897</v>
      </c>
    </row>
    <row r="3102" ht="15" spans="1:6">
      <c r="A3102">
        <v>3101</v>
      </c>
      <c r="B3102" t="s">
        <v>10350</v>
      </c>
      <c r="C3102">
        <v>1000000</v>
      </c>
      <c r="D3102">
        <v>500000</v>
      </c>
      <c r="E3102" t="s">
        <v>16642</v>
      </c>
      <c r="F3102" s="81">
        <f>IFERROR(__xludf.DUMMYFUNCTION("""COMPUTED_VALUE"""),45083)</f>
        <v>45083</v>
      </c>
    </row>
    <row r="3103" spans="1:6">
      <c r="A3103">
        <v>3102</v>
      </c>
      <c r="B3103" t="s">
        <v>10351</v>
      </c>
      <c r="C3103">
        <v>1000</v>
      </c>
      <c r="D3103">
        <v>0</v>
      </c>
      <c r="E3103">
        <v>50</v>
      </c>
      <c r="F3103" s="61">
        <v>45058</v>
      </c>
    </row>
    <row r="3104" spans="1:6">
      <c r="A3104">
        <v>3103</v>
      </c>
      <c r="B3104" t="s">
        <v>10354</v>
      </c>
      <c r="C3104">
        <v>1000</v>
      </c>
      <c r="D3104">
        <v>0</v>
      </c>
      <c r="E3104">
        <v>50</v>
      </c>
      <c r="F3104" s="60">
        <v>45048</v>
      </c>
    </row>
    <row r="3105" spans="1:6">
      <c r="A3105">
        <v>3104</v>
      </c>
      <c r="B3105" t="s">
        <v>10357</v>
      </c>
      <c r="C3105">
        <v>250</v>
      </c>
      <c r="D3105">
        <v>750</v>
      </c>
      <c r="E3105">
        <v>50</v>
      </c>
      <c r="F3105" s="61">
        <v>44961</v>
      </c>
    </row>
    <row r="3106" spans="1:6">
      <c r="A3106">
        <v>3105</v>
      </c>
      <c r="B3106" t="s">
        <v>10360</v>
      </c>
      <c r="C3106">
        <v>1500000</v>
      </c>
      <c r="D3106">
        <v>0</v>
      </c>
      <c r="E3106" t="s">
        <v>16642</v>
      </c>
      <c r="F3106" s="80">
        <f>IFERROR(__xludf.DUMMYFUNCTION("""COMPUTED_VALUE"""),45080)</f>
        <v>45080</v>
      </c>
    </row>
    <row r="3107" spans="1:6">
      <c r="A3107">
        <v>3106</v>
      </c>
      <c r="B3107" t="s">
        <v>10361</v>
      </c>
      <c r="C3107">
        <v>1500000</v>
      </c>
      <c r="D3107">
        <v>0</v>
      </c>
      <c r="E3107" t="s">
        <v>16642</v>
      </c>
      <c r="F3107" s="80">
        <f>IFERROR(__xludf.DUMMYFUNCTION("""COMPUTED_VALUE"""),45080)</f>
        <v>45080</v>
      </c>
    </row>
    <row r="3108" ht="15" spans="1:6">
      <c r="A3108">
        <v>3107</v>
      </c>
      <c r="B3108" t="s">
        <v>10362</v>
      </c>
      <c r="C3108">
        <v>1000000</v>
      </c>
      <c r="D3108">
        <v>500000</v>
      </c>
      <c r="E3108" t="s">
        <v>16642</v>
      </c>
      <c r="F3108" s="98">
        <f>IFERROR(__xludf.DUMMYFUNCTION("""COMPUTED_VALUE"""),45083)</f>
        <v>45083</v>
      </c>
    </row>
    <row r="3109" spans="1:6">
      <c r="A3109">
        <v>3108</v>
      </c>
      <c r="B3109" t="s">
        <v>10362</v>
      </c>
      <c r="C3109">
        <v>3000</v>
      </c>
      <c r="D3109">
        <v>2000</v>
      </c>
      <c r="E3109">
        <v>250</v>
      </c>
      <c r="F3109" s="83">
        <v>44663</v>
      </c>
    </row>
    <row r="3110" spans="1:6">
      <c r="A3110">
        <v>3109</v>
      </c>
      <c r="B3110" t="s">
        <v>10363</v>
      </c>
      <c r="C3110">
        <v>100000</v>
      </c>
      <c r="D3110">
        <v>0</v>
      </c>
      <c r="E3110" t="s">
        <v>16642</v>
      </c>
      <c r="F3110" s="100"/>
    </row>
    <row r="3111" spans="1:6">
      <c r="A3111">
        <v>3110</v>
      </c>
      <c r="B3111" t="s">
        <v>10367</v>
      </c>
      <c r="C3111">
        <v>10000</v>
      </c>
      <c r="D3111">
        <v>0</v>
      </c>
      <c r="E3111">
        <v>500</v>
      </c>
      <c r="F3111" s="67">
        <v>45042</v>
      </c>
    </row>
    <row r="3112" spans="1:6">
      <c r="A3112">
        <v>3111</v>
      </c>
      <c r="B3112" t="s">
        <v>10370</v>
      </c>
      <c r="C3112">
        <v>10000</v>
      </c>
      <c r="D3112">
        <v>0</v>
      </c>
      <c r="E3112">
        <v>500</v>
      </c>
      <c r="F3112" s="91" t="s">
        <v>16812</v>
      </c>
    </row>
    <row r="3113" spans="1:6">
      <c r="A3113">
        <v>3112</v>
      </c>
      <c r="B3113" t="s">
        <v>10370</v>
      </c>
      <c r="C3113">
        <v>100000</v>
      </c>
      <c r="D3113">
        <v>0</v>
      </c>
      <c r="E3113" t="s">
        <v>16642</v>
      </c>
      <c r="F3113" s="89"/>
    </row>
    <row r="3114" spans="1:6">
      <c r="A3114">
        <v>3113</v>
      </c>
      <c r="B3114" t="s">
        <v>10374</v>
      </c>
      <c r="C3114">
        <v>10000</v>
      </c>
      <c r="D3114">
        <v>0</v>
      </c>
      <c r="E3114">
        <v>500</v>
      </c>
      <c r="F3114" s="106">
        <v>45009</v>
      </c>
    </row>
    <row r="3115" spans="1:6">
      <c r="A3115">
        <v>3114</v>
      </c>
      <c r="B3115" t="s">
        <v>10377</v>
      </c>
      <c r="C3115">
        <v>10000</v>
      </c>
      <c r="D3115">
        <v>0</v>
      </c>
      <c r="E3115">
        <v>500</v>
      </c>
      <c r="F3115" s="65">
        <v>44681</v>
      </c>
    </row>
    <row r="3116" spans="1:6">
      <c r="A3116">
        <v>3115</v>
      </c>
      <c r="B3116" t="s">
        <v>10381</v>
      </c>
      <c r="C3116">
        <v>12500</v>
      </c>
      <c r="D3116">
        <v>37500</v>
      </c>
      <c r="E3116">
        <v>2500</v>
      </c>
      <c r="F3116" s="65">
        <v>44711</v>
      </c>
    </row>
    <row r="3117" spans="1:6">
      <c r="A3117">
        <v>3116</v>
      </c>
      <c r="B3117" t="s">
        <v>10385</v>
      </c>
      <c r="C3117">
        <v>50000</v>
      </c>
      <c r="D3117">
        <v>150000</v>
      </c>
      <c r="E3117">
        <v>10000</v>
      </c>
      <c r="F3117" s="64" t="s">
        <v>16813</v>
      </c>
    </row>
    <row r="3118" spans="1:6">
      <c r="A3118">
        <v>3117</v>
      </c>
      <c r="B3118" t="s">
        <v>10389</v>
      </c>
      <c r="C3118">
        <v>100000</v>
      </c>
      <c r="D3118">
        <v>0</v>
      </c>
      <c r="E3118" t="s">
        <v>16642</v>
      </c>
      <c r="F3118" s="66"/>
    </row>
    <row r="3119" spans="1:6">
      <c r="A3119">
        <v>3118</v>
      </c>
      <c r="B3119" t="s">
        <v>10393</v>
      </c>
      <c r="C3119">
        <v>100000</v>
      </c>
      <c r="D3119">
        <v>0</v>
      </c>
      <c r="E3119" t="s">
        <v>16642</v>
      </c>
      <c r="F3119" s="104"/>
    </row>
    <row r="3120" spans="1:6">
      <c r="A3120">
        <v>3119</v>
      </c>
      <c r="B3120" t="s">
        <v>10396</v>
      </c>
      <c r="C3120">
        <v>250</v>
      </c>
      <c r="D3120">
        <v>750</v>
      </c>
      <c r="E3120">
        <v>50</v>
      </c>
      <c r="F3120" s="73">
        <v>44862</v>
      </c>
    </row>
    <row r="3121" spans="1:6">
      <c r="A3121">
        <v>3120</v>
      </c>
      <c r="B3121" t="s">
        <v>10399</v>
      </c>
      <c r="C3121">
        <v>300000</v>
      </c>
      <c r="D3121">
        <v>0</v>
      </c>
      <c r="E3121" t="s">
        <v>16642</v>
      </c>
      <c r="F3121" s="66"/>
    </row>
    <row r="3122" spans="1:6">
      <c r="A3122">
        <v>3121</v>
      </c>
      <c r="B3122" t="s">
        <v>10403</v>
      </c>
      <c r="C3122">
        <v>500000</v>
      </c>
      <c r="D3122">
        <v>0</v>
      </c>
      <c r="E3122" t="s">
        <v>16642</v>
      </c>
      <c r="F3122" s="100"/>
    </row>
    <row r="3123" spans="1:6">
      <c r="A3123">
        <v>3122</v>
      </c>
      <c r="B3123" t="s">
        <v>10406</v>
      </c>
      <c r="C3123">
        <v>250</v>
      </c>
      <c r="D3123">
        <v>750</v>
      </c>
      <c r="E3123">
        <v>50</v>
      </c>
      <c r="F3123" s="61">
        <v>44950</v>
      </c>
    </row>
    <row r="3124" spans="1:6">
      <c r="A3124">
        <v>3123</v>
      </c>
      <c r="B3124" t="s">
        <v>10409</v>
      </c>
      <c r="C3124">
        <v>5000</v>
      </c>
      <c r="D3124">
        <v>0</v>
      </c>
      <c r="E3124">
        <v>250</v>
      </c>
      <c r="F3124" s="64" t="s">
        <v>16814</v>
      </c>
    </row>
    <row r="3125" spans="1:6">
      <c r="A3125">
        <v>3124</v>
      </c>
      <c r="B3125" t="s">
        <v>10413</v>
      </c>
      <c r="C3125">
        <v>50000</v>
      </c>
      <c r="D3125">
        <v>0</v>
      </c>
      <c r="F3125" s="65">
        <v>44312</v>
      </c>
    </row>
    <row r="3126" spans="1:6">
      <c r="A3126">
        <v>3125</v>
      </c>
      <c r="B3126" t="s">
        <v>10417</v>
      </c>
      <c r="C3126">
        <v>100000</v>
      </c>
      <c r="D3126">
        <v>0</v>
      </c>
      <c r="E3126" t="s">
        <v>16642</v>
      </c>
      <c r="F3126" s="66"/>
    </row>
    <row r="3127" spans="1:6">
      <c r="A3127">
        <v>3126</v>
      </c>
      <c r="B3127" t="s">
        <v>10422</v>
      </c>
      <c r="C3127">
        <v>1000</v>
      </c>
      <c r="D3127">
        <v>0</v>
      </c>
      <c r="E3127">
        <v>50</v>
      </c>
      <c r="F3127" s="61">
        <v>44940</v>
      </c>
    </row>
    <row r="3128" spans="1:6">
      <c r="A3128">
        <v>3127</v>
      </c>
      <c r="B3128" t="s">
        <v>10425</v>
      </c>
      <c r="C3128">
        <v>250</v>
      </c>
      <c r="D3128">
        <v>750</v>
      </c>
      <c r="E3128">
        <v>50</v>
      </c>
      <c r="F3128" s="60">
        <v>44869</v>
      </c>
    </row>
    <row r="3129" spans="1:6">
      <c r="A3129">
        <v>3128</v>
      </c>
      <c r="B3129" t="s">
        <v>10428</v>
      </c>
      <c r="C3129">
        <v>250</v>
      </c>
      <c r="D3129">
        <v>750</v>
      </c>
      <c r="E3129">
        <v>50</v>
      </c>
      <c r="F3129" s="60">
        <v>44862</v>
      </c>
    </row>
    <row r="3130" spans="1:6">
      <c r="A3130">
        <v>3129</v>
      </c>
      <c r="B3130" t="s">
        <v>10432</v>
      </c>
      <c r="C3130">
        <v>250</v>
      </c>
      <c r="D3130">
        <v>750</v>
      </c>
      <c r="E3130">
        <v>50</v>
      </c>
      <c r="F3130" s="60">
        <v>44589</v>
      </c>
    </row>
    <row r="3131" spans="1:6">
      <c r="A3131">
        <v>3130</v>
      </c>
      <c r="B3131" t="s">
        <v>10436</v>
      </c>
      <c r="C3131">
        <v>250</v>
      </c>
      <c r="D3131">
        <v>750</v>
      </c>
      <c r="E3131">
        <v>50</v>
      </c>
      <c r="F3131" s="61">
        <v>44856</v>
      </c>
    </row>
    <row r="3132" spans="1:6">
      <c r="A3132">
        <v>3131</v>
      </c>
      <c r="B3132" t="s">
        <v>10440</v>
      </c>
      <c r="C3132">
        <v>250</v>
      </c>
      <c r="D3132">
        <v>750</v>
      </c>
      <c r="E3132">
        <v>50</v>
      </c>
      <c r="F3132" s="69">
        <v>44936</v>
      </c>
    </row>
    <row r="3133" spans="1:6">
      <c r="A3133">
        <v>3132</v>
      </c>
      <c r="B3133" t="s">
        <v>10443</v>
      </c>
      <c r="C3133">
        <v>250</v>
      </c>
      <c r="D3133">
        <v>750</v>
      </c>
      <c r="E3133">
        <v>50</v>
      </c>
      <c r="F3133" s="60">
        <v>44865</v>
      </c>
    </row>
    <row r="3134" spans="1:6">
      <c r="A3134">
        <v>3133</v>
      </c>
      <c r="B3134" t="s">
        <v>10447</v>
      </c>
      <c r="C3134">
        <v>1000</v>
      </c>
      <c r="D3134">
        <v>0</v>
      </c>
      <c r="E3134">
        <v>50</v>
      </c>
      <c r="F3134" s="79">
        <v>44936</v>
      </c>
    </row>
    <row r="3135" spans="1:6">
      <c r="A3135">
        <v>3134</v>
      </c>
      <c r="B3135" t="s">
        <v>10450</v>
      </c>
      <c r="C3135">
        <v>250</v>
      </c>
      <c r="D3135">
        <v>750</v>
      </c>
      <c r="E3135">
        <v>50</v>
      </c>
      <c r="F3135" s="61">
        <v>44918</v>
      </c>
    </row>
    <row r="3136" spans="1:6">
      <c r="A3136">
        <v>3135</v>
      </c>
      <c r="B3136" t="s">
        <v>10453</v>
      </c>
      <c r="C3136">
        <v>250</v>
      </c>
      <c r="D3136">
        <v>750</v>
      </c>
      <c r="E3136">
        <v>50</v>
      </c>
      <c r="F3136" s="60">
        <v>44919</v>
      </c>
    </row>
    <row r="3137" spans="1:6">
      <c r="A3137">
        <v>3136</v>
      </c>
      <c r="B3137" t="s">
        <v>10457</v>
      </c>
      <c r="C3137">
        <v>1000</v>
      </c>
      <c r="D3137">
        <v>0</v>
      </c>
      <c r="E3137">
        <v>50</v>
      </c>
      <c r="F3137" s="64" t="s">
        <v>16720</v>
      </c>
    </row>
    <row r="3138" spans="1:6">
      <c r="A3138">
        <v>3137</v>
      </c>
      <c r="B3138" t="s">
        <v>10461</v>
      </c>
      <c r="C3138">
        <v>250</v>
      </c>
      <c r="D3138">
        <v>750</v>
      </c>
      <c r="E3138">
        <v>50</v>
      </c>
      <c r="F3138" s="75">
        <v>44877</v>
      </c>
    </row>
    <row r="3139" spans="1:6">
      <c r="A3139">
        <v>3138</v>
      </c>
      <c r="B3139" t="s">
        <v>10464</v>
      </c>
      <c r="C3139">
        <v>750</v>
      </c>
      <c r="D3139">
        <v>250</v>
      </c>
      <c r="E3139">
        <v>50</v>
      </c>
      <c r="F3139" s="73">
        <v>44957</v>
      </c>
    </row>
    <row r="3140" spans="1:6">
      <c r="A3140">
        <v>3139</v>
      </c>
      <c r="B3140" t="s">
        <v>10467</v>
      </c>
      <c r="C3140">
        <v>250</v>
      </c>
      <c r="D3140">
        <v>750</v>
      </c>
      <c r="E3140">
        <v>50</v>
      </c>
      <c r="F3140" s="69">
        <v>45035</v>
      </c>
    </row>
    <row r="3141" spans="1:6">
      <c r="A3141">
        <v>3140</v>
      </c>
      <c r="B3141" t="s">
        <v>10470</v>
      </c>
      <c r="C3141">
        <v>250</v>
      </c>
      <c r="D3141">
        <v>750</v>
      </c>
      <c r="E3141">
        <v>50</v>
      </c>
      <c r="F3141" s="60">
        <v>44910</v>
      </c>
    </row>
    <row r="3142" ht="15" spans="1:6">
      <c r="A3142">
        <v>3141</v>
      </c>
      <c r="B3142" t="s">
        <v>10473</v>
      </c>
      <c r="C3142">
        <v>1000000</v>
      </c>
      <c r="D3142">
        <v>500000</v>
      </c>
      <c r="E3142" t="s">
        <v>16642</v>
      </c>
      <c r="F3142" s="136">
        <f>IFERROR(__xludf.DUMMYFUNCTION("""COMPUTED_VALUE"""),45083)</f>
        <v>45083</v>
      </c>
    </row>
    <row r="3143" spans="1:6">
      <c r="A3143">
        <v>3142</v>
      </c>
      <c r="B3143" t="s">
        <v>10474</v>
      </c>
      <c r="C3143">
        <v>250</v>
      </c>
      <c r="D3143">
        <v>750</v>
      </c>
      <c r="E3143">
        <v>50</v>
      </c>
      <c r="F3143" s="60">
        <v>44867</v>
      </c>
    </row>
    <row r="3144" spans="1:6">
      <c r="A3144">
        <v>3143</v>
      </c>
      <c r="B3144" t="s">
        <v>10477</v>
      </c>
      <c r="C3144">
        <v>250</v>
      </c>
      <c r="D3144">
        <v>750</v>
      </c>
      <c r="E3144">
        <v>50</v>
      </c>
      <c r="F3144" s="61">
        <v>44919</v>
      </c>
    </row>
    <row r="3145" spans="1:6">
      <c r="A3145">
        <v>3144</v>
      </c>
      <c r="B3145" t="s">
        <v>10481</v>
      </c>
      <c r="C3145">
        <v>750</v>
      </c>
      <c r="D3145">
        <v>250</v>
      </c>
      <c r="E3145">
        <v>50</v>
      </c>
      <c r="F3145" s="73">
        <v>44926</v>
      </c>
    </row>
    <row r="3146" spans="1:6">
      <c r="A3146">
        <v>3145</v>
      </c>
      <c r="B3146" t="s">
        <v>10484</v>
      </c>
      <c r="C3146">
        <v>250</v>
      </c>
      <c r="D3146">
        <v>750</v>
      </c>
      <c r="E3146">
        <v>50</v>
      </c>
      <c r="F3146" s="69">
        <v>44859</v>
      </c>
    </row>
    <row r="3147" spans="1:6">
      <c r="A3147">
        <v>3146</v>
      </c>
      <c r="B3147" t="s">
        <v>10487</v>
      </c>
      <c r="C3147">
        <v>1000</v>
      </c>
      <c r="D3147">
        <v>0</v>
      </c>
      <c r="E3147">
        <v>50</v>
      </c>
      <c r="F3147" s="67">
        <v>44961</v>
      </c>
    </row>
    <row r="3148" ht="15" spans="1:6">
      <c r="A3148">
        <v>3147</v>
      </c>
      <c r="B3148" t="s">
        <v>10490</v>
      </c>
      <c r="C3148">
        <v>1000000</v>
      </c>
      <c r="D3148">
        <v>500000</v>
      </c>
      <c r="E3148" t="s">
        <v>16642</v>
      </c>
      <c r="F3148" s="88">
        <f>IFERROR(__xludf.DUMMYFUNCTION("""COMPUTED_VALUE"""),45083)</f>
        <v>45083</v>
      </c>
    </row>
    <row r="3149" spans="1:6">
      <c r="A3149">
        <v>3148</v>
      </c>
      <c r="B3149" t="s">
        <v>10491</v>
      </c>
      <c r="C3149">
        <v>1000</v>
      </c>
      <c r="D3149">
        <v>0</v>
      </c>
      <c r="E3149">
        <v>50</v>
      </c>
      <c r="F3149" s="61">
        <v>44896</v>
      </c>
    </row>
    <row r="3150" spans="1:6">
      <c r="A3150">
        <v>3149</v>
      </c>
      <c r="B3150" t="s">
        <v>10494</v>
      </c>
      <c r="C3150">
        <v>100000</v>
      </c>
      <c r="D3150">
        <v>0</v>
      </c>
      <c r="E3150" t="s">
        <v>16642</v>
      </c>
      <c r="F3150" s="76">
        <v>44942</v>
      </c>
    </row>
    <row r="3151" spans="1:6">
      <c r="A3151">
        <v>3150</v>
      </c>
      <c r="B3151" t="s">
        <v>10497</v>
      </c>
      <c r="C3151">
        <v>250</v>
      </c>
      <c r="D3151">
        <v>750</v>
      </c>
      <c r="E3151">
        <v>50</v>
      </c>
      <c r="F3151" s="60">
        <v>44893</v>
      </c>
    </row>
    <row r="3152" spans="1:6">
      <c r="A3152">
        <v>3151</v>
      </c>
      <c r="B3152" t="s">
        <v>10500</v>
      </c>
      <c r="C3152">
        <v>250</v>
      </c>
      <c r="D3152">
        <v>750</v>
      </c>
      <c r="E3152">
        <v>50</v>
      </c>
      <c r="F3152" s="60">
        <v>44901</v>
      </c>
    </row>
    <row r="3153" spans="1:6">
      <c r="A3153">
        <v>3152</v>
      </c>
      <c r="B3153" t="s">
        <v>10504</v>
      </c>
      <c r="C3153">
        <v>250</v>
      </c>
      <c r="D3153">
        <v>750</v>
      </c>
      <c r="E3153">
        <v>50</v>
      </c>
      <c r="F3153" s="137">
        <v>44631</v>
      </c>
    </row>
    <row r="3154" spans="1:6">
      <c r="A3154">
        <v>3153</v>
      </c>
      <c r="B3154" t="s">
        <v>10507</v>
      </c>
      <c r="C3154">
        <v>250</v>
      </c>
      <c r="D3154">
        <v>750</v>
      </c>
      <c r="E3154">
        <v>50</v>
      </c>
      <c r="F3154" s="69">
        <v>44845</v>
      </c>
    </row>
    <row r="3155" spans="1:6">
      <c r="A3155">
        <v>3154</v>
      </c>
      <c r="B3155" t="s">
        <v>10510</v>
      </c>
      <c r="C3155">
        <v>250</v>
      </c>
      <c r="D3155">
        <v>750</v>
      </c>
      <c r="E3155">
        <v>50</v>
      </c>
      <c r="F3155" s="70">
        <v>44998</v>
      </c>
    </row>
    <row r="3156" spans="1:6">
      <c r="A3156">
        <v>3155</v>
      </c>
      <c r="B3156" t="s">
        <v>10513</v>
      </c>
      <c r="C3156">
        <v>250</v>
      </c>
      <c r="D3156">
        <v>750</v>
      </c>
      <c r="E3156">
        <v>50</v>
      </c>
      <c r="F3156" s="75">
        <v>44925</v>
      </c>
    </row>
    <row r="3157" spans="1:6">
      <c r="A3157">
        <v>3156</v>
      </c>
      <c r="B3157" t="s">
        <v>10516</v>
      </c>
      <c r="C3157">
        <v>250</v>
      </c>
      <c r="D3157">
        <v>750</v>
      </c>
      <c r="E3157">
        <v>50</v>
      </c>
      <c r="F3157" s="75">
        <v>44925</v>
      </c>
    </row>
    <row r="3158" spans="1:6">
      <c r="A3158">
        <v>3157</v>
      </c>
      <c r="B3158" t="s">
        <v>10519</v>
      </c>
      <c r="C3158">
        <v>250</v>
      </c>
      <c r="D3158">
        <v>750</v>
      </c>
      <c r="E3158">
        <v>50</v>
      </c>
      <c r="F3158" s="60">
        <v>44844</v>
      </c>
    </row>
    <row r="3159" spans="1:6">
      <c r="A3159">
        <v>3158</v>
      </c>
      <c r="B3159" t="s">
        <v>10523</v>
      </c>
      <c r="C3159">
        <v>250</v>
      </c>
      <c r="D3159">
        <v>750</v>
      </c>
      <c r="E3159">
        <v>50</v>
      </c>
      <c r="F3159" s="61">
        <v>44961</v>
      </c>
    </row>
    <row r="3160" spans="1:6">
      <c r="A3160">
        <v>3159</v>
      </c>
      <c r="B3160" t="s">
        <v>10526</v>
      </c>
      <c r="C3160">
        <v>250</v>
      </c>
      <c r="D3160">
        <v>750</v>
      </c>
      <c r="E3160">
        <v>50</v>
      </c>
      <c r="F3160" s="61">
        <v>44844</v>
      </c>
    </row>
    <row r="3161" spans="1:6">
      <c r="A3161">
        <v>3160</v>
      </c>
      <c r="B3161" t="s">
        <v>10529</v>
      </c>
      <c r="C3161">
        <v>250</v>
      </c>
      <c r="D3161">
        <v>750</v>
      </c>
      <c r="E3161">
        <v>50</v>
      </c>
      <c r="F3161" s="61">
        <v>44903</v>
      </c>
    </row>
    <row r="3162" spans="1:6">
      <c r="A3162">
        <v>3161</v>
      </c>
      <c r="B3162" t="s">
        <v>10533</v>
      </c>
      <c r="C3162">
        <v>250</v>
      </c>
      <c r="D3162">
        <v>750</v>
      </c>
      <c r="E3162">
        <v>50</v>
      </c>
      <c r="F3162" s="60">
        <v>44858</v>
      </c>
    </row>
    <row r="3163" spans="1:6">
      <c r="A3163">
        <v>3162</v>
      </c>
      <c r="B3163" t="s">
        <v>10536</v>
      </c>
      <c r="C3163">
        <v>250</v>
      </c>
      <c r="D3163">
        <v>750</v>
      </c>
      <c r="E3163">
        <v>50</v>
      </c>
      <c r="F3163" s="61">
        <v>44993</v>
      </c>
    </row>
    <row r="3164" spans="1:6">
      <c r="A3164">
        <v>3163</v>
      </c>
      <c r="B3164" t="s">
        <v>10539</v>
      </c>
      <c r="C3164">
        <v>250</v>
      </c>
      <c r="D3164">
        <v>750</v>
      </c>
      <c r="E3164">
        <v>50</v>
      </c>
      <c r="F3164" s="60">
        <v>45040</v>
      </c>
    </row>
    <row r="3165" spans="1:6">
      <c r="A3165">
        <v>3164</v>
      </c>
      <c r="B3165" t="s">
        <v>10542</v>
      </c>
      <c r="C3165">
        <v>250</v>
      </c>
      <c r="D3165">
        <v>750</v>
      </c>
      <c r="E3165">
        <v>50</v>
      </c>
      <c r="F3165" s="60">
        <v>44861</v>
      </c>
    </row>
    <row r="3166" spans="1:6">
      <c r="A3166">
        <v>3165</v>
      </c>
      <c r="B3166" t="s">
        <v>10546</v>
      </c>
      <c r="C3166">
        <v>250</v>
      </c>
      <c r="D3166">
        <v>750</v>
      </c>
      <c r="E3166">
        <v>50</v>
      </c>
      <c r="F3166" s="60">
        <v>44869</v>
      </c>
    </row>
    <row r="3167" spans="1:6">
      <c r="A3167">
        <v>3166</v>
      </c>
      <c r="B3167" t="s">
        <v>10549</v>
      </c>
      <c r="C3167">
        <v>250</v>
      </c>
      <c r="D3167">
        <v>750</v>
      </c>
      <c r="E3167">
        <v>50</v>
      </c>
      <c r="F3167" s="60">
        <v>44864</v>
      </c>
    </row>
    <row r="3168" spans="1:6">
      <c r="A3168">
        <v>3167</v>
      </c>
      <c r="B3168" t="s">
        <v>10552</v>
      </c>
      <c r="C3168">
        <v>250</v>
      </c>
      <c r="D3168">
        <v>750</v>
      </c>
      <c r="E3168">
        <v>50</v>
      </c>
      <c r="F3168" s="60">
        <v>44907</v>
      </c>
    </row>
    <row r="3169" spans="1:6">
      <c r="A3169">
        <v>3168</v>
      </c>
      <c r="B3169" t="s">
        <v>10556</v>
      </c>
      <c r="C3169">
        <v>1000000</v>
      </c>
      <c r="D3169">
        <v>500000</v>
      </c>
      <c r="E3169" t="s">
        <v>16642</v>
      </c>
      <c r="F3169" s="90">
        <f>IFERROR(__xludf.DUMMYFUNCTION("""COMPUTED_VALUE"""),45080)</f>
        <v>45080</v>
      </c>
    </row>
    <row r="3170" spans="1:6">
      <c r="A3170">
        <v>3169</v>
      </c>
      <c r="B3170" t="s">
        <v>10556</v>
      </c>
      <c r="C3170">
        <v>1000000</v>
      </c>
      <c r="D3170">
        <v>500000</v>
      </c>
      <c r="E3170" t="s">
        <v>16642</v>
      </c>
      <c r="F3170" s="90">
        <f>IFERROR(__xludf.DUMMYFUNCTION("""COMPUTED_VALUE"""),45080)</f>
        <v>45080</v>
      </c>
    </row>
    <row r="3171" spans="1:6">
      <c r="A3171">
        <v>3170</v>
      </c>
      <c r="B3171" t="s">
        <v>10557</v>
      </c>
      <c r="C3171">
        <v>250</v>
      </c>
      <c r="D3171">
        <v>750</v>
      </c>
      <c r="E3171">
        <v>50</v>
      </c>
      <c r="F3171" s="61">
        <v>44851</v>
      </c>
    </row>
    <row r="3172" spans="1:6">
      <c r="A3172">
        <v>3171</v>
      </c>
      <c r="B3172" t="s">
        <v>10560</v>
      </c>
      <c r="C3172">
        <v>250</v>
      </c>
      <c r="D3172">
        <v>750</v>
      </c>
      <c r="E3172">
        <v>50</v>
      </c>
      <c r="F3172" s="60">
        <v>44844</v>
      </c>
    </row>
    <row r="3173" spans="1:6">
      <c r="A3173">
        <v>3172</v>
      </c>
      <c r="B3173" t="s">
        <v>10563</v>
      </c>
      <c r="C3173">
        <v>250</v>
      </c>
      <c r="D3173">
        <v>750</v>
      </c>
      <c r="E3173">
        <v>50</v>
      </c>
      <c r="F3173" s="69">
        <v>44975</v>
      </c>
    </row>
    <row r="3174" spans="1:6">
      <c r="A3174">
        <v>3173</v>
      </c>
      <c r="B3174" t="s">
        <v>10566</v>
      </c>
      <c r="C3174">
        <v>250</v>
      </c>
      <c r="D3174">
        <v>750</v>
      </c>
      <c r="E3174">
        <v>50</v>
      </c>
      <c r="F3174" s="60">
        <v>44856</v>
      </c>
    </row>
    <row r="3175" spans="1:6">
      <c r="A3175">
        <v>3174</v>
      </c>
      <c r="B3175" t="s">
        <v>10569</v>
      </c>
      <c r="C3175">
        <v>250</v>
      </c>
      <c r="D3175">
        <v>750</v>
      </c>
      <c r="E3175">
        <v>50</v>
      </c>
      <c r="F3175" s="87" t="s">
        <v>16815</v>
      </c>
    </row>
    <row r="3176" spans="1:6">
      <c r="A3176">
        <v>3175</v>
      </c>
      <c r="B3176" t="s">
        <v>10572</v>
      </c>
      <c r="C3176">
        <v>200000</v>
      </c>
      <c r="D3176">
        <v>0</v>
      </c>
      <c r="E3176">
        <v>10000</v>
      </c>
      <c r="F3176" s="65">
        <v>44867</v>
      </c>
    </row>
    <row r="3177" spans="1:6">
      <c r="A3177">
        <v>3176</v>
      </c>
      <c r="B3177" t="s">
        <v>10577</v>
      </c>
      <c r="C3177">
        <v>250</v>
      </c>
      <c r="D3177">
        <v>750</v>
      </c>
      <c r="E3177">
        <v>50</v>
      </c>
      <c r="F3177" s="60">
        <v>44866</v>
      </c>
    </row>
    <row r="3178" spans="1:6">
      <c r="A3178">
        <v>3177</v>
      </c>
      <c r="B3178" t="s">
        <v>10580</v>
      </c>
      <c r="C3178">
        <v>250</v>
      </c>
      <c r="D3178">
        <v>750</v>
      </c>
      <c r="E3178">
        <v>50</v>
      </c>
      <c r="F3178" s="60">
        <v>44977</v>
      </c>
    </row>
    <row r="3179" spans="1:6">
      <c r="A3179">
        <v>3178</v>
      </c>
      <c r="B3179" t="s">
        <v>10583</v>
      </c>
      <c r="C3179">
        <v>1000</v>
      </c>
      <c r="D3179">
        <v>0</v>
      </c>
      <c r="E3179">
        <v>50</v>
      </c>
      <c r="F3179" s="61">
        <v>44874</v>
      </c>
    </row>
    <row r="3180" spans="1:6">
      <c r="A3180">
        <v>3179</v>
      </c>
      <c r="B3180" t="s">
        <v>10586</v>
      </c>
      <c r="C3180">
        <v>250</v>
      </c>
      <c r="D3180">
        <v>750</v>
      </c>
      <c r="E3180">
        <v>50</v>
      </c>
      <c r="F3180" s="61">
        <v>44867</v>
      </c>
    </row>
    <row r="3181" spans="1:6">
      <c r="A3181">
        <v>3180</v>
      </c>
      <c r="B3181" t="s">
        <v>10590</v>
      </c>
      <c r="C3181">
        <v>250</v>
      </c>
      <c r="D3181">
        <v>750</v>
      </c>
      <c r="E3181">
        <v>50</v>
      </c>
      <c r="F3181" s="61">
        <v>44865</v>
      </c>
    </row>
    <row r="3182" spans="1:6">
      <c r="A3182">
        <v>3181</v>
      </c>
      <c r="B3182" t="s">
        <v>10593</v>
      </c>
      <c r="C3182">
        <v>250</v>
      </c>
      <c r="D3182">
        <v>750</v>
      </c>
      <c r="E3182">
        <v>50</v>
      </c>
      <c r="F3182" s="60">
        <v>44845</v>
      </c>
    </row>
    <row r="3183" spans="1:6">
      <c r="A3183">
        <v>3182</v>
      </c>
      <c r="B3183" t="s">
        <v>10596</v>
      </c>
      <c r="C3183">
        <v>250</v>
      </c>
      <c r="D3183">
        <v>750</v>
      </c>
      <c r="E3183">
        <v>50</v>
      </c>
      <c r="F3183" s="60" t="s">
        <v>16776</v>
      </c>
    </row>
    <row r="3184" spans="1:6">
      <c r="A3184">
        <v>3183</v>
      </c>
      <c r="B3184" t="s">
        <v>10599</v>
      </c>
      <c r="C3184">
        <v>250</v>
      </c>
      <c r="D3184">
        <v>750</v>
      </c>
      <c r="E3184">
        <v>50</v>
      </c>
      <c r="F3184" s="61">
        <v>44855</v>
      </c>
    </row>
    <row r="3185" spans="1:6">
      <c r="A3185">
        <v>3184</v>
      </c>
      <c r="B3185" t="s">
        <v>10602</v>
      </c>
      <c r="C3185">
        <v>250</v>
      </c>
      <c r="D3185">
        <v>750</v>
      </c>
      <c r="E3185">
        <v>50</v>
      </c>
      <c r="F3185" s="71">
        <v>44925</v>
      </c>
    </row>
    <row r="3186" spans="1:6">
      <c r="A3186">
        <v>3185</v>
      </c>
      <c r="B3186" t="s">
        <v>10605</v>
      </c>
      <c r="C3186">
        <v>2500</v>
      </c>
      <c r="D3186">
        <v>7500</v>
      </c>
      <c r="E3186">
        <v>500</v>
      </c>
      <c r="F3186" s="65">
        <v>44651</v>
      </c>
    </row>
    <row r="3187" spans="1:6">
      <c r="A3187">
        <v>3186</v>
      </c>
      <c r="B3187" t="s">
        <v>10609</v>
      </c>
      <c r="C3187">
        <v>250</v>
      </c>
      <c r="D3187">
        <v>750</v>
      </c>
      <c r="E3187">
        <v>50</v>
      </c>
      <c r="F3187" s="73">
        <v>45005</v>
      </c>
    </row>
    <row r="3188" spans="1:6">
      <c r="A3188">
        <v>3187</v>
      </c>
      <c r="B3188" t="s">
        <v>10612</v>
      </c>
      <c r="C3188">
        <v>250</v>
      </c>
      <c r="D3188">
        <v>750</v>
      </c>
      <c r="E3188">
        <v>50</v>
      </c>
      <c r="F3188" s="61">
        <v>45057</v>
      </c>
    </row>
    <row r="3189" spans="1:6">
      <c r="A3189">
        <v>3188</v>
      </c>
      <c r="B3189" t="s">
        <v>10616</v>
      </c>
      <c r="C3189">
        <v>250</v>
      </c>
      <c r="D3189">
        <v>750</v>
      </c>
      <c r="E3189">
        <v>50</v>
      </c>
      <c r="F3189" s="60">
        <v>44935</v>
      </c>
    </row>
    <row r="3190" spans="1:6">
      <c r="A3190">
        <v>3189</v>
      </c>
      <c r="B3190" t="s">
        <v>10620</v>
      </c>
      <c r="C3190">
        <v>250</v>
      </c>
      <c r="D3190">
        <v>750</v>
      </c>
      <c r="E3190">
        <v>50</v>
      </c>
      <c r="F3190" s="61">
        <v>44938</v>
      </c>
    </row>
    <row r="3191" spans="1:6">
      <c r="A3191">
        <v>3190</v>
      </c>
      <c r="B3191" t="s">
        <v>10624</v>
      </c>
      <c r="C3191">
        <v>250</v>
      </c>
      <c r="D3191">
        <v>750</v>
      </c>
      <c r="E3191">
        <v>50</v>
      </c>
      <c r="F3191" s="60">
        <v>45055</v>
      </c>
    </row>
    <row r="3192" spans="1:6">
      <c r="A3192">
        <v>3191</v>
      </c>
      <c r="B3192" t="s">
        <v>10628</v>
      </c>
      <c r="C3192">
        <v>10000</v>
      </c>
      <c r="D3192">
        <v>30000</v>
      </c>
      <c r="E3192">
        <v>2000</v>
      </c>
      <c r="F3192" s="91" t="s">
        <v>16763</v>
      </c>
    </row>
    <row r="3193" spans="1:6">
      <c r="A3193">
        <v>3192</v>
      </c>
      <c r="B3193" t="s">
        <v>10628</v>
      </c>
      <c r="C3193">
        <v>100000</v>
      </c>
      <c r="D3193">
        <v>0</v>
      </c>
      <c r="E3193" t="s">
        <v>16642</v>
      </c>
      <c r="F3193" s="89"/>
    </row>
    <row r="3194" spans="1:6">
      <c r="A3194">
        <v>3193</v>
      </c>
      <c r="B3194" t="s">
        <v>10632</v>
      </c>
      <c r="C3194">
        <v>1000</v>
      </c>
      <c r="D3194">
        <v>0</v>
      </c>
      <c r="E3194">
        <v>50</v>
      </c>
      <c r="F3194" s="65">
        <v>44703</v>
      </c>
    </row>
    <row r="3195" spans="1:6">
      <c r="A3195">
        <v>3194</v>
      </c>
      <c r="B3195" t="s">
        <v>10636</v>
      </c>
      <c r="C3195">
        <v>250</v>
      </c>
      <c r="D3195">
        <v>750</v>
      </c>
      <c r="E3195">
        <v>50</v>
      </c>
      <c r="F3195" s="61">
        <v>44991</v>
      </c>
    </row>
    <row r="3196" spans="1:6">
      <c r="A3196">
        <v>3195</v>
      </c>
      <c r="B3196" t="s">
        <v>10640</v>
      </c>
      <c r="C3196">
        <v>250</v>
      </c>
      <c r="D3196">
        <v>750</v>
      </c>
      <c r="E3196">
        <v>50</v>
      </c>
      <c r="F3196" s="60">
        <v>44947</v>
      </c>
    </row>
    <row r="3197" spans="1:6">
      <c r="A3197">
        <v>3196</v>
      </c>
      <c r="B3197" t="s">
        <v>10643</v>
      </c>
      <c r="C3197">
        <v>1000</v>
      </c>
      <c r="D3197">
        <v>0</v>
      </c>
      <c r="E3197">
        <v>50</v>
      </c>
      <c r="F3197" s="60">
        <v>44960</v>
      </c>
    </row>
    <row r="3198" spans="1:6">
      <c r="A3198">
        <v>3197</v>
      </c>
      <c r="B3198" t="s">
        <v>10647</v>
      </c>
      <c r="C3198">
        <v>1000</v>
      </c>
      <c r="D3198">
        <v>0</v>
      </c>
      <c r="E3198">
        <v>50</v>
      </c>
      <c r="F3198" s="60">
        <v>44828</v>
      </c>
    </row>
    <row r="3199" spans="1:6">
      <c r="A3199">
        <v>3198</v>
      </c>
      <c r="B3199" t="s">
        <v>10651</v>
      </c>
      <c r="C3199">
        <v>1000</v>
      </c>
      <c r="D3199">
        <v>0</v>
      </c>
      <c r="E3199">
        <v>50</v>
      </c>
      <c r="F3199" s="75">
        <v>44914</v>
      </c>
    </row>
    <row r="3200" spans="1:6">
      <c r="A3200">
        <v>3199</v>
      </c>
      <c r="B3200" t="s">
        <v>10655</v>
      </c>
      <c r="C3200">
        <v>1000</v>
      </c>
      <c r="D3200">
        <v>0</v>
      </c>
      <c r="E3200">
        <v>50</v>
      </c>
      <c r="F3200" s="70">
        <v>44882</v>
      </c>
    </row>
    <row r="3201" spans="1:6">
      <c r="A3201">
        <v>3200</v>
      </c>
      <c r="B3201" t="s">
        <v>10659</v>
      </c>
      <c r="C3201">
        <v>250</v>
      </c>
      <c r="D3201">
        <v>750</v>
      </c>
      <c r="E3201">
        <v>50</v>
      </c>
      <c r="F3201" s="60">
        <v>44909</v>
      </c>
    </row>
    <row r="3202" spans="1:6">
      <c r="A3202">
        <v>3201</v>
      </c>
      <c r="B3202" t="s">
        <v>10662</v>
      </c>
      <c r="C3202">
        <v>50000</v>
      </c>
      <c r="D3202">
        <v>0</v>
      </c>
      <c r="E3202">
        <v>500</v>
      </c>
      <c r="F3202" s="64" t="s">
        <v>16703</v>
      </c>
    </row>
    <row r="3203" ht="15" spans="1:6">
      <c r="A3203">
        <v>3202</v>
      </c>
      <c r="B3203" t="s">
        <v>10666</v>
      </c>
      <c r="C3203">
        <v>3500000</v>
      </c>
      <c r="D3203">
        <v>0</v>
      </c>
      <c r="E3203" t="s">
        <v>16642</v>
      </c>
      <c r="F3203" s="92">
        <v>45139</v>
      </c>
    </row>
    <row r="3204" spans="1:6">
      <c r="A3204">
        <v>3203</v>
      </c>
      <c r="B3204" t="s">
        <v>10671</v>
      </c>
      <c r="C3204">
        <v>250</v>
      </c>
      <c r="D3204">
        <v>750</v>
      </c>
      <c r="E3204">
        <v>50</v>
      </c>
      <c r="F3204" s="87" t="s">
        <v>16816</v>
      </c>
    </row>
    <row r="3205" spans="1:6">
      <c r="A3205">
        <v>3204</v>
      </c>
      <c r="B3205" t="s">
        <v>10674</v>
      </c>
      <c r="C3205">
        <v>1000</v>
      </c>
      <c r="D3205">
        <v>0</v>
      </c>
      <c r="E3205">
        <v>50</v>
      </c>
      <c r="F3205" s="71">
        <v>44887</v>
      </c>
    </row>
    <row r="3206" spans="1:6">
      <c r="A3206">
        <v>3205</v>
      </c>
      <c r="B3206" t="s">
        <v>10677</v>
      </c>
      <c r="C3206">
        <v>1000</v>
      </c>
      <c r="D3206">
        <v>0</v>
      </c>
      <c r="E3206">
        <v>50</v>
      </c>
      <c r="F3206" s="69">
        <v>44876</v>
      </c>
    </row>
    <row r="3207" spans="1:6">
      <c r="A3207">
        <v>3206</v>
      </c>
      <c r="B3207" t="s">
        <v>10681</v>
      </c>
      <c r="C3207">
        <v>250</v>
      </c>
      <c r="D3207">
        <v>750</v>
      </c>
      <c r="E3207">
        <v>50</v>
      </c>
      <c r="F3207" s="61">
        <v>44880</v>
      </c>
    </row>
    <row r="3208" spans="1:6">
      <c r="A3208">
        <v>3207</v>
      </c>
      <c r="B3208" t="s">
        <v>10685</v>
      </c>
      <c r="C3208">
        <v>250</v>
      </c>
      <c r="D3208">
        <v>750</v>
      </c>
      <c r="E3208">
        <v>50</v>
      </c>
      <c r="F3208" s="70">
        <v>44876</v>
      </c>
    </row>
    <row r="3209" spans="1:6">
      <c r="A3209">
        <v>3208</v>
      </c>
      <c r="B3209" t="s">
        <v>10689</v>
      </c>
      <c r="C3209">
        <v>250</v>
      </c>
      <c r="D3209">
        <v>750</v>
      </c>
      <c r="E3209">
        <v>50</v>
      </c>
      <c r="F3209" s="60">
        <v>44967</v>
      </c>
    </row>
    <row r="3210" spans="1:6">
      <c r="A3210">
        <v>3209</v>
      </c>
      <c r="B3210" t="s">
        <v>10694</v>
      </c>
      <c r="C3210">
        <v>4000</v>
      </c>
      <c r="D3210">
        <v>0</v>
      </c>
      <c r="E3210">
        <v>200</v>
      </c>
      <c r="F3210" s="64" t="s">
        <v>16810</v>
      </c>
    </row>
    <row r="3211" spans="1:6">
      <c r="A3211">
        <v>3210</v>
      </c>
      <c r="B3211" t="s">
        <v>10698</v>
      </c>
      <c r="C3211">
        <v>250</v>
      </c>
      <c r="D3211">
        <v>750</v>
      </c>
      <c r="E3211">
        <v>50</v>
      </c>
      <c r="F3211" s="61">
        <v>44835</v>
      </c>
    </row>
    <row r="3212" spans="1:6">
      <c r="A3212">
        <v>3211</v>
      </c>
      <c r="B3212" t="s">
        <v>10701</v>
      </c>
      <c r="C3212">
        <v>250</v>
      </c>
      <c r="D3212">
        <v>750</v>
      </c>
      <c r="E3212">
        <v>50</v>
      </c>
      <c r="F3212" s="61">
        <v>44897</v>
      </c>
    </row>
    <row r="3213" spans="1:6">
      <c r="A3213">
        <v>3212</v>
      </c>
      <c r="B3213" t="s">
        <v>10704</v>
      </c>
      <c r="C3213">
        <v>250</v>
      </c>
      <c r="D3213">
        <v>750</v>
      </c>
      <c r="E3213">
        <v>50</v>
      </c>
      <c r="F3213" s="138">
        <v>44841</v>
      </c>
    </row>
    <row r="3214" spans="1:6">
      <c r="A3214">
        <v>3213</v>
      </c>
      <c r="B3214" t="s">
        <v>10707</v>
      </c>
      <c r="C3214">
        <v>250</v>
      </c>
      <c r="D3214">
        <v>750</v>
      </c>
      <c r="E3214">
        <v>50</v>
      </c>
      <c r="F3214" s="61">
        <v>44875</v>
      </c>
    </row>
    <row r="3215" spans="1:6">
      <c r="A3215">
        <v>3214</v>
      </c>
      <c r="B3215" t="s">
        <v>10710</v>
      </c>
      <c r="C3215">
        <v>250</v>
      </c>
      <c r="D3215">
        <v>750</v>
      </c>
      <c r="E3215">
        <v>50</v>
      </c>
      <c r="F3215" s="61">
        <v>44916</v>
      </c>
    </row>
    <row r="3216" spans="1:6">
      <c r="A3216">
        <v>3215</v>
      </c>
      <c r="B3216" t="s">
        <v>10714</v>
      </c>
      <c r="C3216">
        <v>250</v>
      </c>
      <c r="D3216">
        <v>750</v>
      </c>
      <c r="E3216">
        <v>50</v>
      </c>
      <c r="F3216" s="60">
        <v>44985</v>
      </c>
    </row>
    <row r="3217" spans="1:6">
      <c r="A3217">
        <v>3216</v>
      </c>
      <c r="B3217" t="s">
        <v>10717</v>
      </c>
      <c r="C3217">
        <v>250</v>
      </c>
      <c r="D3217">
        <v>750</v>
      </c>
      <c r="E3217">
        <v>50</v>
      </c>
      <c r="F3217" s="65">
        <v>44510</v>
      </c>
    </row>
    <row r="3218" spans="1:6">
      <c r="A3218">
        <v>3217</v>
      </c>
      <c r="B3218" t="s">
        <v>10721</v>
      </c>
      <c r="C3218">
        <v>10000</v>
      </c>
      <c r="D3218">
        <v>0</v>
      </c>
      <c r="E3218">
        <v>500</v>
      </c>
      <c r="F3218" s="64" t="s">
        <v>16760</v>
      </c>
    </row>
    <row r="3219" spans="1:6">
      <c r="A3219">
        <v>3218</v>
      </c>
      <c r="B3219" t="s">
        <v>10726</v>
      </c>
      <c r="C3219">
        <v>250</v>
      </c>
      <c r="D3219">
        <v>750</v>
      </c>
      <c r="E3219">
        <v>50</v>
      </c>
      <c r="F3219" s="69">
        <v>44957</v>
      </c>
    </row>
    <row r="3220" spans="1:6">
      <c r="A3220">
        <v>3219</v>
      </c>
      <c r="B3220" t="s">
        <v>10729</v>
      </c>
      <c r="C3220">
        <v>250</v>
      </c>
      <c r="D3220">
        <v>750</v>
      </c>
      <c r="E3220">
        <v>50</v>
      </c>
      <c r="F3220" s="71">
        <v>44875</v>
      </c>
    </row>
    <row r="3221" spans="1:6">
      <c r="A3221">
        <v>3220</v>
      </c>
      <c r="B3221" t="s">
        <v>10732</v>
      </c>
      <c r="C3221">
        <v>1000</v>
      </c>
      <c r="D3221">
        <v>0</v>
      </c>
      <c r="E3221">
        <v>50</v>
      </c>
      <c r="F3221" s="69">
        <v>44953</v>
      </c>
    </row>
    <row r="3222" spans="1:6">
      <c r="A3222">
        <v>3221</v>
      </c>
      <c r="B3222" t="s">
        <v>10736</v>
      </c>
      <c r="C3222">
        <v>5000</v>
      </c>
      <c r="D3222">
        <v>15000</v>
      </c>
      <c r="E3222">
        <v>1000</v>
      </c>
      <c r="F3222" s="67">
        <v>44807</v>
      </c>
    </row>
    <row r="3223" spans="1:6">
      <c r="A3223">
        <v>3222</v>
      </c>
      <c r="B3223" t="s">
        <v>10739</v>
      </c>
      <c r="C3223">
        <v>1000</v>
      </c>
      <c r="D3223">
        <v>0</v>
      </c>
      <c r="E3223">
        <v>50</v>
      </c>
      <c r="F3223" s="69">
        <v>45058</v>
      </c>
    </row>
    <row r="3224" spans="1:6">
      <c r="A3224">
        <v>3223</v>
      </c>
      <c r="B3224" t="s">
        <v>10742</v>
      </c>
      <c r="C3224">
        <v>250</v>
      </c>
      <c r="D3224">
        <v>750</v>
      </c>
      <c r="E3224">
        <v>50</v>
      </c>
      <c r="F3224" s="61">
        <v>44865</v>
      </c>
    </row>
    <row r="3225" spans="1:6">
      <c r="A3225">
        <v>3224</v>
      </c>
      <c r="B3225" t="s">
        <v>10745</v>
      </c>
      <c r="C3225">
        <v>250</v>
      </c>
      <c r="D3225">
        <v>750</v>
      </c>
      <c r="E3225">
        <v>50</v>
      </c>
      <c r="F3225" s="60">
        <v>44858</v>
      </c>
    </row>
    <row r="3226" spans="1:6">
      <c r="A3226">
        <v>3225</v>
      </c>
      <c r="B3226" t="s">
        <v>10748</v>
      </c>
      <c r="C3226">
        <v>100000</v>
      </c>
      <c r="D3226">
        <v>0</v>
      </c>
      <c r="E3226" t="s">
        <v>16642</v>
      </c>
      <c r="F3226" s="96">
        <v>44903</v>
      </c>
    </row>
    <row r="3227" spans="1:6">
      <c r="A3227">
        <v>3226</v>
      </c>
      <c r="B3227" t="s">
        <v>10748</v>
      </c>
      <c r="C3227">
        <v>100000</v>
      </c>
      <c r="D3227">
        <v>0</v>
      </c>
      <c r="E3227" t="s">
        <v>16642</v>
      </c>
      <c r="F3227" s="85"/>
    </row>
    <row r="3228" spans="1:6">
      <c r="A3228">
        <v>3227</v>
      </c>
      <c r="B3228" t="s">
        <v>10754</v>
      </c>
      <c r="C3228">
        <v>1000</v>
      </c>
      <c r="D3228">
        <v>0</v>
      </c>
      <c r="E3228">
        <v>50</v>
      </c>
      <c r="F3228" s="69">
        <v>44963</v>
      </c>
    </row>
    <row r="3229" spans="1:6">
      <c r="A3229">
        <v>3228</v>
      </c>
      <c r="B3229" t="s">
        <v>10758</v>
      </c>
      <c r="C3229">
        <v>1000</v>
      </c>
      <c r="D3229">
        <v>0</v>
      </c>
      <c r="E3229">
        <v>50</v>
      </c>
      <c r="F3229" s="61">
        <v>44872</v>
      </c>
    </row>
    <row r="3230" spans="1:6">
      <c r="A3230">
        <v>3229</v>
      </c>
      <c r="B3230" t="s">
        <v>10761</v>
      </c>
      <c r="C3230">
        <v>1000</v>
      </c>
      <c r="D3230">
        <v>0</v>
      </c>
      <c r="E3230">
        <v>50</v>
      </c>
      <c r="F3230" s="65">
        <v>44516</v>
      </c>
    </row>
    <row r="3231" spans="1:6">
      <c r="A3231">
        <v>3230</v>
      </c>
      <c r="B3231" t="s">
        <v>10766</v>
      </c>
      <c r="C3231">
        <v>100000</v>
      </c>
      <c r="D3231">
        <v>0</v>
      </c>
      <c r="E3231" t="s">
        <v>16642</v>
      </c>
      <c r="F3231" s="76"/>
    </row>
    <row r="3232" spans="1:6">
      <c r="A3232">
        <v>3231</v>
      </c>
      <c r="B3232" t="s">
        <v>10771</v>
      </c>
      <c r="C3232">
        <v>250</v>
      </c>
      <c r="D3232">
        <v>750</v>
      </c>
      <c r="E3232">
        <v>50</v>
      </c>
      <c r="F3232" s="73">
        <v>44944</v>
      </c>
    </row>
    <row r="3233" spans="1:6">
      <c r="A3233">
        <v>3232</v>
      </c>
      <c r="B3233" t="s">
        <v>10774</v>
      </c>
      <c r="C3233">
        <v>250</v>
      </c>
      <c r="D3233">
        <v>750</v>
      </c>
      <c r="E3233">
        <v>50</v>
      </c>
      <c r="F3233" s="60">
        <v>44854</v>
      </c>
    </row>
    <row r="3234" spans="1:6">
      <c r="A3234">
        <v>3233</v>
      </c>
      <c r="B3234" t="s">
        <v>10777</v>
      </c>
      <c r="C3234">
        <v>250</v>
      </c>
      <c r="D3234">
        <v>750</v>
      </c>
      <c r="E3234">
        <v>50</v>
      </c>
      <c r="F3234" s="60">
        <v>44887</v>
      </c>
    </row>
    <row r="3235" spans="1:6">
      <c r="A3235">
        <v>3234</v>
      </c>
      <c r="B3235" t="s">
        <v>10780</v>
      </c>
      <c r="C3235">
        <v>250</v>
      </c>
      <c r="D3235">
        <v>750</v>
      </c>
      <c r="E3235">
        <v>50</v>
      </c>
      <c r="F3235" s="60">
        <v>44880</v>
      </c>
    </row>
    <row r="3236" spans="1:6">
      <c r="A3236">
        <v>3235</v>
      </c>
      <c r="B3236" t="s">
        <v>10783</v>
      </c>
      <c r="C3236">
        <v>1000</v>
      </c>
      <c r="D3236">
        <v>0</v>
      </c>
      <c r="E3236">
        <v>50</v>
      </c>
      <c r="F3236" s="69">
        <v>44960</v>
      </c>
    </row>
    <row r="3237" spans="1:6">
      <c r="A3237">
        <v>3236</v>
      </c>
      <c r="B3237" t="s">
        <v>10787</v>
      </c>
      <c r="C3237">
        <v>250</v>
      </c>
      <c r="D3237">
        <v>750</v>
      </c>
      <c r="E3237">
        <v>50</v>
      </c>
      <c r="F3237" s="61">
        <v>44865</v>
      </c>
    </row>
    <row r="3238" ht="31.5" spans="1:6">
      <c r="A3238">
        <v>3237</v>
      </c>
      <c r="B3238" t="s">
        <v>10791</v>
      </c>
      <c r="C3238">
        <v>85000</v>
      </c>
      <c r="D3238">
        <v>225000</v>
      </c>
      <c r="E3238">
        <v>500</v>
      </c>
      <c r="F3238" s="77" t="s">
        <v>16817</v>
      </c>
    </row>
    <row r="3239" spans="1:6">
      <c r="A3239">
        <v>3238</v>
      </c>
      <c r="B3239" t="s">
        <v>10794</v>
      </c>
      <c r="C3239">
        <v>200000</v>
      </c>
      <c r="D3239">
        <v>0</v>
      </c>
      <c r="E3239" t="s">
        <v>16642</v>
      </c>
      <c r="F3239" s="76">
        <v>44820</v>
      </c>
    </row>
    <row r="3240" spans="1:6">
      <c r="A3240">
        <v>3239</v>
      </c>
      <c r="B3240" t="s">
        <v>10798</v>
      </c>
      <c r="C3240">
        <v>100000</v>
      </c>
      <c r="D3240">
        <v>0</v>
      </c>
      <c r="E3240" t="s">
        <v>16642</v>
      </c>
      <c r="F3240" s="76">
        <v>44908</v>
      </c>
    </row>
    <row r="3241" spans="1:6">
      <c r="A3241">
        <v>3240</v>
      </c>
      <c r="B3241" t="s">
        <v>10803</v>
      </c>
      <c r="C3241">
        <v>250</v>
      </c>
      <c r="D3241">
        <v>750</v>
      </c>
      <c r="E3241">
        <v>50</v>
      </c>
      <c r="F3241" s="60">
        <v>44873</v>
      </c>
    </row>
    <row r="3242" spans="1:6">
      <c r="A3242">
        <v>3241</v>
      </c>
      <c r="B3242" t="s">
        <v>10806</v>
      </c>
      <c r="C3242">
        <v>250</v>
      </c>
      <c r="D3242">
        <v>750</v>
      </c>
      <c r="E3242">
        <v>50</v>
      </c>
      <c r="F3242" s="69">
        <v>44985</v>
      </c>
    </row>
    <row r="3243" spans="1:6">
      <c r="A3243">
        <v>3242</v>
      </c>
      <c r="B3243" t="s">
        <v>10809</v>
      </c>
      <c r="C3243">
        <v>250</v>
      </c>
      <c r="D3243">
        <v>750</v>
      </c>
      <c r="E3243">
        <v>50</v>
      </c>
      <c r="F3243" s="61">
        <v>44846</v>
      </c>
    </row>
    <row r="3244" spans="1:6">
      <c r="A3244">
        <v>3243</v>
      </c>
      <c r="B3244" t="s">
        <v>10812</v>
      </c>
      <c r="C3244">
        <v>250</v>
      </c>
      <c r="D3244">
        <v>750</v>
      </c>
      <c r="E3244">
        <v>50</v>
      </c>
      <c r="F3244" s="61">
        <v>44856</v>
      </c>
    </row>
    <row r="3245" spans="1:6">
      <c r="A3245">
        <v>3244</v>
      </c>
      <c r="B3245" t="s">
        <v>10815</v>
      </c>
      <c r="C3245">
        <v>250</v>
      </c>
      <c r="D3245">
        <v>750</v>
      </c>
      <c r="E3245">
        <v>50</v>
      </c>
      <c r="F3245" s="61">
        <v>44975</v>
      </c>
    </row>
    <row r="3246" spans="1:6">
      <c r="A3246">
        <v>3245</v>
      </c>
      <c r="B3246" t="s">
        <v>10819</v>
      </c>
      <c r="C3246">
        <v>250</v>
      </c>
      <c r="D3246">
        <v>750</v>
      </c>
      <c r="E3246">
        <v>50</v>
      </c>
      <c r="F3246" s="60">
        <v>44866</v>
      </c>
    </row>
    <row r="3247" spans="1:6">
      <c r="A3247">
        <v>3246</v>
      </c>
      <c r="B3247" t="s">
        <v>10823</v>
      </c>
      <c r="C3247">
        <v>250</v>
      </c>
      <c r="D3247">
        <v>750</v>
      </c>
      <c r="E3247">
        <v>50</v>
      </c>
      <c r="F3247" s="60">
        <v>44872</v>
      </c>
    </row>
    <row r="3248" spans="1:6">
      <c r="A3248">
        <v>3247</v>
      </c>
      <c r="B3248" t="s">
        <v>10826</v>
      </c>
      <c r="C3248">
        <v>250</v>
      </c>
      <c r="D3248">
        <v>750</v>
      </c>
      <c r="E3248">
        <v>50</v>
      </c>
      <c r="F3248" s="60">
        <v>44965</v>
      </c>
    </row>
    <row r="3249" spans="1:6">
      <c r="A3249">
        <v>3248</v>
      </c>
      <c r="B3249" t="s">
        <v>10829</v>
      </c>
      <c r="C3249">
        <v>250</v>
      </c>
      <c r="D3249">
        <v>750</v>
      </c>
      <c r="E3249">
        <v>50</v>
      </c>
      <c r="F3249" s="60">
        <v>45006</v>
      </c>
    </row>
    <row r="3250" spans="1:6">
      <c r="A3250">
        <v>3249</v>
      </c>
      <c r="B3250" t="s">
        <v>10832</v>
      </c>
      <c r="C3250">
        <v>250</v>
      </c>
      <c r="D3250">
        <v>750</v>
      </c>
      <c r="E3250">
        <v>50</v>
      </c>
      <c r="F3250" s="69">
        <v>44916</v>
      </c>
    </row>
    <row r="3251" spans="1:6">
      <c r="A3251">
        <v>3250</v>
      </c>
      <c r="B3251" t="s">
        <v>10836</v>
      </c>
      <c r="C3251">
        <v>1000</v>
      </c>
      <c r="D3251">
        <v>0</v>
      </c>
      <c r="E3251">
        <v>50</v>
      </c>
      <c r="F3251" s="69">
        <v>44988</v>
      </c>
    </row>
    <row r="3252" spans="1:6">
      <c r="A3252">
        <v>3251</v>
      </c>
      <c r="B3252" t="s">
        <v>10840</v>
      </c>
      <c r="C3252">
        <v>100000</v>
      </c>
      <c r="D3252">
        <v>0</v>
      </c>
      <c r="E3252" t="s">
        <v>16642</v>
      </c>
      <c r="F3252" s="104"/>
    </row>
    <row r="3253" spans="1:6">
      <c r="A3253">
        <v>3252</v>
      </c>
      <c r="B3253" t="s">
        <v>10845</v>
      </c>
      <c r="C3253">
        <v>250</v>
      </c>
      <c r="D3253">
        <v>750</v>
      </c>
      <c r="E3253">
        <v>50</v>
      </c>
      <c r="F3253" s="60">
        <v>44975</v>
      </c>
    </row>
    <row r="3254" spans="1:6">
      <c r="A3254">
        <v>3253</v>
      </c>
      <c r="B3254" t="s">
        <v>10849</v>
      </c>
      <c r="C3254">
        <v>250</v>
      </c>
      <c r="D3254">
        <v>750</v>
      </c>
      <c r="E3254">
        <v>50</v>
      </c>
      <c r="F3254" s="69">
        <v>44924</v>
      </c>
    </row>
    <row r="3255" spans="1:6">
      <c r="A3255">
        <v>3254</v>
      </c>
      <c r="B3255" t="s">
        <v>10853</v>
      </c>
      <c r="C3255">
        <v>250</v>
      </c>
      <c r="D3255">
        <v>750</v>
      </c>
      <c r="E3255">
        <v>50</v>
      </c>
      <c r="F3255" s="61">
        <v>44865</v>
      </c>
    </row>
    <row r="3256" spans="1:6">
      <c r="A3256">
        <v>3255</v>
      </c>
      <c r="B3256" t="s">
        <v>10856</v>
      </c>
      <c r="C3256">
        <v>250</v>
      </c>
      <c r="D3256">
        <v>750</v>
      </c>
      <c r="E3256">
        <v>50</v>
      </c>
      <c r="F3256" s="69">
        <v>45015</v>
      </c>
    </row>
    <row r="3257" spans="1:6">
      <c r="A3257">
        <v>3256</v>
      </c>
      <c r="B3257" t="s">
        <v>10859</v>
      </c>
      <c r="C3257">
        <v>1000</v>
      </c>
      <c r="D3257">
        <v>0</v>
      </c>
      <c r="E3257">
        <v>50</v>
      </c>
      <c r="F3257" s="65">
        <v>44491</v>
      </c>
    </row>
    <row r="3258" spans="1:6">
      <c r="A3258">
        <v>3257</v>
      </c>
      <c r="B3258" t="s">
        <v>10864</v>
      </c>
      <c r="C3258">
        <v>250</v>
      </c>
      <c r="D3258">
        <v>750</v>
      </c>
      <c r="E3258">
        <v>50</v>
      </c>
      <c r="F3258" s="73">
        <v>44998</v>
      </c>
    </row>
    <row r="3259" spans="1:6">
      <c r="A3259">
        <v>3258</v>
      </c>
      <c r="B3259" t="s">
        <v>10867</v>
      </c>
      <c r="C3259">
        <v>250</v>
      </c>
      <c r="D3259">
        <v>750</v>
      </c>
      <c r="E3259">
        <v>50</v>
      </c>
      <c r="F3259" s="60">
        <v>44866</v>
      </c>
    </row>
    <row r="3260" spans="1:6">
      <c r="A3260">
        <v>3259</v>
      </c>
      <c r="B3260" t="s">
        <v>10871</v>
      </c>
      <c r="C3260">
        <v>250</v>
      </c>
      <c r="D3260">
        <v>750</v>
      </c>
      <c r="E3260">
        <v>50</v>
      </c>
      <c r="F3260" s="60">
        <v>44888</v>
      </c>
    </row>
    <row r="3261" spans="1:6">
      <c r="A3261">
        <v>3260</v>
      </c>
      <c r="B3261" t="s">
        <v>10875</v>
      </c>
      <c r="C3261">
        <v>7500</v>
      </c>
      <c r="D3261">
        <v>2500</v>
      </c>
      <c r="E3261">
        <v>500</v>
      </c>
      <c r="F3261" s="64" t="s">
        <v>16691</v>
      </c>
    </row>
    <row r="3262" spans="1:6">
      <c r="A3262">
        <v>3261</v>
      </c>
      <c r="B3262" t="s">
        <v>10879</v>
      </c>
      <c r="C3262">
        <v>250</v>
      </c>
      <c r="D3262">
        <v>750</v>
      </c>
      <c r="E3262">
        <v>50</v>
      </c>
      <c r="F3262" s="60">
        <v>44982</v>
      </c>
    </row>
    <row r="3263" spans="1:6">
      <c r="A3263">
        <v>3262</v>
      </c>
      <c r="B3263" t="s">
        <v>10882</v>
      </c>
      <c r="C3263">
        <v>250</v>
      </c>
      <c r="D3263">
        <v>750</v>
      </c>
      <c r="E3263">
        <v>50</v>
      </c>
      <c r="F3263" s="61">
        <v>44866</v>
      </c>
    </row>
    <row r="3264" spans="1:6">
      <c r="A3264">
        <v>3263</v>
      </c>
      <c r="B3264" t="s">
        <v>10885</v>
      </c>
      <c r="C3264">
        <v>250</v>
      </c>
      <c r="D3264">
        <v>750</v>
      </c>
      <c r="E3264">
        <v>50</v>
      </c>
      <c r="F3264" s="60">
        <v>44931</v>
      </c>
    </row>
    <row r="3265" spans="1:6">
      <c r="A3265">
        <v>3264</v>
      </c>
      <c r="B3265" t="s">
        <v>10888</v>
      </c>
      <c r="C3265">
        <v>250</v>
      </c>
      <c r="D3265">
        <v>750</v>
      </c>
      <c r="E3265">
        <v>50</v>
      </c>
      <c r="F3265" s="60">
        <v>44879</v>
      </c>
    </row>
    <row r="3266" spans="1:6">
      <c r="A3266">
        <v>3265</v>
      </c>
      <c r="B3266" t="s">
        <v>10892</v>
      </c>
      <c r="C3266">
        <v>250</v>
      </c>
      <c r="D3266">
        <v>750</v>
      </c>
      <c r="E3266">
        <v>50</v>
      </c>
      <c r="F3266" s="60">
        <v>44982</v>
      </c>
    </row>
    <row r="3267" spans="1:6">
      <c r="A3267">
        <v>3266</v>
      </c>
      <c r="B3267" t="s">
        <v>10895</v>
      </c>
      <c r="C3267">
        <v>250</v>
      </c>
      <c r="D3267">
        <v>750</v>
      </c>
      <c r="E3267">
        <v>50</v>
      </c>
      <c r="F3267" s="60">
        <v>44858</v>
      </c>
    </row>
    <row r="3268" spans="1:6">
      <c r="A3268">
        <v>3267</v>
      </c>
      <c r="B3268" t="s">
        <v>10898</v>
      </c>
      <c r="C3268">
        <v>250</v>
      </c>
      <c r="D3268">
        <v>750</v>
      </c>
      <c r="E3268">
        <v>50</v>
      </c>
      <c r="F3268" s="61">
        <v>44820</v>
      </c>
    </row>
    <row r="3269" spans="1:6">
      <c r="A3269">
        <v>3268</v>
      </c>
      <c r="B3269" t="s">
        <v>10902</v>
      </c>
      <c r="C3269">
        <v>250</v>
      </c>
      <c r="D3269">
        <v>750</v>
      </c>
      <c r="E3269">
        <v>50</v>
      </c>
      <c r="F3269" s="60">
        <v>44807</v>
      </c>
    </row>
    <row r="3270" spans="1:6">
      <c r="A3270">
        <v>3269</v>
      </c>
      <c r="B3270" t="s">
        <v>10905</v>
      </c>
      <c r="C3270">
        <v>12500</v>
      </c>
      <c r="D3270">
        <v>37500</v>
      </c>
      <c r="E3270">
        <v>2500</v>
      </c>
      <c r="F3270" s="67">
        <v>44984</v>
      </c>
    </row>
    <row r="3271" spans="1:6">
      <c r="A3271">
        <v>3270</v>
      </c>
      <c r="B3271" t="s">
        <v>10908</v>
      </c>
      <c r="C3271">
        <v>12500</v>
      </c>
      <c r="D3271">
        <v>37500</v>
      </c>
      <c r="E3271">
        <v>2500</v>
      </c>
      <c r="F3271" s="77">
        <v>44792</v>
      </c>
    </row>
    <row r="3272" spans="1:6">
      <c r="A3272">
        <v>3271</v>
      </c>
      <c r="B3272" t="s">
        <v>10911</v>
      </c>
      <c r="C3272">
        <v>250</v>
      </c>
      <c r="D3272">
        <v>750</v>
      </c>
      <c r="E3272">
        <v>50</v>
      </c>
      <c r="F3272" s="69">
        <v>45022</v>
      </c>
    </row>
    <row r="3273" spans="1:6">
      <c r="A3273">
        <v>3272</v>
      </c>
      <c r="B3273" t="s">
        <v>10914</v>
      </c>
      <c r="C3273">
        <v>250</v>
      </c>
      <c r="D3273">
        <v>750</v>
      </c>
      <c r="E3273">
        <v>50</v>
      </c>
      <c r="F3273" s="69">
        <v>44939</v>
      </c>
    </row>
    <row r="3274" ht="15" spans="1:6">
      <c r="A3274">
        <v>3273</v>
      </c>
      <c r="B3274" t="s">
        <v>10918</v>
      </c>
      <c r="C3274">
        <v>1500000</v>
      </c>
      <c r="D3274">
        <v>0</v>
      </c>
      <c r="E3274" t="s">
        <v>16642</v>
      </c>
      <c r="F3274" s="81">
        <f>IFERROR(__xludf.DUMMYFUNCTION("""COMPUTED_VALUE"""),45078)</f>
        <v>45078</v>
      </c>
    </row>
    <row r="3275" spans="1:6">
      <c r="A3275">
        <v>3274</v>
      </c>
      <c r="B3275" t="s">
        <v>10919</v>
      </c>
      <c r="C3275">
        <v>15000</v>
      </c>
      <c r="D3275">
        <v>0</v>
      </c>
      <c r="E3275">
        <v>750</v>
      </c>
      <c r="F3275" s="65">
        <v>44666</v>
      </c>
    </row>
    <row r="3276" spans="1:6">
      <c r="A3276">
        <v>3275</v>
      </c>
      <c r="B3276" t="s">
        <v>10923</v>
      </c>
      <c r="C3276">
        <v>250</v>
      </c>
      <c r="D3276">
        <v>750</v>
      </c>
      <c r="E3276">
        <v>50</v>
      </c>
      <c r="F3276" s="60">
        <v>44925</v>
      </c>
    </row>
    <row r="3277" spans="1:6">
      <c r="A3277">
        <v>3276</v>
      </c>
      <c r="B3277" t="s">
        <v>10927</v>
      </c>
      <c r="C3277">
        <v>250</v>
      </c>
      <c r="D3277">
        <v>750</v>
      </c>
      <c r="E3277">
        <v>50</v>
      </c>
      <c r="F3277" s="60">
        <v>44867</v>
      </c>
    </row>
    <row r="3278" spans="1:6">
      <c r="A3278">
        <v>3277</v>
      </c>
      <c r="B3278" t="s">
        <v>10930</v>
      </c>
      <c r="C3278">
        <v>1000</v>
      </c>
      <c r="D3278">
        <v>0</v>
      </c>
      <c r="E3278">
        <v>50</v>
      </c>
      <c r="F3278" s="61">
        <v>44868</v>
      </c>
    </row>
    <row r="3279" spans="1:6">
      <c r="A3279">
        <v>3278</v>
      </c>
      <c r="B3279" t="s">
        <v>10933</v>
      </c>
      <c r="C3279">
        <v>100000</v>
      </c>
      <c r="D3279">
        <v>0</v>
      </c>
      <c r="E3279" t="s">
        <v>16642</v>
      </c>
      <c r="F3279" s="66"/>
    </row>
    <row r="3280" spans="1:6">
      <c r="A3280">
        <v>3279</v>
      </c>
      <c r="B3280" t="s">
        <v>10937</v>
      </c>
      <c r="C3280">
        <v>10000</v>
      </c>
      <c r="D3280">
        <v>0</v>
      </c>
      <c r="E3280">
        <v>500</v>
      </c>
      <c r="F3280" s="67">
        <v>44715</v>
      </c>
    </row>
    <row r="3281" spans="1:6">
      <c r="A3281">
        <v>3280</v>
      </c>
      <c r="B3281" t="s">
        <v>10940</v>
      </c>
      <c r="C3281">
        <v>250</v>
      </c>
      <c r="D3281">
        <v>750</v>
      </c>
      <c r="E3281">
        <v>50</v>
      </c>
      <c r="F3281" s="69">
        <v>45049</v>
      </c>
    </row>
    <row r="3282" spans="1:6">
      <c r="A3282">
        <v>3281</v>
      </c>
      <c r="B3282" t="s">
        <v>10943</v>
      </c>
      <c r="C3282">
        <v>250</v>
      </c>
      <c r="D3282">
        <v>750</v>
      </c>
      <c r="E3282">
        <v>50</v>
      </c>
      <c r="F3282" s="61">
        <v>45010</v>
      </c>
    </row>
    <row r="3283" spans="1:6">
      <c r="A3283">
        <v>3282</v>
      </c>
      <c r="B3283" t="s">
        <v>10946</v>
      </c>
      <c r="C3283">
        <v>250</v>
      </c>
      <c r="D3283">
        <v>750</v>
      </c>
      <c r="E3283">
        <v>50</v>
      </c>
      <c r="F3283" s="60">
        <v>45012</v>
      </c>
    </row>
    <row r="3284" spans="1:6">
      <c r="A3284">
        <v>3283</v>
      </c>
      <c r="B3284" t="s">
        <v>10949</v>
      </c>
      <c r="C3284">
        <v>1000</v>
      </c>
      <c r="D3284">
        <v>0</v>
      </c>
      <c r="E3284">
        <v>50</v>
      </c>
      <c r="F3284" s="61">
        <v>44868</v>
      </c>
    </row>
    <row r="3285" spans="1:6">
      <c r="A3285">
        <v>3284</v>
      </c>
      <c r="B3285" t="s">
        <v>10952</v>
      </c>
      <c r="C3285">
        <v>250</v>
      </c>
      <c r="D3285">
        <v>750</v>
      </c>
      <c r="E3285">
        <v>50</v>
      </c>
      <c r="F3285" s="61">
        <v>44876</v>
      </c>
    </row>
    <row r="3286" spans="1:6">
      <c r="A3286">
        <v>3285</v>
      </c>
      <c r="B3286" t="s">
        <v>10955</v>
      </c>
      <c r="C3286">
        <v>250</v>
      </c>
      <c r="D3286">
        <v>750</v>
      </c>
      <c r="E3286">
        <v>50</v>
      </c>
      <c r="F3286" s="61">
        <v>44858</v>
      </c>
    </row>
    <row r="3287" spans="1:6">
      <c r="A3287">
        <v>3286</v>
      </c>
      <c r="B3287" t="s">
        <v>10958</v>
      </c>
      <c r="C3287">
        <v>250</v>
      </c>
      <c r="D3287">
        <v>750</v>
      </c>
      <c r="E3287">
        <v>50</v>
      </c>
      <c r="F3287" s="75">
        <v>44859</v>
      </c>
    </row>
    <row r="3288" spans="1:6">
      <c r="A3288">
        <v>3287</v>
      </c>
      <c r="B3288" t="s">
        <v>10961</v>
      </c>
      <c r="C3288">
        <v>250</v>
      </c>
      <c r="D3288">
        <v>750</v>
      </c>
      <c r="E3288">
        <v>50</v>
      </c>
      <c r="F3288" s="61">
        <v>44928</v>
      </c>
    </row>
    <row r="3289" spans="1:6">
      <c r="A3289">
        <v>3288</v>
      </c>
      <c r="B3289" t="s">
        <v>10965</v>
      </c>
      <c r="C3289">
        <v>250</v>
      </c>
      <c r="D3289">
        <v>750</v>
      </c>
      <c r="E3289">
        <v>50</v>
      </c>
      <c r="F3289" s="69">
        <v>44937</v>
      </c>
    </row>
    <row r="3290" spans="1:6">
      <c r="A3290">
        <v>3289</v>
      </c>
      <c r="B3290" t="s">
        <v>10969</v>
      </c>
      <c r="C3290">
        <v>250</v>
      </c>
      <c r="D3290">
        <v>750</v>
      </c>
      <c r="E3290">
        <v>50</v>
      </c>
      <c r="F3290" s="70">
        <v>154497</v>
      </c>
    </row>
    <row r="3291" ht="15" spans="1:6">
      <c r="A3291">
        <v>3290</v>
      </c>
      <c r="B3291" t="s">
        <v>10973</v>
      </c>
      <c r="C3291">
        <v>1000000</v>
      </c>
      <c r="D3291">
        <v>500000</v>
      </c>
      <c r="E3291" t="s">
        <v>16642</v>
      </c>
      <c r="F3291" s="81">
        <f>IFERROR(__xludf.DUMMYFUNCTION("""COMPUTED_VALUE"""),45083)</f>
        <v>45083</v>
      </c>
    </row>
    <row r="3292" spans="1:6">
      <c r="A3292">
        <v>3291</v>
      </c>
      <c r="B3292" t="s">
        <v>10974</v>
      </c>
      <c r="C3292">
        <v>250</v>
      </c>
      <c r="D3292">
        <v>750</v>
      </c>
      <c r="E3292">
        <v>50</v>
      </c>
      <c r="F3292" s="61">
        <v>44891</v>
      </c>
    </row>
    <row r="3293" spans="1:6">
      <c r="A3293">
        <v>3292</v>
      </c>
      <c r="B3293" t="s">
        <v>10977</v>
      </c>
      <c r="C3293">
        <v>250</v>
      </c>
      <c r="D3293">
        <v>750</v>
      </c>
      <c r="E3293">
        <v>50</v>
      </c>
      <c r="F3293" s="72">
        <v>44877</v>
      </c>
    </row>
    <row r="3294" spans="1:6">
      <c r="A3294">
        <v>3293</v>
      </c>
      <c r="B3294" t="s">
        <v>10980</v>
      </c>
      <c r="C3294">
        <v>1000</v>
      </c>
      <c r="D3294">
        <v>0</v>
      </c>
      <c r="E3294">
        <v>50</v>
      </c>
      <c r="F3294" s="73">
        <v>44980</v>
      </c>
    </row>
    <row r="3295" spans="1:6">
      <c r="A3295">
        <v>3294</v>
      </c>
      <c r="B3295" t="s">
        <v>10984</v>
      </c>
      <c r="C3295">
        <v>87500</v>
      </c>
      <c r="D3295">
        <v>262500</v>
      </c>
      <c r="E3295">
        <v>17500</v>
      </c>
      <c r="F3295" s="65">
        <v>44460</v>
      </c>
    </row>
    <row r="3296" spans="1:6">
      <c r="A3296">
        <v>3295</v>
      </c>
      <c r="B3296" t="s">
        <v>10989</v>
      </c>
      <c r="C3296">
        <v>1000</v>
      </c>
      <c r="D3296">
        <v>0</v>
      </c>
      <c r="E3296">
        <v>50</v>
      </c>
      <c r="F3296" s="60">
        <v>44868</v>
      </c>
    </row>
    <row r="3297" spans="1:6">
      <c r="A3297">
        <v>3296</v>
      </c>
      <c r="B3297" t="s">
        <v>10992</v>
      </c>
      <c r="C3297">
        <v>250</v>
      </c>
      <c r="D3297">
        <v>750</v>
      </c>
      <c r="E3297">
        <v>50</v>
      </c>
      <c r="F3297" s="60">
        <v>44870</v>
      </c>
    </row>
    <row r="3298" spans="1:6">
      <c r="A3298">
        <v>3297</v>
      </c>
      <c r="B3298" t="s">
        <v>10996</v>
      </c>
      <c r="C3298">
        <v>250</v>
      </c>
      <c r="D3298">
        <v>750</v>
      </c>
      <c r="E3298">
        <v>50</v>
      </c>
      <c r="F3298" s="61">
        <v>44877</v>
      </c>
    </row>
    <row r="3299" spans="1:6">
      <c r="A3299">
        <v>3298</v>
      </c>
      <c r="B3299" t="s">
        <v>10999</v>
      </c>
      <c r="C3299">
        <v>250</v>
      </c>
      <c r="D3299">
        <v>750</v>
      </c>
      <c r="E3299">
        <v>50</v>
      </c>
      <c r="F3299" s="78">
        <v>44926</v>
      </c>
    </row>
    <row r="3300" spans="1:6">
      <c r="A3300">
        <v>3299</v>
      </c>
      <c r="B3300" t="s">
        <v>11002</v>
      </c>
      <c r="C3300">
        <v>250</v>
      </c>
      <c r="D3300">
        <v>750</v>
      </c>
      <c r="E3300">
        <v>50</v>
      </c>
      <c r="F3300" s="73">
        <v>44952</v>
      </c>
    </row>
    <row r="3301" spans="1:6">
      <c r="A3301">
        <v>3300</v>
      </c>
      <c r="B3301" t="s">
        <v>11006</v>
      </c>
      <c r="C3301">
        <v>250</v>
      </c>
      <c r="D3301">
        <v>750</v>
      </c>
      <c r="E3301">
        <v>50</v>
      </c>
      <c r="F3301" s="69">
        <v>44968</v>
      </c>
    </row>
    <row r="3302" spans="1:6">
      <c r="A3302">
        <v>3301</v>
      </c>
      <c r="B3302" t="s">
        <v>11010</v>
      </c>
      <c r="C3302">
        <v>250</v>
      </c>
      <c r="D3302">
        <v>750</v>
      </c>
      <c r="E3302">
        <v>50</v>
      </c>
      <c r="F3302" s="61">
        <v>44807</v>
      </c>
    </row>
    <row r="3303" spans="1:6">
      <c r="A3303">
        <v>3302</v>
      </c>
      <c r="B3303" t="s">
        <v>11013</v>
      </c>
      <c r="C3303">
        <v>250</v>
      </c>
      <c r="D3303">
        <v>750</v>
      </c>
      <c r="E3303">
        <v>50</v>
      </c>
      <c r="F3303" s="60">
        <v>45008</v>
      </c>
    </row>
    <row r="3304" spans="1:6">
      <c r="A3304">
        <v>3303</v>
      </c>
      <c r="B3304" t="s">
        <v>11017</v>
      </c>
      <c r="C3304">
        <v>250</v>
      </c>
      <c r="D3304">
        <v>750</v>
      </c>
      <c r="E3304">
        <v>50</v>
      </c>
      <c r="F3304" s="60">
        <v>44889</v>
      </c>
    </row>
    <row r="3305" spans="1:6">
      <c r="A3305">
        <v>3304</v>
      </c>
      <c r="B3305" t="s">
        <v>11021</v>
      </c>
      <c r="C3305">
        <v>500</v>
      </c>
      <c r="D3305">
        <v>500</v>
      </c>
      <c r="E3305">
        <v>50</v>
      </c>
      <c r="F3305" s="67">
        <v>44958</v>
      </c>
    </row>
    <row r="3306" spans="1:6">
      <c r="A3306">
        <v>3305</v>
      </c>
      <c r="B3306" t="s">
        <v>11024</v>
      </c>
      <c r="C3306">
        <v>750</v>
      </c>
      <c r="D3306">
        <v>250</v>
      </c>
      <c r="E3306">
        <v>50</v>
      </c>
      <c r="F3306" s="73">
        <v>44963</v>
      </c>
    </row>
    <row r="3307" spans="1:6">
      <c r="A3307">
        <v>3306</v>
      </c>
      <c r="B3307" t="s">
        <v>11028</v>
      </c>
      <c r="C3307">
        <v>250</v>
      </c>
      <c r="D3307">
        <v>750</v>
      </c>
      <c r="E3307">
        <v>50</v>
      </c>
      <c r="F3307" s="60">
        <v>44911</v>
      </c>
    </row>
    <row r="3308" ht="15" spans="1:6">
      <c r="A3308">
        <v>3307</v>
      </c>
      <c r="B3308" t="s">
        <v>11031</v>
      </c>
      <c r="C3308">
        <v>1500000</v>
      </c>
      <c r="D3308">
        <v>0</v>
      </c>
      <c r="E3308" t="s">
        <v>16642</v>
      </c>
      <c r="F3308" s="81">
        <f>IFERROR(__xludf.DUMMYFUNCTION("""COMPUTED_VALUE"""),45084)</f>
        <v>45084</v>
      </c>
    </row>
    <row r="3309" spans="1:6">
      <c r="A3309">
        <v>3308</v>
      </c>
      <c r="B3309" t="s">
        <v>11032</v>
      </c>
      <c r="C3309">
        <v>250</v>
      </c>
      <c r="D3309">
        <v>750</v>
      </c>
      <c r="E3309">
        <v>50</v>
      </c>
      <c r="F3309" s="61">
        <v>44921</v>
      </c>
    </row>
    <row r="3310" spans="1:6">
      <c r="A3310">
        <v>3309</v>
      </c>
      <c r="B3310" t="s">
        <v>11036</v>
      </c>
      <c r="C3310">
        <v>250</v>
      </c>
      <c r="D3310">
        <v>750</v>
      </c>
      <c r="E3310">
        <v>50</v>
      </c>
      <c r="F3310" s="73">
        <v>44947</v>
      </c>
    </row>
    <row r="3311" spans="1:6">
      <c r="A3311">
        <v>3310</v>
      </c>
      <c r="B3311" t="s">
        <v>11040</v>
      </c>
      <c r="C3311">
        <v>250</v>
      </c>
      <c r="D3311">
        <v>750</v>
      </c>
      <c r="E3311">
        <v>50</v>
      </c>
      <c r="F3311" s="72">
        <v>44869</v>
      </c>
    </row>
    <row r="3312" spans="1:6">
      <c r="A3312">
        <v>3311</v>
      </c>
      <c r="B3312" t="s">
        <v>11044</v>
      </c>
      <c r="C3312">
        <v>500</v>
      </c>
      <c r="D3312">
        <v>500</v>
      </c>
      <c r="E3312">
        <v>50</v>
      </c>
      <c r="F3312" s="75">
        <v>44866</v>
      </c>
    </row>
    <row r="3313" spans="1:6">
      <c r="A3313">
        <v>3312</v>
      </c>
      <c r="B3313" t="s">
        <v>11048</v>
      </c>
      <c r="C3313">
        <v>250</v>
      </c>
      <c r="D3313">
        <v>750</v>
      </c>
      <c r="E3313">
        <v>50</v>
      </c>
      <c r="F3313" s="69">
        <v>44918</v>
      </c>
    </row>
    <row r="3314" spans="1:6">
      <c r="A3314">
        <v>3313</v>
      </c>
      <c r="B3314" t="s">
        <v>11052</v>
      </c>
      <c r="C3314">
        <v>250</v>
      </c>
      <c r="D3314">
        <v>750</v>
      </c>
      <c r="E3314">
        <v>50</v>
      </c>
      <c r="F3314" s="61">
        <v>44903</v>
      </c>
    </row>
    <row r="3315" spans="1:6">
      <c r="A3315">
        <v>3314</v>
      </c>
      <c r="B3315" t="s">
        <v>11055</v>
      </c>
      <c r="C3315">
        <v>500</v>
      </c>
      <c r="D3315">
        <v>1500</v>
      </c>
      <c r="E3315">
        <v>100</v>
      </c>
      <c r="F3315" s="61">
        <v>44891</v>
      </c>
    </row>
    <row r="3316" spans="1:6">
      <c r="A3316">
        <v>3315</v>
      </c>
      <c r="B3316" t="s">
        <v>11058</v>
      </c>
      <c r="C3316">
        <v>250</v>
      </c>
      <c r="D3316">
        <v>750</v>
      </c>
      <c r="E3316">
        <v>50</v>
      </c>
      <c r="F3316" s="61">
        <v>44926</v>
      </c>
    </row>
    <row r="3317" spans="1:6">
      <c r="A3317">
        <v>3316</v>
      </c>
      <c r="B3317" t="s">
        <v>11061</v>
      </c>
      <c r="C3317">
        <v>250</v>
      </c>
      <c r="D3317">
        <v>750</v>
      </c>
      <c r="E3317">
        <v>50</v>
      </c>
      <c r="F3317" s="60">
        <v>44860</v>
      </c>
    </row>
    <row r="3318" spans="1:6">
      <c r="A3318">
        <v>3317</v>
      </c>
      <c r="B3318" t="s">
        <v>11065</v>
      </c>
      <c r="C3318">
        <v>250</v>
      </c>
      <c r="D3318">
        <v>750</v>
      </c>
      <c r="E3318">
        <v>50</v>
      </c>
      <c r="F3318" s="61">
        <v>44844</v>
      </c>
    </row>
    <row r="3319" spans="1:6">
      <c r="A3319">
        <v>3318</v>
      </c>
      <c r="B3319" t="s">
        <v>11068</v>
      </c>
      <c r="C3319">
        <v>250</v>
      </c>
      <c r="D3319">
        <v>750</v>
      </c>
      <c r="E3319">
        <v>50</v>
      </c>
      <c r="F3319" s="61">
        <v>44870</v>
      </c>
    </row>
    <row r="3320" spans="1:6">
      <c r="A3320">
        <v>3319</v>
      </c>
      <c r="B3320" t="s">
        <v>11072</v>
      </c>
      <c r="C3320">
        <v>7500</v>
      </c>
      <c r="D3320">
        <v>22500</v>
      </c>
      <c r="E3320">
        <v>1500</v>
      </c>
      <c r="F3320" s="74">
        <v>44977</v>
      </c>
    </row>
    <row r="3321" spans="1:6">
      <c r="A3321">
        <v>3320</v>
      </c>
      <c r="B3321" t="s">
        <v>11075</v>
      </c>
      <c r="C3321">
        <v>250</v>
      </c>
      <c r="D3321">
        <v>750</v>
      </c>
      <c r="E3321">
        <v>50</v>
      </c>
      <c r="F3321" s="61">
        <v>44932</v>
      </c>
    </row>
    <row r="3322" spans="1:6">
      <c r="A3322">
        <v>3321</v>
      </c>
      <c r="B3322" t="s">
        <v>11078</v>
      </c>
      <c r="C3322">
        <v>250</v>
      </c>
      <c r="D3322">
        <v>750</v>
      </c>
      <c r="E3322">
        <v>50</v>
      </c>
      <c r="F3322" s="61">
        <v>44950</v>
      </c>
    </row>
    <row r="3323" spans="1:6">
      <c r="A3323">
        <v>3322</v>
      </c>
      <c r="B3323" t="s">
        <v>11081</v>
      </c>
      <c r="C3323">
        <v>1000</v>
      </c>
      <c r="D3323">
        <v>0</v>
      </c>
      <c r="E3323">
        <v>50</v>
      </c>
      <c r="F3323" s="77">
        <v>44777</v>
      </c>
    </row>
    <row r="3324" spans="1:6">
      <c r="A3324">
        <v>3323</v>
      </c>
      <c r="B3324" t="s">
        <v>11085</v>
      </c>
      <c r="C3324">
        <v>250</v>
      </c>
      <c r="D3324">
        <v>750</v>
      </c>
      <c r="E3324">
        <v>50</v>
      </c>
      <c r="F3324" s="75">
        <v>44849</v>
      </c>
    </row>
    <row r="3325" spans="1:6">
      <c r="A3325">
        <v>3324</v>
      </c>
      <c r="B3325" t="s">
        <v>11089</v>
      </c>
      <c r="C3325">
        <v>250</v>
      </c>
      <c r="D3325">
        <v>750</v>
      </c>
      <c r="E3325">
        <v>50</v>
      </c>
      <c r="F3325" s="61">
        <v>44869</v>
      </c>
    </row>
    <row r="3326" spans="1:6">
      <c r="A3326">
        <v>3325</v>
      </c>
      <c r="B3326" t="s">
        <v>11093</v>
      </c>
      <c r="C3326">
        <v>250</v>
      </c>
      <c r="D3326">
        <v>750</v>
      </c>
      <c r="E3326">
        <v>50</v>
      </c>
      <c r="F3326" s="60">
        <v>44931</v>
      </c>
    </row>
    <row r="3327" spans="1:6">
      <c r="A3327">
        <v>3326</v>
      </c>
      <c r="B3327" t="s">
        <v>11096</v>
      </c>
      <c r="C3327">
        <v>1000</v>
      </c>
      <c r="D3327">
        <v>0</v>
      </c>
      <c r="E3327">
        <v>50</v>
      </c>
      <c r="F3327" s="61">
        <v>45027</v>
      </c>
    </row>
    <row r="3328" spans="1:6">
      <c r="A3328">
        <v>3327</v>
      </c>
      <c r="B3328" t="s">
        <v>11099</v>
      </c>
      <c r="C3328">
        <v>250</v>
      </c>
      <c r="D3328">
        <v>750</v>
      </c>
      <c r="E3328">
        <v>50</v>
      </c>
      <c r="F3328" s="60">
        <v>45077</v>
      </c>
    </row>
    <row r="3329" spans="1:6">
      <c r="A3329">
        <v>3328</v>
      </c>
      <c r="B3329" t="s">
        <v>11103</v>
      </c>
      <c r="C3329">
        <v>250</v>
      </c>
      <c r="D3329">
        <v>750</v>
      </c>
      <c r="E3329">
        <v>50</v>
      </c>
      <c r="F3329" s="61">
        <v>44883</v>
      </c>
    </row>
    <row r="3330" spans="1:6">
      <c r="A3330">
        <v>3329</v>
      </c>
      <c r="B3330" t="s">
        <v>11106</v>
      </c>
      <c r="C3330">
        <v>1000</v>
      </c>
      <c r="D3330">
        <v>0</v>
      </c>
      <c r="E3330">
        <v>50</v>
      </c>
      <c r="F3330" s="60">
        <v>45021</v>
      </c>
    </row>
    <row r="3331" spans="1:6">
      <c r="A3331">
        <v>3330</v>
      </c>
      <c r="B3331" t="s">
        <v>11109</v>
      </c>
      <c r="C3331">
        <v>1000</v>
      </c>
      <c r="D3331">
        <v>0</v>
      </c>
      <c r="E3331">
        <v>50</v>
      </c>
      <c r="F3331" s="60">
        <v>44867</v>
      </c>
    </row>
    <row r="3332" spans="1:6">
      <c r="A3332">
        <v>3331</v>
      </c>
      <c r="B3332" t="s">
        <v>11113</v>
      </c>
      <c r="C3332">
        <v>250</v>
      </c>
      <c r="D3332">
        <v>750</v>
      </c>
      <c r="E3332">
        <v>50</v>
      </c>
      <c r="F3332" s="61">
        <v>44589</v>
      </c>
    </row>
    <row r="3333" spans="1:6">
      <c r="A3333">
        <v>3332</v>
      </c>
      <c r="B3333" t="s">
        <v>11116</v>
      </c>
      <c r="C3333">
        <v>250</v>
      </c>
      <c r="D3333">
        <v>750</v>
      </c>
      <c r="E3333">
        <v>50</v>
      </c>
      <c r="F3333" s="70">
        <v>44926</v>
      </c>
    </row>
    <row r="3334" spans="1:6">
      <c r="A3334">
        <v>3333</v>
      </c>
      <c r="B3334" t="s">
        <v>11119</v>
      </c>
      <c r="C3334">
        <v>250</v>
      </c>
      <c r="D3334">
        <v>750</v>
      </c>
      <c r="E3334">
        <v>50</v>
      </c>
      <c r="F3334" s="60">
        <v>44926</v>
      </c>
    </row>
    <row r="3335" spans="1:6">
      <c r="A3335">
        <v>3334</v>
      </c>
      <c r="B3335" t="s">
        <v>11122</v>
      </c>
      <c r="C3335">
        <v>250</v>
      </c>
      <c r="D3335">
        <v>750</v>
      </c>
      <c r="E3335">
        <v>50</v>
      </c>
      <c r="F3335" s="60">
        <v>44930</v>
      </c>
    </row>
    <row r="3336" spans="1:6">
      <c r="A3336">
        <v>3335</v>
      </c>
      <c r="B3336" t="s">
        <v>11125</v>
      </c>
      <c r="C3336">
        <v>250</v>
      </c>
      <c r="D3336">
        <v>750</v>
      </c>
      <c r="E3336">
        <v>50</v>
      </c>
      <c r="F3336" s="60">
        <v>44912</v>
      </c>
    </row>
    <row r="3337" spans="1:6">
      <c r="A3337">
        <v>3336</v>
      </c>
      <c r="B3337" t="s">
        <v>11128</v>
      </c>
      <c r="C3337">
        <v>1000</v>
      </c>
      <c r="D3337">
        <v>0</v>
      </c>
      <c r="E3337">
        <v>50</v>
      </c>
      <c r="F3337" s="61">
        <v>45013</v>
      </c>
    </row>
    <row r="3338" spans="1:6">
      <c r="A3338">
        <v>3337</v>
      </c>
      <c r="B3338" t="s">
        <v>11131</v>
      </c>
      <c r="C3338">
        <v>250</v>
      </c>
      <c r="D3338">
        <v>750</v>
      </c>
      <c r="E3338">
        <v>50</v>
      </c>
      <c r="F3338" s="73">
        <v>44839</v>
      </c>
    </row>
    <row r="3339" spans="1:6">
      <c r="A3339">
        <v>3338</v>
      </c>
      <c r="B3339" t="s">
        <v>11134</v>
      </c>
      <c r="C3339">
        <v>250</v>
      </c>
      <c r="D3339">
        <v>750</v>
      </c>
      <c r="E3339">
        <v>50</v>
      </c>
      <c r="F3339" s="60">
        <v>44950</v>
      </c>
    </row>
    <row r="3340" spans="1:6">
      <c r="A3340">
        <v>3339</v>
      </c>
      <c r="B3340" t="s">
        <v>11137</v>
      </c>
      <c r="C3340">
        <v>250</v>
      </c>
      <c r="D3340">
        <v>750</v>
      </c>
      <c r="E3340">
        <v>50</v>
      </c>
      <c r="F3340" s="61">
        <v>44883</v>
      </c>
    </row>
    <row r="3341" spans="1:6">
      <c r="A3341">
        <v>3340</v>
      </c>
      <c r="B3341" t="s">
        <v>11140</v>
      </c>
      <c r="C3341">
        <v>5000</v>
      </c>
      <c r="D3341">
        <v>15000</v>
      </c>
      <c r="E3341">
        <v>1000</v>
      </c>
      <c r="F3341" s="64" t="s">
        <v>16818</v>
      </c>
    </row>
    <row r="3342" spans="1:6">
      <c r="A3342">
        <v>3341</v>
      </c>
      <c r="B3342" t="s">
        <v>11144</v>
      </c>
      <c r="C3342">
        <v>750</v>
      </c>
      <c r="D3342">
        <v>250</v>
      </c>
      <c r="E3342">
        <v>50</v>
      </c>
      <c r="F3342" s="73">
        <v>44853</v>
      </c>
    </row>
    <row r="3343" spans="1:6">
      <c r="A3343">
        <v>3342</v>
      </c>
      <c r="B3343" t="s">
        <v>11148</v>
      </c>
      <c r="C3343">
        <v>250</v>
      </c>
      <c r="D3343">
        <v>750</v>
      </c>
      <c r="E3343">
        <v>50</v>
      </c>
      <c r="F3343" s="60">
        <v>44819</v>
      </c>
    </row>
    <row r="3344" spans="1:6">
      <c r="A3344">
        <v>3343</v>
      </c>
      <c r="B3344" t="s">
        <v>11151</v>
      </c>
      <c r="C3344">
        <v>250</v>
      </c>
      <c r="D3344">
        <v>750</v>
      </c>
      <c r="E3344">
        <v>50</v>
      </c>
      <c r="F3344" s="60">
        <v>44923</v>
      </c>
    </row>
    <row r="3345" spans="1:6">
      <c r="A3345">
        <v>3344</v>
      </c>
      <c r="B3345" t="s">
        <v>11155</v>
      </c>
      <c r="C3345">
        <v>250</v>
      </c>
      <c r="D3345">
        <v>750</v>
      </c>
      <c r="E3345">
        <v>50</v>
      </c>
      <c r="F3345" s="60">
        <v>44932</v>
      </c>
    </row>
    <row r="3346" spans="1:6">
      <c r="A3346">
        <v>3345</v>
      </c>
      <c r="B3346" t="s">
        <v>11159</v>
      </c>
      <c r="C3346">
        <v>100000</v>
      </c>
      <c r="D3346">
        <v>0</v>
      </c>
      <c r="E3346">
        <v>5000</v>
      </c>
      <c r="F3346" s="64" t="s">
        <v>16819</v>
      </c>
    </row>
    <row r="3347" spans="1:6">
      <c r="A3347">
        <v>3346</v>
      </c>
      <c r="B3347" t="s">
        <v>11163</v>
      </c>
      <c r="C3347">
        <v>250</v>
      </c>
      <c r="D3347">
        <v>750</v>
      </c>
      <c r="E3347">
        <v>50</v>
      </c>
      <c r="F3347" s="61">
        <v>44960</v>
      </c>
    </row>
    <row r="3348" spans="1:6">
      <c r="A3348">
        <v>3347</v>
      </c>
      <c r="B3348" t="s">
        <v>11166</v>
      </c>
      <c r="C3348">
        <v>250</v>
      </c>
      <c r="D3348">
        <v>750</v>
      </c>
      <c r="E3348">
        <v>50</v>
      </c>
      <c r="F3348" s="60">
        <v>44807</v>
      </c>
    </row>
    <row r="3349" spans="1:6">
      <c r="A3349">
        <v>3348</v>
      </c>
      <c r="B3349" t="s">
        <v>11169</v>
      </c>
      <c r="C3349">
        <v>10000</v>
      </c>
      <c r="D3349">
        <v>0</v>
      </c>
      <c r="E3349">
        <v>500</v>
      </c>
      <c r="F3349" s="74">
        <v>45069</v>
      </c>
    </row>
    <row r="3350" spans="1:6">
      <c r="A3350">
        <v>3349</v>
      </c>
      <c r="B3350" t="s">
        <v>11172</v>
      </c>
      <c r="C3350">
        <v>250</v>
      </c>
      <c r="D3350">
        <v>750</v>
      </c>
      <c r="E3350">
        <v>50</v>
      </c>
      <c r="F3350" s="61">
        <v>44928</v>
      </c>
    </row>
    <row r="3351" spans="1:6">
      <c r="A3351">
        <v>3350</v>
      </c>
      <c r="B3351" t="s">
        <v>11176</v>
      </c>
      <c r="C3351">
        <v>500</v>
      </c>
      <c r="D3351">
        <v>1500</v>
      </c>
      <c r="E3351">
        <v>100</v>
      </c>
      <c r="F3351" s="61">
        <v>44867</v>
      </c>
    </row>
    <row r="3352" spans="1:6">
      <c r="A3352">
        <v>3351</v>
      </c>
      <c r="B3352" t="s">
        <v>11180</v>
      </c>
      <c r="C3352">
        <v>250</v>
      </c>
      <c r="D3352">
        <v>750</v>
      </c>
      <c r="E3352">
        <v>50</v>
      </c>
      <c r="F3352" s="75">
        <v>44882</v>
      </c>
    </row>
    <row r="3353" ht="15" spans="1:6">
      <c r="A3353">
        <v>3352</v>
      </c>
      <c r="B3353" t="s">
        <v>11183</v>
      </c>
      <c r="C3353">
        <v>1000000</v>
      </c>
      <c r="D3353">
        <v>500000</v>
      </c>
      <c r="E3353" t="s">
        <v>16642</v>
      </c>
      <c r="F3353" s="81">
        <f>IFERROR(__xludf.DUMMYFUNCTION("""COMPUTED_VALUE"""),45083)</f>
        <v>45083</v>
      </c>
    </row>
    <row r="3354" spans="1:6">
      <c r="A3354">
        <v>3353</v>
      </c>
      <c r="B3354" t="s">
        <v>11184</v>
      </c>
      <c r="C3354">
        <v>100000</v>
      </c>
      <c r="D3354">
        <v>0</v>
      </c>
      <c r="E3354" t="s">
        <v>16642</v>
      </c>
      <c r="F3354" s="76">
        <v>44925</v>
      </c>
    </row>
    <row r="3355" spans="1:6">
      <c r="A3355">
        <v>3354</v>
      </c>
      <c r="B3355" t="s">
        <v>11188</v>
      </c>
      <c r="C3355">
        <v>250</v>
      </c>
      <c r="D3355">
        <v>750</v>
      </c>
      <c r="E3355">
        <v>50</v>
      </c>
      <c r="F3355" s="61">
        <v>44947</v>
      </c>
    </row>
    <row r="3356" spans="1:6">
      <c r="A3356">
        <v>3355</v>
      </c>
      <c r="B3356" t="s">
        <v>11191</v>
      </c>
      <c r="C3356">
        <v>25000</v>
      </c>
      <c r="D3356">
        <v>75000</v>
      </c>
      <c r="E3356">
        <v>5000</v>
      </c>
      <c r="F3356" s="77">
        <v>44888</v>
      </c>
    </row>
    <row r="3357" spans="1:6">
      <c r="A3357">
        <v>3356</v>
      </c>
      <c r="B3357" t="s">
        <v>11194</v>
      </c>
      <c r="C3357">
        <v>250</v>
      </c>
      <c r="D3357">
        <v>750</v>
      </c>
      <c r="E3357">
        <v>50</v>
      </c>
      <c r="F3357" s="60">
        <v>44910</v>
      </c>
    </row>
    <row r="3358" spans="1:6">
      <c r="A3358">
        <v>3357</v>
      </c>
      <c r="B3358" t="s">
        <v>11198</v>
      </c>
      <c r="C3358">
        <v>250</v>
      </c>
      <c r="D3358">
        <v>750</v>
      </c>
      <c r="E3358">
        <v>50</v>
      </c>
      <c r="F3358" s="65">
        <v>44510</v>
      </c>
    </row>
    <row r="3359" spans="1:6">
      <c r="A3359">
        <v>3358</v>
      </c>
      <c r="B3359" t="s">
        <v>11202</v>
      </c>
      <c r="C3359">
        <v>250</v>
      </c>
      <c r="D3359">
        <v>750</v>
      </c>
      <c r="E3359">
        <v>50</v>
      </c>
      <c r="F3359" s="61">
        <v>44813</v>
      </c>
    </row>
    <row r="3360" ht="15" spans="1:6">
      <c r="A3360">
        <v>3359</v>
      </c>
      <c r="B3360" t="s">
        <v>11205</v>
      </c>
      <c r="C3360">
        <v>1500000</v>
      </c>
      <c r="D3360">
        <v>0</v>
      </c>
      <c r="E3360" t="s">
        <v>16642</v>
      </c>
      <c r="F3360" s="81">
        <f>IFERROR(__xludf.DUMMYFUNCTION("""COMPUTED_VALUE"""),45084)</f>
        <v>45084</v>
      </c>
    </row>
    <row r="3361" spans="1:6">
      <c r="A3361">
        <v>3360</v>
      </c>
      <c r="B3361" t="s">
        <v>11206</v>
      </c>
      <c r="C3361">
        <v>10000</v>
      </c>
      <c r="D3361">
        <v>0</v>
      </c>
      <c r="E3361">
        <v>500</v>
      </c>
      <c r="F3361" s="64" t="s">
        <v>16820</v>
      </c>
    </row>
    <row r="3362" spans="1:6">
      <c r="A3362">
        <v>3361</v>
      </c>
      <c r="B3362" t="s">
        <v>11209</v>
      </c>
      <c r="C3362">
        <v>250</v>
      </c>
      <c r="D3362">
        <v>750</v>
      </c>
      <c r="E3362">
        <v>50</v>
      </c>
      <c r="F3362" s="60">
        <v>44898</v>
      </c>
    </row>
    <row r="3363" spans="1:6">
      <c r="A3363">
        <v>3362</v>
      </c>
      <c r="B3363" t="s">
        <v>11212</v>
      </c>
      <c r="C3363">
        <v>250</v>
      </c>
      <c r="D3363">
        <v>750</v>
      </c>
      <c r="E3363">
        <v>50</v>
      </c>
      <c r="F3363" s="70">
        <v>44926</v>
      </c>
    </row>
    <row r="3364" spans="1:6">
      <c r="A3364">
        <v>3363</v>
      </c>
      <c r="B3364" t="s">
        <v>11215</v>
      </c>
      <c r="C3364">
        <v>3000</v>
      </c>
      <c r="D3364">
        <v>0</v>
      </c>
      <c r="E3364">
        <v>150</v>
      </c>
      <c r="F3364" s="77">
        <v>44860</v>
      </c>
    </row>
    <row r="3365" spans="1:6">
      <c r="A3365">
        <v>3364</v>
      </c>
      <c r="B3365" t="s">
        <v>11218</v>
      </c>
      <c r="C3365">
        <v>1000</v>
      </c>
      <c r="D3365">
        <v>0</v>
      </c>
      <c r="E3365">
        <v>50</v>
      </c>
      <c r="F3365" s="79">
        <v>44959</v>
      </c>
    </row>
    <row r="3366" spans="1:6">
      <c r="A3366">
        <v>3365</v>
      </c>
      <c r="B3366" t="s">
        <v>11221</v>
      </c>
      <c r="C3366">
        <v>500</v>
      </c>
      <c r="D3366">
        <v>1500</v>
      </c>
      <c r="E3366">
        <v>100</v>
      </c>
      <c r="F3366" s="60">
        <v>44583</v>
      </c>
    </row>
    <row r="3367" spans="1:6">
      <c r="A3367">
        <v>3366</v>
      </c>
      <c r="B3367" t="s">
        <v>11224</v>
      </c>
      <c r="C3367">
        <v>250</v>
      </c>
      <c r="D3367">
        <v>750</v>
      </c>
      <c r="E3367">
        <v>50</v>
      </c>
      <c r="F3367" s="60">
        <v>44912</v>
      </c>
    </row>
    <row r="3368" spans="1:6">
      <c r="A3368">
        <v>3367</v>
      </c>
      <c r="B3368" t="s">
        <v>11227</v>
      </c>
      <c r="C3368">
        <v>500</v>
      </c>
      <c r="D3368">
        <v>500</v>
      </c>
      <c r="E3368">
        <v>50</v>
      </c>
      <c r="F3368" s="61">
        <v>44869</v>
      </c>
    </row>
    <row r="3369" spans="1:6">
      <c r="A3369">
        <v>3368</v>
      </c>
      <c r="B3369" t="s">
        <v>11230</v>
      </c>
      <c r="C3369">
        <v>5000</v>
      </c>
      <c r="D3369">
        <v>15000</v>
      </c>
      <c r="E3369">
        <v>1000</v>
      </c>
      <c r="F3369" s="64" t="s">
        <v>16821</v>
      </c>
    </row>
    <row r="3370" spans="1:6">
      <c r="A3370">
        <v>3369</v>
      </c>
      <c r="B3370" t="s">
        <v>11234</v>
      </c>
      <c r="C3370">
        <v>250</v>
      </c>
      <c r="D3370">
        <v>750</v>
      </c>
      <c r="E3370">
        <v>50</v>
      </c>
      <c r="F3370" s="61">
        <v>44909</v>
      </c>
    </row>
    <row r="3371" spans="1:6">
      <c r="A3371">
        <v>3370</v>
      </c>
      <c r="B3371" t="s">
        <v>11237</v>
      </c>
      <c r="C3371">
        <v>5000</v>
      </c>
      <c r="D3371">
        <v>0</v>
      </c>
      <c r="E3371">
        <v>250</v>
      </c>
      <c r="F3371" s="64" t="s">
        <v>16822</v>
      </c>
    </row>
    <row r="3372" spans="1:6">
      <c r="A3372">
        <v>3371</v>
      </c>
      <c r="B3372" t="s">
        <v>11241</v>
      </c>
      <c r="C3372">
        <v>250</v>
      </c>
      <c r="D3372">
        <v>750</v>
      </c>
      <c r="E3372">
        <v>50</v>
      </c>
      <c r="F3372" s="69">
        <v>44909</v>
      </c>
    </row>
    <row r="3373" spans="1:6">
      <c r="A3373">
        <v>3372</v>
      </c>
      <c r="B3373" t="s">
        <v>11245</v>
      </c>
      <c r="C3373">
        <v>250</v>
      </c>
      <c r="D3373">
        <v>750</v>
      </c>
      <c r="E3373">
        <v>50</v>
      </c>
      <c r="F3373" s="75">
        <v>44916</v>
      </c>
    </row>
    <row r="3374" spans="1:6">
      <c r="A3374">
        <v>3373</v>
      </c>
      <c r="B3374" t="s">
        <v>11248</v>
      </c>
      <c r="C3374">
        <v>100000</v>
      </c>
      <c r="D3374">
        <v>0</v>
      </c>
      <c r="E3374" t="s">
        <v>16642</v>
      </c>
      <c r="F3374" s="66"/>
    </row>
    <row r="3375" spans="1:6">
      <c r="A3375">
        <v>3374</v>
      </c>
      <c r="B3375" t="s">
        <v>11253</v>
      </c>
      <c r="C3375">
        <v>250</v>
      </c>
      <c r="D3375">
        <v>750</v>
      </c>
      <c r="E3375">
        <v>50</v>
      </c>
      <c r="F3375" s="75">
        <v>44887</v>
      </c>
    </row>
    <row r="3376" spans="1:6">
      <c r="A3376">
        <v>3375</v>
      </c>
      <c r="B3376" t="s">
        <v>11256</v>
      </c>
      <c r="C3376">
        <v>5000</v>
      </c>
      <c r="D3376">
        <v>0</v>
      </c>
      <c r="E3376">
        <v>250</v>
      </c>
      <c r="F3376" s="77">
        <v>44810</v>
      </c>
    </row>
    <row r="3377" spans="1:6">
      <c r="A3377">
        <v>3376</v>
      </c>
      <c r="B3377" t="s">
        <v>11259</v>
      </c>
      <c r="C3377">
        <v>250</v>
      </c>
      <c r="D3377">
        <v>750</v>
      </c>
      <c r="E3377">
        <v>50</v>
      </c>
      <c r="F3377" s="60">
        <v>44825</v>
      </c>
    </row>
    <row r="3378" spans="1:6">
      <c r="A3378">
        <v>3377</v>
      </c>
      <c r="B3378" t="s">
        <v>11263</v>
      </c>
      <c r="C3378">
        <v>250</v>
      </c>
      <c r="D3378">
        <v>750</v>
      </c>
      <c r="E3378">
        <v>50</v>
      </c>
      <c r="F3378" s="60">
        <v>44880</v>
      </c>
    </row>
    <row r="3379" spans="1:6">
      <c r="A3379">
        <v>3378</v>
      </c>
      <c r="B3379" t="s">
        <v>11267</v>
      </c>
      <c r="C3379">
        <v>1000</v>
      </c>
      <c r="D3379">
        <v>0</v>
      </c>
      <c r="E3379">
        <v>50</v>
      </c>
      <c r="F3379" s="77">
        <v>44812</v>
      </c>
    </row>
    <row r="3380" spans="1:6">
      <c r="A3380">
        <v>3379</v>
      </c>
      <c r="B3380" t="s">
        <v>11270</v>
      </c>
      <c r="C3380">
        <v>250</v>
      </c>
      <c r="D3380">
        <v>750</v>
      </c>
      <c r="E3380">
        <v>50</v>
      </c>
      <c r="F3380" s="60">
        <v>44855</v>
      </c>
    </row>
    <row r="3381" spans="1:6">
      <c r="A3381">
        <v>3380</v>
      </c>
      <c r="B3381" t="s">
        <v>11274</v>
      </c>
      <c r="C3381">
        <v>250</v>
      </c>
      <c r="D3381">
        <v>750</v>
      </c>
      <c r="E3381">
        <v>50</v>
      </c>
      <c r="F3381" s="60">
        <v>44974</v>
      </c>
    </row>
    <row r="3382" spans="1:6">
      <c r="A3382">
        <v>3381</v>
      </c>
      <c r="B3382" t="s">
        <v>11277</v>
      </c>
      <c r="C3382">
        <v>7000</v>
      </c>
      <c r="D3382">
        <v>0</v>
      </c>
      <c r="E3382">
        <v>150</v>
      </c>
      <c r="F3382" s="65">
        <v>44699</v>
      </c>
    </row>
    <row r="3383" spans="1:6">
      <c r="A3383">
        <v>3382</v>
      </c>
      <c r="B3383" t="s">
        <v>11281</v>
      </c>
      <c r="C3383">
        <v>250</v>
      </c>
      <c r="D3383">
        <v>750</v>
      </c>
      <c r="E3383">
        <v>50</v>
      </c>
      <c r="F3383" s="75">
        <v>44909</v>
      </c>
    </row>
    <row r="3384" spans="1:6">
      <c r="A3384">
        <v>3383</v>
      </c>
      <c r="B3384" t="s">
        <v>11284</v>
      </c>
      <c r="C3384">
        <v>250</v>
      </c>
      <c r="D3384">
        <v>750</v>
      </c>
      <c r="E3384">
        <v>50</v>
      </c>
      <c r="F3384" s="60">
        <v>44845</v>
      </c>
    </row>
    <row r="3385" spans="1:6">
      <c r="A3385">
        <v>3384</v>
      </c>
      <c r="B3385" t="s">
        <v>11287</v>
      </c>
      <c r="C3385">
        <v>250</v>
      </c>
      <c r="D3385">
        <v>750</v>
      </c>
      <c r="E3385">
        <v>50</v>
      </c>
      <c r="F3385" s="60">
        <v>45006</v>
      </c>
    </row>
    <row r="3386" spans="1:6">
      <c r="A3386">
        <v>3385</v>
      </c>
      <c r="B3386" t="s">
        <v>11290</v>
      </c>
      <c r="C3386">
        <v>250</v>
      </c>
      <c r="D3386">
        <v>750</v>
      </c>
      <c r="E3386">
        <v>50</v>
      </c>
      <c r="F3386" s="61">
        <v>45057</v>
      </c>
    </row>
    <row r="3387" spans="1:6">
      <c r="A3387">
        <v>3386</v>
      </c>
      <c r="B3387" t="s">
        <v>11293</v>
      </c>
      <c r="C3387">
        <v>250</v>
      </c>
      <c r="D3387">
        <v>750</v>
      </c>
      <c r="E3387">
        <v>50</v>
      </c>
      <c r="F3387" s="60">
        <v>44931</v>
      </c>
    </row>
    <row r="3388" spans="1:6">
      <c r="A3388">
        <v>3387</v>
      </c>
      <c r="B3388" t="s">
        <v>11297</v>
      </c>
      <c r="C3388">
        <v>250</v>
      </c>
      <c r="D3388">
        <v>750</v>
      </c>
      <c r="E3388">
        <v>50</v>
      </c>
      <c r="F3388" s="69">
        <v>45005</v>
      </c>
    </row>
    <row r="3389" spans="1:6">
      <c r="A3389">
        <v>3388</v>
      </c>
      <c r="B3389" t="s">
        <v>11300</v>
      </c>
      <c r="C3389">
        <v>250</v>
      </c>
      <c r="D3389">
        <v>750</v>
      </c>
      <c r="E3389">
        <v>50</v>
      </c>
      <c r="F3389" s="73">
        <v>44904</v>
      </c>
    </row>
    <row r="3390" spans="1:6">
      <c r="A3390">
        <v>3389</v>
      </c>
      <c r="B3390" t="s">
        <v>11304</v>
      </c>
      <c r="C3390">
        <v>2500</v>
      </c>
      <c r="D3390">
        <v>7500</v>
      </c>
      <c r="E3390">
        <v>500</v>
      </c>
      <c r="F3390" s="77">
        <v>44845</v>
      </c>
    </row>
    <row r="3391" spans="1:6">
      <c r="A3391">
        <v>3390</v>
      </c>
      <c r="B3391" t="s">
        <v>11307</v>
      </c>
      <c r="C3391">
        <v>1000</v>
      </c>
      <c r="D3391">
        <v>0</v>
      </c>
      <c r="E3391">
        <v>50</v>
      </c>
      <c r="F3391" s="73">
        <v>44986</v>
      </c>
    </row>
    <row r="3392" spans="1:6">
      <c r="A3392">
        <v>3391</v>
      </c>
      <c r="B3392" t="s">
        <v>11311</v>
      </c>
      <c r="C3392">
        <v>100000</v>
      </c>
      <c r="D3392">
        <v>0</v>
      </c>
      <c r="E3392" t="s">
        <v>16642</v>
      </c>
      <c r="F3392" s="66"/>
    </row>
    <row r="3393" spans="1:6">
      <c r="A3393">
        <v>3392</v>
      </c>
      <c r="B3393" t="s">
        <v>11316</v>
      </c>
      <c r="C3393">
        <v>250</v>
      </c>
      <c r="D3393">
        <v>750</v>
      </c>
      <c r="E3393">
        <v>50</v>
      </c>
      <c r="F3393" s="60">
        <v>44859</v>
      </c>
    </row>
    <row r="3394" spans="1:6">
      <c r="A3394">
        <v>3393</v>
      </c>
      <c r="B3394" t="s">
        <v>11319</v>
      </c>
      <c r="C3394">
        <v>250</v>
      </c>
      <c r="D3394">
        <v>750</v>
      </c>
      <c r="E3394">
        <v>50</v>
      </c>
      <c r="F3394" s="73">
        <v>45075</v>
      </c>
    </row>
    <row r="3395" spans="1:6">
      <c r="A3395">
        <v>3394</v>
      </c>
      <c r="B3395" t="s">
        <v>11322</v>
      </c>
      <c r="C3395">
        <v>1000</v>
      </c>
      <c r="D3395">
        <v>0</v>
      </c>
      <c r="E3395">
        <v>50</v>
      </c>
      <c r="F3395" s="73">
        <v>44963</v>
      </c>
    </row>
    <row r="3396" spans="1:6">
      <c r="A3396">
        <v>3395</v>
      </c>
      <c r="B3396" t="s">
        <v>11325</v>
      </c>
      <c r="C3396">
        <v>250</v>
      </c>
      <c r="D3396">
        <v>750</v>
      </c>
      <c r="E3396">
        <v>50</v>
      </c>
      <c r="F3396" s="61">
        <v>44898</v>
      </c>
    </row>
    <row r="3397" spans="1:6">
      <c r="A3397">
        <v>3396</v>
      </c>
      <c r="B3397" t="s">
        <v>11328</v>
      </c>
      <c r="C3397">
        <v>250</v>
      </c>
      <c r="D3397">
        <v>750</v>
      </c>
      <c r="E3397">
        <v>50</v>
      </c>
      <c r="F3397" s="61">
        <v>44872</v>
      </c>
    </row>
    <row r="3398" spans="1:6">
      <c r="A3398">
        <v>3397</v>
      </c>
      <c r="B3398" t="s">
        <v>11332</v>
      </c>
      <c r="C3398">
        <v>250</v>
      </c>
      <c r="D3398">
        <v>750</v>
      </c>
      <c r="E3398">
        <v>50</v>
      </c>
      <c r="F3398" s="60">
        <v>44897</v>
      </c>
    </row>
    <row r="3399" spans="1:6">
      <c r="A3399">
        <v>3398</v>
      </c>
      <c r="B3399" t="s">
        <v>11335</v>
      </c>
      <c r="C3399">
        <v>12500</v>
      </c>
      <c r="D3399">
        <v>37500</v>
      </c>
      <c r="E3399">
        <v>2500</v>
      </c>
      <c r="F3399" s="79">
        <v>44939</v>
      </c>
    </row>
    <row r="3400" spans="1:6">
      <c r="A3400">
        <v>3399</v>
      </c>
      <c r="B3400" t="s">
        <v>11338</v>
      </c>
      <c r="C3400">
        <v>250</v>
      </c>
      <c r="D3400">
        <v>750</v>
      </c>
      <c r="E3400">
        <v>50</v>
      </c>
      <c r="F3400" s="73">
        <v>44879</v>
      </c>
    </row>
    <row r="3401" spans="1:6">
      <c r="A3401">
        <v>3400</v>
      </c>
      <c r="B3401" t="s">
        <v>11342</v>
      </c>
      <c r="C3401">
        <v>250</v>
      </c>
      <c r="D3401">
        <v>750</v>
      </c>
      <c r="E3401">
        <v>50</v>
      </c>
      <c r="F3401" s="60">
        <v>44862</v>
      </c>
    </row>
    <row r="3402" spans="1:6">
      <c r="A3402">
        <v>3401</v>
      </c>
      <c r="B3402" t="s">
        <v>11345</v>
      </c>
      <c r="C3402">
        <v>250</v>
      </c>
      <c r="D3402">
        <v>750</v>
      </c>
      <c r="E3402">
        <v>50</v>
      </c>
      <c r="F3402" s="60">
        <v>45070</v>
      </c>
    </row>
    <row r="3403" spans="1:6">
      <c r="A3403">
        <v>3402</v>
      </c>
      <c r="B3403" t="s">
        <v>11348</v>
      </c>
      <c r="C3403">
        <v>250</v>
      </c>
      <c r="D3403">
        <v>750</v>
      </c>
      <c r="E3403">
        <v>50</v>
      </c>
      <c r="F3403" s="61">
        <v>45001</v>
      </c>
    </row>
    <row r="3404" spans="1:6">
      <c r="A3404">
        <v>3403</v>
      </c>
      <c r="B3404" t="s">
        <v>11351</v>
      </c>
      <c r="C3404">
        <v>250</v>
      </c>
      <c r="D3404">
        <v>750</v>
      </c>
      <c r="E3404">
        <v>50</v>
      </c>
      <c r="F3404" s="61">
        <v>44851</v>
      </c>
    </row>
    <row r="3405" spans="1:6">
      <c r="A3405">
        <v>3404</v>
      </c>
      <c r="B3405" t="s">
        <v>11354</v>
      </c>
      <c r="C3405">
        <v>250</v>
      </c>
      <c r="D3405">
        <v>750</v>
      </c>
      <c r="E3405">
        <v>50</v>
      </c>
      <c r="F3405" s="61">
        <v>44915</v>
      </c>
    </row>
    <row r="3406" spans="1:6">
      <c r="A3406">
        <v>3405</v>
      </c>
      <c r="B3406" t="s">
        <v>11357</v>
      </c>
      <c r="C3406">
        <v>1000</v>
      </c>
      <c r="D3406">
        <v>0</v>
      </c>
      <c r="E3406">
        <v>50</v>
      </c>
      <c r="F3406" s="87" t="s">
        <v>16823</v>
      </c>
    </row>
    <row r="3407" spans="1:6">
      <c r="A3407">
        <v>3406</v>
      </c>
      <c r="B3407" t="s">
        <v>11360</v>
      </c>
      <c r="C3407">
        <v>250</v>
      </c>
      <c r="D3407">
        <v>750</v>
      </c>
      <c r="E3407">
        <v>50</v>
      </c>
      <c r="F3407" s="73">
        <v>44996</v>
      </c>
    </row>
    <row r="3408" spans="1:6">
      <c r="A3408">
        <v>3407</v>
      </c>
      <c r="B3408" t="s">
        <v>11363</v>
      </c>
      <c r="C3408">
        <v>100000</v>
      </c>
      <c r="D3408">
        <v>0</v>
      </c>
      <c r="E3408" t="s">
        <v>16642</v>
      </c>
      <c r="F3408" s="66"/>
    </row>
    <row r="3409" spans="1:6">
      <c r="A3409">
        <v>3408</v>
      </c>
      <c r="B3409" t="s">
        <v>11368</v>
      </c>
      <c r="C3409">
        <v>100000</v>
      </c>
      <c r="D3409">
        <v>0</v>
      </c>
      <c r="E3409" t="s">
        <v>16642</v>
      </c>
      <c r="F3409" s="100"/>
    </row>
    <row r="3410" spans="1:6">
      <c r="A3410">
        <v>3409</v>
      </c>
      <c r="B3410" t="s">
        <v>11370</v>
      </c>
      <c r="C3410">
        <v>250</v>
      </c>
      <c r="D3410">
        <v>750</v>
      </c>
      <c r="E3410">
        <v>50</v>
      </c>
      <c r="F3410" s="69">
        <v>44937</v>
      </c>
    </row>
    <row r="3411" spans="1:6">
      <c r="A3411">
        <v>3410</v>
      </c>
      <c r="B3411" t="s">
        <v>11374</v>
      </c>
      <c r="C3411">
        <v>1000</v>
      </c>
      <c r="D3411">
        <v>0</v>
      </c>
      <c r="E3411">
        <v>50</v>
      </c>
      <c r="F3411" s="67">
        <v>44970</v>
      </c>
    </row>
    <row r="3412" spans="1:6">
      <c r="A3412">
        <v>3411</v>
      </c>
      <c r="B3412" t="s">
        <v>11377</v>
      </c>
      <c r="C3412">
        <v>250</v>
      </c>
      <c r="D3412">
        <v>750</v>
      </c>
      <c r="E3412">
        <v>50</v>
      </c>
      <c r="F3412" s="73">
        <v>44925</v>
      </c>
    </row>
    <row r="3413" spans="1:6">
      <c r="A3413">
        <v>3412</v>
      </c>
      <c r="B3413" t="s">
        <v>11380</v>
      </c>
      <c r="C3413">
        <v>250</v>
      </c>
      <c r="D3413">
        <v>750</v>
      </c>
      <c r="E3413">
        <v>50</v>
      </c>
      <c r="F3413" s="73">
        <v>44887</v>
      </c>
    </row>
    <row r="3414" spans="1:6">
      <c r="A3414">
        <v>3413</v>
      </c>
      <c r="B3414" t="s">
        <v>11383</v>
      </c>
      <c r="C3414">
        <v>250</v>
      </c>
      <c r="D3414">
        <v>750</v>
      </c>
      <c r="E3414">
        <v>50</v>
      </c>
      <c r="F3414" s="61">
        <v>44931</v>
      </c>
    </row>
    <row r="3415" spans="1:6">
      <c r="A3415">
        <v>3414</v>
      </c>
      <c r="B3415" t="s">
        <v>11386</v>
      </c>
      <c r="C3415">
        <v>250</v>
      </c>
      <c r="D3415">
        <v>750</v>
      </c>
      <c r="E3415">
        <v>50</v>
      </c>
      <c r="F3415" s="60">
        <v>44863</v>
      </c>
    </row>
    <row r="3416" spans="1:6">
      <c r="A3416">
        <v>3415</v>
      </c>
      <c r="B3416" t="s">
        <v>11389</v>
      </c>
      <c r="C3416">
        <v>250</v>
      </c>
      <c r="D3416">
        <v>750</v>
      </c>
      <c r="E3416">
        <v>50</v>
      </c>
      <c r="F3416" s="61">
        <v>44807</v>
      </c>
    </row>
    <row r="3417" spans="1:6">
      <c r="A3417">
        <v>3416</v>
      </c>
      <c r="B3417" t="s">
        <v>11392</v>
      </c>
      <c r="C3417">
        <v>250</v>
      </c>
      <c r="D3417">
        <v>750</v>
      </c>
      <c r="E3417">
        <v>50</v>
      </c>
      <c r="F3417" s="60">
        <v>44928</v>
      </c>
    </row>
    <row r="3418" spans="1:6">
      <c r="A3418">
        <v>3417</v>
      </c>
      <c r="B3418" t="s">
        <v>11395</v>
      </c>
      <c r="C3418">
        <v>250</v>
      </c>
      <c r="D3418">
        <v>750</v>
      </c>
      <c r="E3418">
        <v>50</v>
      </c>
      <c r="F3418" s="60">
        <v>44874</v>
      </c>
    </row>
    <row r="3419" spans="1:6">
      <c r="A3419">
        <v>3418</v>
      </c>
      <c r="B3419" t="s">
        <v>11398</v>
      </c>
      <c r="C3419">
        <v>250</v>
      </c>
      <c r="D3419">
        <v>750</v>
      </c>
      <c r="E3419">
        <v>50</v>
      </c>
      <c r="F3419" s="61">
        <v>44827</v>
      </c>
    </row>
    <row r="3420" spans="1:6">
      <c r="A3420">
        <v>3419</v>
      </c>
      <c r="B3420" t="s">
        <v>11401</v>
      </c>
      <c r="C3420">
        <v>20000</v>
      </c>
      <c r="D3420">
        <v>0</v>
      </c>
      <c r="E3420">
        <v>1000</v>
      </c>
      <c r="F3420" s="64" t="s">
        <v>16824</v>
      </c>
    </row>
    <row r="3421" spans="1:6">
      <c r="A3421">
        <v>3420</v>
      </c>
      <c r="B3421" t="s">
        <v>11405</v>
      </c>
      <c r="C3421">
        <v>2500</v>
      </c>
      <c r="D3421">
        <v>7500</v>
      </c>
      <c r="E3421">
        <v>500</v>
      </c>
      <c r="F3421" s="67">
        <v>45083</v>
      </c>
    </row>
    <row r="3422" spans="1:6">
      <c r="A3422">
        <v>3421</v>
      </c>
      <c r="B3422" t="s">
        <v>11408</v>
      </c>
      <c r="C3422">
        <v>250</v>
      </c>
      <c r="D3422">
        <v>750</v>
      </c>
      <c r="E3422">
        <v>50</v>
      </c>
      <c r="F3422" s="69">
        <v>44985</v>
      </c>
    </row>
    <row r="3423" spans="1:6">
      <c r="A3423">
        <v>3422</v>
      </c>
      <c r="B3423" t="s">
        <v>11411</v>
      </c>
      <c r="C3423">
        <v>250</v>
      </c>
      <c r="D3423">
        <v>750</v>
      </c>
      <c r="E3423">
        <v>50</v>
      </c>
      <c r="F3423" s="60">
        <v>44984</v>
      </c>
    </row>
    <row r="3424" spans="1:6">
      <c r="A3424">
        <v>3423</v>
      </c>
      <c r="B3424" t="s">
        <v>11414</v>
      </c>
      <c r="C3424">
        <v>250</v>
      </c>
      <c r="D3424">
        <v>750</v>
      </c>
      <c r="E3424">
        <v>50</v>
      </c>
      <c r="F3424" s="60">
        <v>44841</v>
      </c>
    </row>
    <row r="3425" spans="1:6">
      <c r="A3425">
        <v>3424</v>
      </c>
      <c r="B3425" t="s">
        <v>11418</v>
      </c>
      <c r="C3425">
        <v>250</v>
      </c>
      <c r="D3425">
        <v>750</v>
      </c>
      <c r="E3425">
        <v>50</v>
      </c>
      <c r="F3425" s="60">
        <v>44867</v>
      </c>
    </row>
    <row r="3426" spans="1:6">
      <c r="A3426">
        <v>3425</v>
      </c>
      <c r="B3426" t="s">
        <v>11422</v>
      </c>
      <c r="C3426">
        <v>100000</v>
      </c>
      <c r="D3426">
        <v>0</v>
      </c>
      <c r="E3426" t="s">
        <v>16642</v>
      </c>
      <c r="F3426" s="66"/>
    </row>
    <row r="3427" spans="1:6">
      <c r="A3427">
        <v>3426</v>
      </c>
      <c r="B3427" t="s">
        <v>11427</v>
      </c>
      <c r="C3427">
        <v>100000</v>
      </c>
      <c r="D3427">
        <v>0</v>
      </c>
      <c r="E3427" t="s">
        <v>16642</v>
      </c>
      <c r="F3427" s="66"/>
    </row>
    <row r="3428" spans="1:6">
      <c r="A3428">
        <v>3427</v>
      </c>
      <c r="B3428" t="s">
        <v>11431</v>
      </c>
      <c r="C3428">
        <v>5000</v>
      </c>
      <c r="D3428">
        <v>0</v>
      </c>
      <c r="E3428">
        <v>250</v>
      </c>
      <c r="F3428" s="67" t="s">
        <v>16825</v>
      </c>
    </row>
    <row r="3429" spans="1:6">
      <c r="A3429">
        <v>3428</v>
      </c>
      <c r="B3429" t="s">
        <v>11434</v>
      </c>
      <c r="C3429">
        <v>5000</v>
      </c>
      <c r="D3429">
        <v>0</v>
      </c>
      <c r="E3429">
        <v>250</v>
      </c>
      <c r="F3429" s="64" t="s">
        <v>16723</v>
      </c>
    </row>
    <row r="3430" ht="15" spans="1:6">
      <c r="A3430">
        <v>3429</v>
      </c>
      <c r="B3430" t="s">
        <v>11438</v>
      </c>
      <c r="C3430">
        <v>1000000</v>
      </c>
      <c r="D3430">
        <v>500000</v>
      </c>
      <c r="E3430" t="s">
        <v>16642</v>
      </c>
      <c r="F3430" s="81">
        <f>IFERROR(__xludf.DUMMYFUNCTION("""COMPUTED_VALUE"""),45084)</f>
        <v>45084</v>
      </c>
    </row>
    <row r="3431" spans="1:6">
      <c r="A3431">
        <v>3430</v>
      </c>
      <c r="B3431" t="s">
        <v>11439</v>
      </c>
      <c r="C3431">
        <v>1250</v>
      </c>
      <c r="D3431">
        <v>3750</v>
      </c>
      <c r="E3431">
        <v>250</v>
      </c>
      <c r="F3431" s="65">
        <v>44546</v>
      </c>
    </row>
    <row r="3432" spans="1:6">
      <c r="A3432">
        <v>3431</v>
      </c>
      <c r="B3432" t="s">
        <v>11443</v>
      </c>
      <c r="C3432">
        <v>1000</v>
      </c>
      <c r="D3432">
        <v>0</v>
      </c>
      <c r="E3432">
        <v>50</v>
      </c>
      <c r="F3432" s="64" t="s">
        <v>16826</v>
      </c>
    </row>
    <row r="3433" spans="1:6">
      <c r="A3433">
        <v>3432</v>
      </c>
      <c r="B3433" t="s">
        <v>11447</v>
      </c>
      <c r="C3433">
        <v>2500</v>
      </c>
      <c r="D3433">
        <v>2500</v>
      </c>
      <c r="E3433">
        <v>250</v>
      </c>
      <c r="F3433" s="64" t="s">
        <v>16827</v>
      </c>
    </row>
    <row r="3434" spans="1:6">
      <c r="A3434">
        <v>3433</v>
      </c>
      <c r="B3434" t="s">
        <v>11451</v>
      </c>
      <c r="C3434">
        <v>2500</v>
      </c>
      <c r="D3434">
        <v>2500</v>
      </c>
      <c r="E3434">
        <v>250</v>
      </c>
      <c r="F3434" s="64" t="s">
        <v>16827</v>
      </c>
    </row>
    <row r="3435" spans="1:6">
      <c r="A3435">
        <v>3434</v>
      </c>
      <c r="B3435" t="s">
        <v>11455</v>
      </c>
      <c r="C3435">
        <v>200000</v>
      </c>
      <c r="D3435">
        <v>0</v>
      </c>
      <c r="E3435" t="s">
        <v>16642</v>
      </c>
      <c r="F3435" s="76">
        <v>44965</v>
      </c>
    </row>
    <row r="3436" spans="1:6">
      <c r="A3436">
        <v>3435</v>
      </c>
      <c r="B3436" t="s">
        <v>11459</v>
      </c>
      <c r="C3436">
        <v>12500</v>
      </c>
      <c r="D3436">
        <v>37500</v>
      </c>
      <c r="E3436">
        <v>2500</v>
      </c>
      <c r="F3436" s="64" t="s">
        <v>16828</v>
      </c>
    </row>
    <row r="3437" spans="1:6">
      <c r="A3437">
        <v>3436</v>
      </c>
      <c r="B3437" t="s">
        <v>11463</v>
      </c>
      <c r="C3437">
        <v>12500</v>
      </c>
      <c r="D3437">
        <v>37500</v>
      </c>
      <c r="E3437">
        <v>2500</v>
      </c>
      <c r="F3437" s="65">
        <v>44693</v>
      </c>
    </row>
    <row r="3438" spans="1:6">
      <c r="A3438">
        <v>3437</v>
      </c>
      <c r="B3438" t="s">
        <v>11467</v>
      </c>
      <c r="C3438">
        <v>250</v>
      </c>
      <c r="D3438">
        <v>750</v>
      </c>
      <c r="E3438">
        <v>50</v>
      </c>
      <c r="F3438" s="64" t="s">
        <v>16750</v>
      </c>
    </row>
    <row r="3439" spans="1:6">
      <c r="A3439">
        <v>3438</v>
      </c>
      <c r="B3439" t="s">
        <v>11471</v>
      </c>
      <c r="C3439">
        <v>1000</v>
      </c>
      <c r="D3439">
        <v>0</v>
      </c>
      <c r="E3439">
        <v>50</v>
      </c>
      <c r="F3439" s="65">
        <v>44680</v>
      </c>
    </row>
    <row r="3440" spans="1:6">
      <c r="A3440">
        <v>3439</v>
      </c>
      <c r="B3440" t="s">
        <v>11475</v>
      </c>
      <c r="C3440">
        <v>1000</v>
      </c>
      <c r="D3440">
        <v>0</v>
      </c>
      <c r="E3440">
        <v>50</v>
      </c>
      <c r="F3440" s="65">
        <v>44680</v>
      </c>
    </row>
    <row r="3441" spans="1:6">
      <c r="A3441">
        <v>3440</v>
      </c>
      <c r="B3441" t="s">
        <v>11479</v>
      </c>
      <c r="C3441">
        <v>1000</v>
      </c>
      <c r="D3441">
        <v>0</v>
      </c>
      <c r="E3441">
        <v>50</v>
      </c>
      <c r="F3441" s="65">
        <v>44680</v>
      </c>
    </row>
    <row r="3442" spans="1:6">
      <c r="A3442">
        <v>3441</v>
      </c>
      <c r="B3442" t="s">
        <v>11483</v>
      </c>
      <c r="C3442">
        <v>1000</v>
      </c>
      <c r="D3442">
        <v>0</v>
      </c>
      <c r="E3442">
        <v>50</v>
      </c>
      <c r="F3442" s="65">
        <v>44680</v>
      </c>
    </row>
    <row r="3443" spans="1:6">
      <c r="A3443">
        <v>3442</v>
      </c>
      <c r="B3443" t="s">
        <v>11487</v>
      </c>
      <c r="C3443">
        <v>1000</v>
      </c>
      <c r="D3443">
        <v>0</v>
      </c>
      <c r="E3443">
        <v>50</v>
      </c>
      <c r="F3443" s="65">
        <v>44680</v>
      </c>
    </row>
    <row r="3444" spans="1:6">
      <c r="A3444">
        <v>3443</v>
      </c>
      <c r="B3444" t="s">
        <v>11491</v>
      </c>
      <c r="C3444">
        <v>1000</v>
      </c>
      <c r="D3444">
        <v>0</v>
      </c>
      <c r="E3444">
        <v>50</v>
      </c>
      <c r="F3444" s="65">
        <v>44680</v>
      </c>
    </row>
    <row r="3445" spans="1:6">
      <c r="A3445">
        <v>3444</v>
      </c>
      <c r="B3445" t="s">
        <v>11495</v>
      </c>
      <c r="C3445">
        <v>1000</v>
      </c>
      <c r="D3445">
        <v>0</v>
      </c>
      <c r="E3445">
        <v>50</v>
      </c>
      <c r="F3445" s="65">
        <v>44680</v>
      </c>
    </row>
    <row r="3446" spans="1:6">
      <c r="A3446">
        <v>3445</v>
      </c>
      <c r="B3446" t="s">
        <v>11498</v>
      </c>
      <c r="C3446">
        <v>1000</v>
      </c>
      <c r="D3446">
        <v>0</v>
      </c>
      <c r="E3446">
        <v>50</v>
      </c>
      <c r="F3446" s="65">
        <v>44680</v>
      </c>
    </row>
    <row r="3447" spans="1:6">
      <c r="A3447">
        <v>3446</v>
      </c>
      <c r="B3447" t="s">
        <v>11502</v>
      </c>
      <c r="C3447">
        <v>1000</v>
      </c>
      <c r="D3447">
        <v>0</v>
      </c>
      <c r="E3447">
        <v>50</v>
      </c>
      <c r="F3447" s="65">
        <v>44680</v>
      </c>
    </row>
    <row r="3448" spans="1:6">
      <c r="A3448">
        <v>3447</v>
      </c>
      <c r="B3448" t="s">
        <v>11506</v>
      </c>
      <c r="C3448">
        <v>1000</v>
      </c>
      <c r="D3448">
        <v>0</v>
      </c>
      <c r="E3448">
        <v>50</v>
      </c>
      <c r="F3448" s="65">
        <v>44680</v>
      </c>
    </row>
    <row r="3449" spans="1:6">
      <c r="A3449">
        <v>3448</v>
      </c>
      <c r="B3449" t="s">
        <v>11510</v>
      </c>
      <c r="C3449">
        <v>1000</v>
      </c>
      <c r="D3449">
        <v>0</v>
      </c>
      <c r="E3449">
        <v>50</v>
      </c>
      <c r="F3449" s="65">
        <v>44680</v>
      </c>
    </row>
    <row r="3450" spans="1:6">
      <c r="A3450">
        <v>3449</v>
      </c>
      <c r="B3450" t="s">
        <v>11514</v>
      </c>
      <c r="C3450">
        <v>1000</v>
      </c>
      <c r="D3450">
        <v>0</v>
      </c>
      <c r="E3450">
        <v>50</v>
      </c>
      <c r="F3450" s="65">
        <v>44680</v>
      </c>
    </row>
    <row r="3451" spans="1:6">
      <c r="A3451">
        <v>3450</v>
      </c>
      <c r="B3451" t="s">
        <v>11518</v>
      </c>
      <c r="C3451">
        <v>1000</v>
      </c>
      <c r="D3451">
        <v>0</v>
      </c>
      <c r="E3451">
        <v>50</v>
      </c>
      <c r="F3451" s="65">
        <v>44680</v>
      </c>
    </row>
    <row r="3452" spans="1:6">
      <c r="A3452">
        <v>3451</v>
      </c>
      <c r="B3452" t="s">
        <v>11521</v>
      </c>
      <c r="C3452">
        <v>250</v>
      </c>
      <c r="D3452">
        <v>750</v>
      </c>
      <c r="E3452">
        <v>50</v>
      </c>
      <c r="F3452" s="61">
        <v>44849</v>
      </c>
    </row>
    <row r="3453" spans="1:6">
      <c r="A3453">
        <v>3452</v>
      </c>
      <c r="B3453" t="s">
        <v>11525</v>
      </c>
      <c r="C3453">
        <v>250</v>
      </c>
      <c r="D3453">
        <v>750</v>
      </c>
      <c r="E3453">
        <v>50</v>
      </c>
      <c r="F3453" s="77">
        <v>44793</v>
      </c>
    </row>
    <row r="3454" spans="1:6">
      <c r="A3454">
        <v>3453</v>
      </c>
      <c r="B3454" t="s">
        <v>11528</v>
      </c>
      <c r="C3454">
        <v>250</v>
      </c>
      <c r="D3454">
        <v>750</v>
      </c>
      <c r="E3454">
        <v>50</v>
      </c>
      <c r="F3454" s="60">
        <v>45001</v>
      </c>
    </row>
    <row r="3455" spans="1:6">
      <c r="A3455">
        <v>3454</v>
      </c>
      <c r="B3455" t="s">
        <v>11531</v>
      </c>
      <c r="C3455">
        <v>250</v>
      </c>
      <c r="D3455">
        <v>750</v>
      </c>
      <c r="E3455">
        <v>50</v>
      </c>
      <c r="F3455" s="60">
        <v>44849</v>
      </c>
    </row>
    <row r="3456" ht="15" spans="1:6">
      <c r="A3456">
        <v>3455</v>
      </c>
      <c r="B3456" t="s">
        <v>11535</v>
      </c>
      <c r="C3456">
        <v>1000000</v>
      </c>
      <c r="D3456">
        <v>500000</v>
      </c>
      <c r="E3456" t="s">
        <v>16642</v>
      </c>
      <c r="F3456" s="81">
        <f>IFERROR(__xludf.DUMMYFUNCTION("""COMPUTED_VALUE"""),45078)</f>
        <v>45078</v>
      </c>
    </row>
    <row r="3457" spans="1:6">
      <c r="A3457">
        <v>3456</v>
      </c>
      <c r="B3457" t="s">
        <v>11536</v>
      </c>
      <c r="C3457">
        <v>100000</v>
      </c>
      <c r="D3457">
        <v>0</v>
      </c>
      <c r="E3457" t="s">
        <v>16642</v>
      </c>
      <c r="F3457" s="76">
        <v>44940</v>
      </c>
    </row>
    <row r="3458" spans="1:6">
      <c r="A3458">
        <v>3457</v>
      </c>
      <c r="B3458" s="139">
        <v>3373</v>
      </c>
      <c r="C3458">
        <v>25000</v>
      </c>
      <c r="D3458">
        <v>75000</v>
      </c>
      <c r="E3458">
        <v>5000</v>
      </c>
      <c r="F3458" s="74">
        <v>44940</v>
      </c>
    </row>
    <row r="3459" spans="1:6">
      <c r="A3459">
        <v>3458</v>
      </c>
      <c r="B3459" t="s">
        <v>11540</v>
      </c>
      <c r="C3459">
        <v>250</v>
      </c>
      <c r="D3459">
        <v>750</v>
      </c>
      <c r="E3459">
        <v>50</v>
      </c>
      <c r="F3459" s="60">
        <v>44896</v>
      </c>
    </row>
    <row r="3460" spans="1:6">
      <c r="A3460">
        <v>3459</v>
      </c>
      <c r="B3460" t="s">
        <v>11543</v>
      </c>
      <c r="C3460">
        <v>100000</v>
      </c>
      <c r="D3460">
        <v>0</v>
      </c>
      <c r="E3460" t="s">
        <v>16642</v>
      </c>
      <c r="F3460" s="66"/>
    </row>
    <row r="3461" spans="1:6">
      <c r="A3461">
        <v>3460</v>
      </c>
      <c r="B3461" t="s">
        <v>11547</v>
      </c>
      <c r="C3461">
        <v>250</v>
      </c>
      <c r="D3461">
        <v>750</v>
      </c>
      <c r="E3461">
        <v>50</v>
      </c>
      <c r="F3461" s="73">
        <v>44903</v>
      </c>
    </row>
    <row r="3462" spans="1:6">
      <c r="A3462">
        <v>3461</v>
      </c>
      <c r="B3462" t="s">
        <v>11550</v>
      </c>
      <c r="C3462">
        <v>1000</v>
      </c>
      <c r="D3462">
        <v>0</v>
      </c>
      <c r="E3462">
        <v>50</v>
      </c>
      <c r="F3462" s="65">
        <v>44448</v>
      </c>
    </row>
    <row r="3463" spans="1:6">
      <c r="A3463">
        <v>3462</v>
      </c>
      <c r="B3463" t="s">
        <v>11555</v>
      </c>
      <c r="C3463">
        <v>250</v>
      </c>
      <c r="D3463">
        <v>750</v>
      </c>
      <c r="E3463">
        <v>50</v>
      </c>
      <c r="F3463" s="61">
        <v>44825</v>
      </c>
    </row>
    <row r="3464" spans="1:6">
      <c r="A3464">
        <v>3463</v>
      </c>
      <c r="B3464" t="s">
        <v>11559</v>
      </c>
      <c r="C3464">
        <v>2000</v>
      </c>
      <c r="D3464">
        <v>0</v>
      </c>
      <c r="E3464">
        <v>100</v>
      </c>
      <c r="F3464" s="64" t="s">
        <v>16829</v>
      </c>
    </row>
    <row r="3465" spans="1:6">
      <c r="A3465">
        <v>3464</v>
      </c>
      <c r="B3465" t="s">
        <v>11562</v>
      </c>
      <c r="C3465">
        <v>250</v>
      </c>
      <c r="D3465">
        <v>750</v>
      </c>
      <c r="E3465">
        <v>50</v>
      </c>
      <c r="F3465" s="64" t="s">
        <v>16693</v>
      </c>
    </row>
    <row r="3466" spans="1:6">
      <c r="A3466">
        <v>3465</v>
      </c>
      <c r="B3466" t="s">
        <v>11566</v>
      </c>
      <c r="C3466">
        <v>250</v>
      </c>
      <c r="D3466">
        <v>750</v>
      </c>
      <c r="E3466">
        <v>50</v>
      </c>
      <c r="F3466" s="72">
        <v>44818</v>
      </c>
    </row>
    <row r="3467" spans="1:6">
      <c r="A3467">
        <v>3466</v>
      </c>
      <c r="B3467" t="s">
        <v>11570</v>
      </c>
      <c r="C3467">
        <v>267000</v>
      </c>
      <c r="D3467">
        <v>0</v>
      </c>
      <c r="F3467" s="65"/>
    </row>
    <row r="3468" spans="1:6">
      <c r="A3468">
        <v>3467</v>
      </c>
      <c r="B3468" t="s">
        <v>11574</v>
      </c>
      <c r="C3468">
        <v>250</v>
      </c>
      <c r="D3468">
        <v>750</v>
      </c>
      <c r="E3468">
        <v>50</v>
      </c>
      <c r="F3468" s="72">
        <v>44919</v>
      </c>
    </row>
    <row r="3469" spans="1:6">
      <c r="A3469">
        <v>3468</v>
      </c>
      <c r="B3469" t="s">
        <v>11577</v>
      </c>
      <c r="C3469">
        <v>16000</v>
      </c>
      <c r="D3469">
        <v>0</v>
      </c>
      <c r="E3469">
        <v>500</v>
      </c>
      <c r="F3469" s="83">
        <v>44748</v>
      </c>
    </row>
    <row r="3470" spans="1:6">
      <c r="A3470">
        <v>3469</v>
      </c>
      <c r="B3470" t="s">
        <v>11577</v>
      </c>
      <c r="C3470">
        <v>100000</v>
      </c>
      <c r="D3470">
        <v>0</v>
      </c>
      <c r="E3470" t="s">
        <v>16642</v>
      </c>
      <c r="F3470" s="107">
        <v>44791</v>
      </c>
    </row>
    <row r="3471" spans="1:6">
      <c r="A3471">
        <v>3470</v>
      </c>
      <c r="B3471" t="s">
        <v>11580</v>
      </c>
      <c r="C3471">
        <v>100000</v>
      </c>
      <c r="D3471">
        <v>0</v>
      </c>
      <c r="E3471" t="s">
        <v>16642</v>
      </c>
      <c r="F3471" s="100"/>
    </row>
    <row r="3472" spans="1:6">
      <c r="A3472">
        <v>3471</v>
      </c>
      <c r="B3472" t="s">
        <v>11582</v>
      </c>
      <c r="C3472">
        <v>250</v>
      </c>
      <c r="D3472">
        <v>750</v>
      </c>
      <c r="E3472">
        <v>50</v>
      </c>
      <c r="F3472" s="73">
        <v>44961</v>
      </c>
    </row>
    <row r="3473" spans="1:6">
      <c r="A3473">
        <v>3472</v>
      </c>
      <c r="B3473" t="s">
        <v>11585</v>
      </c>
      <c r="C3473">
        <v>250</v>
      </c>
      <c r="D3473">
        <v>750</v>
      </c>
      <c r="E3473">
        <v>50</v>
      </c>
      <c r="F3473" s="61">
        <v>44930</v>
      </c>
    </row>
    <row r="3474" spans="1:6">
      <c r="A3474">
        <v>3473</v>
      </c>
      <c r="B3474" t="s">
        <v>11589</v>
      </c>
      <c r="C3474">
        <v>250</v>
      </c>
      <c r="D3474">
        <v>750</v>
      </c>
      <c r="E3474">
        <v>50</v>
      </c>
      <c r="F3474" s="75">
        <v>44916</v>
      </c>
    </row>
    <row r="3475" spans="1:6">
      <c r="A3475">
        <v>3474</v>
      </c>
      <c r="B3475" t="s">
        <v>11592</v>
      </c>
      <c r="C3475">
        <v>250</v>
      </c>
      <c r="D3475">
        <v>750</v>
      </c>
      <c r="E3475">
        <v>50</v>
      </c>
      <c r="F3475" s="60">
        <v>44921</v>
      </c>
    </row>
    <row r="3476" spans="1:6">
      <c r="A3476">
        <v>3475</v>
      </c>
      <c r="B3476" t="s">
        <v>11595</v>
      </c>
      <c r="C3476">
        <v>250</v>
      </c>
      <c r="D3476">
        <v>750</v>
      </c>
      <c r="E3476">
        <v>50</v>
      </c>
      <c r="F3476" s="61">
        <v>44876</v>
      </c>
    </row>
    <row r="3477" spans="1:6">
      <c r="A3477">
        <v>3476</v>
      </c>
      <c r="B3477" t="s">
        <v>11599</v>
      </c>
      <c r="C3477">
        <v>2500</v>
      </c>
      <c r="D3477">
        <v>7500</v>
      </c>
      <c r="E3477">
        <v>500</v>
      </c>
      <c r="F3477" s="64" t="s">
        <v>16830</v>
      </c>
    </row>
    <row r="3478" spans="1:6">
      <c r="A3478">
        <v>3477</v>
      </c>
      <c r="B3478" t="s">
        <v>11602</v>
      </c>
      <c r="C3478">
        <v>250</v>
      </c>
      <c r="D3478">
        <v>750</v>
      </c>
      <c r="E3478">
        <v>50</v>
      </c>
      <c r="F3478" s="60">
        <v>44824</v>
      </c>
    </row>
    <row r="3479" spans="1:6">
      <c r="A3479">
        <v>3478</v>
      </c>
      <c r="B3479" t="s">
        <v>11605</v>
      </c>
      <c r="C3479">
        <v>250</v>
      </c>
      <c r="D3479">
        <v>750</v>
      </c>
      <c r="E3479">
        <v>50</v>
      </c>
      <c r="F3479" s="65">
        <v>44510</v>
      </c>
    </row>
    <row r="3480" spans="1:6">
      <c r="A3480">
        <v>3479</v>
      </c>
      <c r="B3480" t="s">
        <v>11609</v>
      </c>
      <c r="C3480">
        <v>250</v>
      </c>
      <c r="D3480">
        <v>750</v>
      </c>
      <c r="E3480">
        <v>50</v>
      </c>
      <c r="F3480" s="61">
        <v>44930</v>
      </c>
    </row>
    <row r="3481" spans="1:6">
      <c r="A3481">
        <v>3480</v>
      </c>
      <c r="B3481" t="s">
        <v>11612</v>
      </c>
      <c r="C3481">
        <v>250</v>
      </c>
      <c r="D3481">
        <v>750</v>
      </c>
      <c r="E3481">
        <v>50</v>
      </c>
      <c r="F3481" s="60" t="s">
        <v>16831</v>
      </c>
    </row>
    <row r="3482" spans="1:6">
      <c r="A3482">
        <v>3481</v>
      </c>
      <c r="B3482" t="s">
        <v>11615</v>
      </c>
      <c r="C3482">
        <v>250</v>
      </c>
      <c r="D3482">
        <v>750</v>
      </c>
      <c r="E3482">
        <v>50</v>
      </c>
      <c r="F3482" s="61">
        <v>44912</v>
      </c>
    </row>
    <row r="3483" spans="1:6">
      <c r="A3483">
        <v>3482</v>
      </c>
      <c r="B3483" t="s">
        <v>11619</v>
      </c>
      <c r="C3483">
        <v>250</v>
      </c>
      <c r="D3483">
        <v>750</v>
      </c>
      <c r="E3483">
        <v>50</v>
      </c>
      <c r="F3483" s="61">
        <v>44864</v>
      </c>
    </row>
    <row r="3484" spans="1:6">
      <c r="A3484">
        <v>3483</v>
      </c>
      <c r="B3484" t="s">
        <v>11622</v>
      </c>
      <c r="C3484">
        <v>250</v>
      </c>
      <c r="D3484">
        <v>750</v>
      </c>
      <c r="E3484">
        <v>50</v>
      </c>
      <c r="F3484" s="61">
        <v>44950</v>
      </c>
    </row>
    <row r="3485" spans="1:6">
      <c r="A3485">
        <v>3484</v>
      </c>
      <c r="B3485" t="s">
        <v>11626</v>
      </c>
      <c r="C3485">
        <v>250</v>
      </c>
      <c r="D3485">
        <v>750</v>
      </c>
      <c r="E3485">
        <v>50</v>
      </c>
      <c r="F3485" s="70">
        <v>44851</v>
      </c>
    </row>
    <row r="3486" spans="1:6">
      <c r="A3486">
        <v>3485</v>
      </c>
      <c r="B3486" t="s">
        <v>11630</v>
      </c>
      <c r="C3486">
        <v>100000</v>
      </c>
      <c r="D3486">
        <v>0</v>
      </c>
      <c r="E3486" t="s">
        <v>16642</v>
      </c>
      <c r="F3486" s="76">
        <v>44923</v>
      </c>
    </row>
    <row r="3487" spans="1:6">
      <c r="A3487">
        <v>3486</v>
      </c>
      <c r="B3487" t="s">
        <v>11635</v>
      </c>
      <c r="C3487">
        <v>250</v>
      </c>
      <c r="D3487">
        <v>750</v>
      </c>
      <c r="E3487">
        <v>50</v>
      </c>
      <c r="F3487" s="60">
        <v>44868</v>
      </c>
    </row>
    <row r="3488" spans="1:6">
      <c r="A3488">
        <v>3487</v>
      </c>
      <c r="B3488" t="s">
        <v>11639</v>
      </c>
      <c r="C3488">
        <v>250</v>
      </c>
      <c r="D3488">
        <v>750</v>
      </c>
      <c r="E3488">
        <v>50</v>
      </c>
      <c r="F3488" s="61">
        <v>44910</v>
      </c>
    </row>
    <row r="3489" spans="1:6">
      <c r="A3489">
        <v>3488</v>
      </c>
      <c r="B3489" t="s">
        <v>11643</v>
      </c>
      <c r="C3489">
        <v>100000</v>
      </c>
      <c r="D3489">
        <v>0</v>
      </c>
      <c r="E3489" t="s">
        <v>16642</v>
      </c>
      <c r="F3489" s="76">
        <v>44838</v>
      </c>
    </row>
    <row r="3490" spans="1:6">
      <c r="A3490">
        <v>3489</v>
      </c>
      <c r="B3490" t="s">
        <v>11647</v>
      </c>
      <c r="C3490">
        <v>100000</v>
      </c>
      <c r="D3490">
        <v>0</v>
      </c>
      <c r="E3490" t="s">
        <v>16642</v>
      </c>
      <c r="F3490" s="76">
        <v>44900</v>
      </c>
    </row>
    <row r="3491" spans="1:6">
      <c r="A3491">
        <v>3490</v>
      </c>
      <c r="B3491" t="s">
        <v>11651</v>
      </c>
      <c r="C3491">
        <v>1000</v>
      </c>
      <c r="D3491">
        <v>0</v>
      </c>
      <c r="E3491">
        <v>50</v>
      </c>
      <c r="F3491" s="64" t="s">
        <v>16766</v>
      </c>
    </row>
    <row r="3492" spans="1:6">
      <c r="A3492">
        <v>3491</v>
      </c>
      <c r="B3492" t="s">
        <v>11655</v>
      </c>
      <c r="C3492">
        <v>5000</v>
      </c>
      <c r="D3492">
        <v>0</v>
      </c>
      <c r="E3492">
        <v>250</v>
      </c>
      <c r="F3492" s="65">
        <v>44459</v>
      </c>
    </row>
    <row r="3493" spans="1:6">
      <c r="A3493">
        <v>3492</v>
      </c>
      <c r="B3493" t="s">
        <v>11660</v>
      </c>
      <c r="C3493">
        <v>10000</v>
      </c>
      <c r="D3493">
        <v>0</v>
      </c>
      <c r="E3493">
        <v>500</v>
      </c>
      <c r="F3493" s="74">
        <v>44973</v>
      </c>
    </row>
    <row r="3494" spans="1:6">
      <c r="A3494">
        <v>3493</v>
      </c>
      <c r="B3494" t="s">
        <v>11663</v>
      </c>
      <c r="C3494">
        <v>30000</v>
      </c>
      <c r="D3494">
        <v>0</v>
      </c>
      <c r="E3494">
        <v>1500</v>
      </c>
      <c r="F3494" s="77">
        <v>44779</v>
      </c>
    </row>
    <row r="3495" ht="15" spans="1:6">
      <c r="A3495">
        <v>3494</v>
      </c>
      <c r="B3495" t="s">
        <v>11666</v>
      </c>
      <c r="C3495">
        <v>1100000</v>
      </c>
      <c r="D3495">
        <v>2400000</v>
      </c>
      <c r="E3495" t="s">
        <v>16642</v>
      </c>
      <c r="F3495" s="140" t="s">
        <v>16832</v>
      </c>
    </row>
    <row r="3496" spans="1:6">
      <c r="A3496">
        <v>3495</v>
      </c>
      <c r="B3496" t="s">
        <v>11671</v>
      </c>
      <c r="C3496">
        <v>5000</v>
      </c>
      <c r="D3496">
        <v>0</v>
      </c>
      <c r="E3496">
        <v>250</v>
      </c>
      <c r="F3496" s="65">
        <v>44685</v>
      </c>
    </row>
    <row r="3497" spans="1:6">
      <c r="A3497">
        <v>3496</v>
      </c>
      <c r="B3497" t="s">
        <v>11675</v>
      </c>
      <c r="C3497">
        <v>5000</v>
      </c>
      <c r="D3497">
        <v>0</v>
      </c>
      <c r="E3497">
        <v>250</v>
      </c>
      <c r="F3497" s="65">
        <v>44685</v>
      </c>
    </row>
    <row r="3498" spans="1:6">
      <c r="A3498">
        <v>3497</v>
      </c>
      <c r="B3498" t="s">
        <v>11679</v>
      </c>
      <c r="C3498">
        <v>25000</v>
      </c>
      <c r="D3498">
        <v>75000</v>
      </c>
      <c r="E3498">
        <v>5000</v>
      </c>
      <c r="F3498" s="91" t="s">
        <v>16705</v>
      </c>
    </row>
    <row r="3499" spans="1:6">
      <c r="A3499">
        <v>3498</v>
      </c>
      <c r="B3499" t="s">
        <v>11679</v>
      </c>
      <c r="C3499">
        <v>100000</v>
      </c>
      <c r="D3499">
        <v>0</v>
      </c>
      <c r="E3499" t="s">
        <v>16642</v>
      </c>
      <c r="F3499" s="89"/>
    </row>
    <row r="3500" spans="1:6">
      <c r="A3500">
        <v>3499</v>
      </c>
      <c r="B3500" t="s">
        <v>11683</v>
      </c>
      <c r="C3500">
        <v>400000</v>
      </c>
      <c r="D3500">
        <v>0</v>
      </c>
      <c r="E3500" t="s">
        <v>16642</v>
      </c>
      <c r="F3500" s="76">
        <v>44936</v>
      </c>
    </row>
    <row r="3501" spans="1:6">
      <c r="A3501">
        <v>3500</v>
      </c>
      <c r="B3501" t="s">
        <v>11687</v>
      </c>
      <c r="C3501">
        <v>12500</v>
      </c>
      <c r="D3501">
        <v>37500</v>
      </c>
      <c r="E3501">
        <v>2500</v>
      </c>
      <c r="F3501" s="83">
        <v>44742</v>
      </c>
    </row>
    <row r="3502" spans="1:6">
      <c r="A3502">
        <v>3501</v>
      </c>
      <c r="B3502" t="s">
        <v>11687</v>
      </c>
      <c r="C3502">
        <v>100000</v>
      </c>
      <c r="D3502">
        <v>0</v>
      </c>
      <c r="E3502" t="s">
        <v>16642</v>
      </c>
      <c r="F3502" s="89"/>
    </row>
    <row r="3503" spans="1:6">
      <c r="A3503">
        <v>3502</v>
      </c>
      <c r="B3503" t="s">
        <v>11691</v>
      </c>
      <c r="C3503">
        <v>250</v>
      </c>
      <c r="D3503">
        <v>750</v>
      </c>
      <c r="E3503">
        <v>50</v>
      </c>
      <c r="F3503" s="61">
        <v>44807</v>
      </c>
    </row>
    <row r="3504" ht="15" spans="1:6">
      <c r="A3504">
        <v>3503</v>
      </c>
      <c r="B3504" t="s">
        <v>11694</v>
      </c>
      <c r="C3504">
        <v>1000000</v>
      </c>
      <c r="D3504">
        <v>500000</v>
      </c>
      <c r="E3504" t="s">
        <v>16642</v>
      </c>
      <c r="F3504" s="81">
        <f>IFERROR(__xludf.DUMMYFUNCTION("""COMPUTED_VALUE"""),45082)</f>
        <v>45082</v>
      </c>
    </row>
    <row r="3505" spans="1:6">
      <c r="A3505">
        <v>3504</v>
      </c>
      <c r="B3505" t="s">
        <v>11695</v>
      </c>
      <c r="C3505">
        <v>1000</v>
      </c>
      <c r="D3505">
        <v>0</v>
      </c>
      <c r="E3505">
        <v>50</v>
      </c>
      <c r="F3505" s="64" t="s">
        <v>16833</v>
      </c>
    </row>
    <row r="3506" spans="1:6">
      <c r="A3506">
        <v>3505</v>
      </c>
      <c r="B3506" t="s">
        <v>11699</v>
      </c>
      <c r="C3506">
        <v>100000</v>
      </c>
      <c r="D3506">
        <v>0</v>
      </c>
      <c r="E3506" t="s">
        <v>16642</v>
      </c>
      <c r="F3506" s="66"/>
    </row>
    <row r="3507" spans="1:6">
      <c r="A3507">
        <v>3506</v>
      </c>
      <c r="B3507" t="s">
        <v>11704</v>
      </c>
      <c r="C3507">
        <v>1000</v>
      </c>
      <c r="D3507">
        <v>0</v>
      </c>
      <c r="E3507">
        <v>50</v>
      </c>
      <c r="F3507" s="65">
        <v>44745</v>
      </c>
    </row>
    <row r="3508" spans="1:6">
      <c r="A3508">
        <v>3507</v>
      </c>
      <c r="B3508" t="s">
        <v>11708</v>
      </c>
      <c r="C3508">
        <v>250</v>
      </c>
      <c r="D3508">
        <v>750</v>
      </c>
      <c r="E3508">
        <v>50</v>
      </c>
      <c r="F3508" s="60">
        <v>44928</v>
      </c>
    </row>
    <row r="3509" spans="1:6">
      <c r="A3509">
        <v>3508</v>
      </c>
      <c r="B3509" t="s">
        <v>11711</v>
      </c>
      <c r="C3509">
        <v>500</v>
      </c>
      <c r="D3509">
        <v>500</v>
      </c>
      <c r="E3509">
        <v>50</v>
      </c>
      <c r="F3509" s="61">
        <v>44874</v>
      </c>
    </row>
    <row r="3510" spans="1:6">
      <c r="A3510">
        <v>3509</v>
      </c>
      <c r="B3510" t="s">
        <v>11714</v>
      </c>
      <c r="C3510">
        <v>250</v>
      </c>
      <c r="D3510">
        <v>750</v>
      </c>
      <c r="E3510">
        <v>50</v>
      </c>
      <c r="F3510" s="61">
        <v>44886</v>
      </c>
    </row>
    <row r="3511" spans="1:6">
      <c r="A3511">
        <v>3510</v>
      </c>
      <c r="B3511" t="s">
        <v>11717</v>
      </c>
      <c r="C3511">
        <v>250</v>
      </c>
      <c r="D3511">
        <v>750</v>
      </c>
      <c r="E3511">
        <v>50</v>
      </c>
      <c r="F3511" s="60">
        <v>44886</v>
      </c>
    </row>
    <row r="3512" spans="1:6">
      <c r="A3512">
        <v>3511</v>
      </c>
      <c r="B3512" t="s">
        <v>11720</v>
      </c>
      <c r="C3512">
        <v>250</v>
      </c>
      <c r="D3512">
        <v>750</v>
      </c>
      <c r="E3512">
        <v>50</v>
      </c>
      <c r="F3512" s="69">
        <v>45009</v>
      </c>
    </row>
    <row r="3513" spans="1:6">
      <c r="A3513">
        <v>3512</v>
      </c>
      <c r="B3513" t="s">
        <v>11723</v>
      </c>
      <c r="C3513">
        <v>1000</v>
      </c>
      <c r="D3513">
        <v>0</v>
      </c>
      <c r="E3513">
        <v>50</v>
      </c>
      <c r="F3513" s="67">
        <v>44951</v>
      </c>
    </row>
    <row r="3514" spans="1:6">
      <c r="A3514">
        <v>3513</v>
      </c>
      <c r="B3514" t="s">
        <v>11726</v>
      </c>
      <c r="C3514">
        <v>250</v>
      </c>
      <c r="D3514">
        <v>750</v>
      </c>
      <c r="E3514">
        <v>50</v>
      </c>
      <c r="F3514" s="60">
        <v>44954</v>
      </c>
    </row>
    <row r="3515" spans="1:6">
      <c r="A3515">
        <v>3514</v>
      </c>
      <c r="B3515" t="s">
        <v>11729</v>
      </c>
      <c r="C3515">
        <v>250</v>
      </c>
      <c r="D3515">
        <v>750</v>
      </c>
      <c r="E3515">
        <v>50</v>
      </c>
      <c r="F3515" s="60">
        <v>44859</v>
      </c>
    </row>
    <row r="3516" spans="1:6">
      <c r="A3516">
        <v>3515</v>
      </c>
      <c r="B3516" t="s">
        <v>11732</v>
      </c>
      <c r="C3516">
        <v>250</v>
      </c>
      <c r="D3516">
        <v>750</v>
      </c>
      <c r="E3516">
        <v>50</v>
      </c>
      <c r="F3516" s="60">
        <v>44853</v>
      </c>
    </row>
    <row r="3517" spans="1:6">
      <c r="A3517">
        <v>3516</v>
      </c>
      <c r="B3517" t="s">
        <v>11735</v>
      </c>
      <c r="C3517">
        <v>250</v>
      </c>
      <c r="D3517">
        <v>750</v>
      </c>
      <c r="E3517">
        <v>50</v>
      </c>
      <c r="F3517" s="60">
        <v>44837</v>
      </c>
    </row>
    <row r="3518" spans="1:6">
      <c r="A3518">
        <v>3517</v>
      </c>
      <c r="B3518" t="s">
        <v>11738</v>
      </c>
      <c r="C3518">
        <v>250</v>
      </c>
      <c r="D3518">
        <v>750</v>
      </c>
      <c r="E3518">
        <v>50</v>
      </c>
      <c r="F3518" s="60">
        <v>44897</v>
      </c>
    </row>
    <row r="3519" spans="1:6">
      <c r="A3519">
        <v>3518</v>
      </c>
      <c r="B3519" t="s">
        <v>11741</v>
      </c>
      <c r="C3519">
        <v>250</v>
      </c>
      <c r="D3519">
        <v>750</v>
      </c>
      <c r="E3519">
        <v>50</v>
      </c>
      <c r="F3519" s="64" t="s">
        <v>16834</v>
      </c>
    </row>
    <row r="3520" spans="1:6">
      <c r="A3520">
        <v>3519</v>
      </c>
      <c r="B3520" t="s">
        <v>11744</v>
      </c>
      <c r="C3520">
        <v>250</v>
      </c>
      <c r="D3520">
        <v>750</v>
      </c>
      <c r="E3520">
        <v>50</v>
      </c>
      <c r="F3520" s="60">
        <v>44846</v>
      </c>
    </row>
    <row r="3521" spans="1:6">
      <c r="A3521">
        <v>3520</v>
      </c>
      <c r="B3521" t="s">
        <v>11747</v>
      </c>
      <c r="C3521">
        <v>250</v>
      </c>
      <c r="D3521">
        <v>750</v>
      </c>
      <c r="E3521">
        <v>50</v>
      </c>
      <c r="F3521" s="61">
        <v>44873</v>
      </c>
    </row>
    <row r="3522" spans="1:6">
      <c r="A3522">
        <v>3521</v>
      </c>
      <c r="B3522" t="s">
        <v>11750</v>
      </c>
      <c r="C3522">
        <v>250</v>
      </c>
      <c r="D3522">
        <v>750</v>
      </c>
      <c r="E3522">
        <v>50</v>
      </c>
      <c r="F3522" s="61">
        <v>44909</v>
      </c>
    </row>
    <row r="3523" spans="1:6">
      <c r="A3523">
        <v>3522</v>
      </c>
      <c r="B3523" t="s">
        <v>11753</v>
      </c>
      <c r="C3523">
        <v>250</v>
      </c>
      <c r="D3523">
        <v>750</v>
      </c>
      <c r="E3523">
        <v>50</v>
      </c>
      <c r="F3523" s="61">
        <v>45043</v>
      </c>
    </row>
    <row r="3524" spans="1:6">
      <c r="A3524">
        <v>3523</v>
      </c>
      <c r="B3524" t="s">
        <v>11756</v>
      </c>
      <c r="C3524">
        <v>250</v>
      </c>
      <c r="D3524">
        <v>750</v>
      </c>
      <c r="E3524">
        <v>50</v>
      </c>
      <c r="F3524" s="61">
        <v>45019</v>
      </c>
    </row>
    <row r="3525" spans="1:6">
      <c r="A3525">
        <v>3524</v>
      </c>
      <c r="B3525" t="s">
        <v>11759</v>
      </c>
      <c r="C3525">
        <v>250</v>
      </c>
      <c r="D3525">
        <v>750</v>
      </c>
      <c r="E3525">
        <v>50</v>
      </c>
      <c r="F3525" s="61">
        <v>44926</v>
      </c>
    </row>
    <row r="3526" spans="1:6">
      <c r="A3526">
        <v>3525</v>
      </c>
      <c r="B3526" t="s">
        <v>11762</v>
      </c>
      <c r="C3526">
        <v>100000</v>
      </c>
      <c r="D3526">
        <v>0</v>
      </c>
      <c r="E3526" t="s">
        <v>16642</v>
      </c>
      <c r="F3526" s="100"/>
    </row>
    <row r="3527" spans="1:6">
      <c r="A3527">
        <v>3526</v>
      </c>
      <c r="B3527" t="s">
        <v>11767</v>
      </c>
      <c r="C3527">
        <v>250</v>
      </c>
      <c r="D3527">
        <v>750</v>
      </c>
      <c r="E3527">
        <v>50</v>
      </c>
      <c r="F3527" s="60">
        <v>44919</v>
      </c>
    </row>
    <row r="3528" spans="1:6">
      <c r="A3528">
        <v>3527</v>
      </c>
      <c r="B3528" t="s">
        <v>11770</v>
      </c>
      <c r="C3528">
        <v>250</v>
      </c>
      <c r="D3528">
        <v>750</v>
      </c>
      <c r="E3528">
        <v>50</v>
      </c>
      <c r="F3528" s="61">
        <v>45040</v>
      </c>
    </row>
    <row r="3529" spans="1:6">
      <c r="A3529">
        <v>3528</v>
      </c>
      <c r="B3529" t="s">
        <v>11773</v>
      </c>
      <c r="C3529">
        <v>50000</v>
      </c>
      <c r="D3529">
        <v>0</v>
      </c>
      <c r="E3529">
        <v>2500</v>
      </c>
      <c r="F3529" s="119">
        <v>44764</v>
      </c>
    </row>
    <row r="3530" spans="1:6">
      <c r="A3530">
        <v>3529</v>
      </c>
      <c r="B3530" t="s">
        <v>11773</v>
      </c>
      <c r="C3530">
        <v>100000</v>
      </c>
      <c r="D3530">
        <v>0</v>
      </c>
      <c r="E3530" t="s">
        <v>16642</v>
      </c>
      <c r="F3530" s="96">
        <v>44833</v>
      </c>
    </row>
    <row r="3531" spans="1:6">
      <c r="A3531">
        <v>3530</v>
      </c>
      <c r="B3531" t="s">
        <v>11776</v>
      </c>
      <c r="C3531">
        <v>250</v>
      </c>
      <c r="D3531">
        <v>750</v>
      </c>
      <c r="E3531">
        <v>50</v>
      </c>
      <c r="F3531" s="60">
        <v>44872</v>
      </c>
    </row>
    <row r="3532" spans="1:6">
      <c r="A3532">
        <v>3531</v>
      </c>
      <c r="B3532" t="s">
        <v>11779</v>
      </c>
      <c r="C3532">
        <v>250</v>
      </c>
      <c r="D3532">
        <v>750</v>
      </c>
      <c r="E3532">
        <v>50</v>
      </c>
      <c r="F3532" s="61">
        <v>44902</v>
      </c>
    </row>
    <row r="3533" spans="1:6">
      <c r="A3533">
        <v>3532</v>
      </c>
      <c r="B3533" t="s">
        <v>11782</v>
      </c>
      <c r="C3533">
        <v>250</v>
      </c>
      <c r="D3533">
        <v>750</v>
      </c>
      <c r="E3533">
        <v>50</v>
      </c>
      <c r="F3533" s="60">
        <v>44981</v>
      </c>
    </row>
    <row r="3534" spans="1:6">
      <c r="A3534">
        <v>3533</v>
      </c>
      <c r="B3534" t="s">
        <v>11785</v>
      </c>
      <c r="C3534">
        <v>250</v>
      </c>
      <c r="D3534">
        <v>750</v>
      </c>
      <c r="E3534">
        <v>50</v>
      </c>
      <c r="F3534" s="73">
        <v>45289</v>
      </c>
    </row>
    <row r="3535" spans="1:6">
      <c r="A3535">
        <v>3534</v>
      </c>
      <c r="B3535" t="s">
        <v>11789</v>
      </c>
      <c r="C3535">
        <v>500</v>
      </c>
      <c r="D3535">
        <v>500</v>
      </c>
      <c r="E3535">
        <v>50</v>
      </c>
      <c r="F3535" s="61">
        <v>44905</v>
      </c>
    </row>
    <row r="3536" spans="1:6">
      <c r="A3536">
        <v>3535</v>
      </c>
      <c r="B3536" t="s">
        <v>11792</v>
      </c>
      <c r="C3536">
        <v>250</v>
      </c>
      <c r="D3536">
        <v>750</v>
      </c>
      <c r="E3536">
        <v>50</v>
      </c>
      <c r="F3536" s="60">
        <v>44841</v>
      </c>
    </row>
    <row r="3537" spans="1:6">
      <c r="A3537">
        <v>3536</v>
      </c>
      <c r="B3537" t="s">
        <v>11795</v>
      </c>
      <c r="C3537">
        <v>1000</v>
      </c>
      <c r="D3537">
        <v>0</v>
      </c>
      <c r="E3537">
        <v>50</v>
      </c>
      <c r="F3537" s="69">
        <v>44972</v>
      </c>
    </row>
    <row r="3538" spans="1:6">
      <c r="A3538">
        <v>3537</v>
      </c>
      <c r="B3538" t="s">
        <v>11798</v>
      </c>
      <c r="C3538">
        <v>1000</v>
      </c>
      <c r="D3538">
        <v>0</v>
      </c>
      <c r="E3538">
        <v>50</v>
      </c>
      <c r="F3538" s="60">
        <v>44852</v>
      </c>
    </row>
    <row r="3539" spans="1:6">
      <c r="A3539">
        <v>3538</v>
      </c>
      <c r="B3539" t="s">
        <v>11802</v>
      </c>
      <c r="C3539">
        <v>250</v>
      </c>
      <c r="D3539">
        <v>750</v>
      </c>
      <c r="E3539">
        <v>50</v>
      </c>
      <c r="F3539" s="60">
        <v>44869</v>
      </c>
    </row>
    <row r="3540" spans="1:6">
      <c r="A3540">
        <v>3539</v>
      </c>
      <c r="B3540" t="s">
        <v>11805</v>
      </c>
      <c r="C3540">
        <v>300</v>
      </c>
      <c r="D3540">
        <v>700</v>
      </c>
      <c r="E3540">
        <v>50</v>
      </c>
      <c r="F3540" s="60">
        <v>44873</v>
      </c>
    </row>
    <row r="3541" spans="1:6">
      <c r="A3541">
        <v>3540</v>
      </c>
      <c r="B3541" t="s">
        <v>11808</v>
      </c>
      <c r="C3541">
        <v>250</v>
      </c>
      <c r="D3541">
        <v>750</v>
      </c>
      <c r="E3541">
        <v>50</v>
      </c>
      <c r="F3541" s="61">
        <v>44984</v>
      </c>
    </row>
    <row r="3542" spans="1:6">
      <c r="A3542">
        <v>3541</v>
      </c>
      <c r="B3542" t="s">
        <v>11811</v>
      </c>
      <c r="C3542">
        <v>70000</v>
      </c>
      <c r="D3542">
        <v>30000</v>
      </c>
      <c r="E3542">
        <v>5000</v>
      </c>
      <c r="F3542" s="127">
        <v>45271</v>
      </c>
    </row>
    <row r="3543" spans="1:6">
      <c r="A3543">
        <v>3542</v>
      </c>
      <c r="B3543" t="s">
        <v>11811</v>
      </c>
      <c r="C3543">
        <v>55000</v>
      </c>
      <c r="D3543">
        <v>45000</v>
      </c>
      <c r="E3543">
        <v>5000</v>
      </c>
      <c r="F3543" s="83">
        <v>44371</v>
      </c>
    </row>
    <row r="3544" spans="1:6">
      <c r="A3544">
        <v>3543</v>
      </c>
      <c r="B3544" t="s">
        <v>11814</v>
      </c>
      <c r="C3544">
        <v>250</v>
      </c>
      <c r="D3544">
        <v>750</v>
      </c>
      <c r="E3544">
        <v>50</v>
      </c>
      <c r="F3544" s="61">
        <v>44918</v>
      </c>
    </row>
    <row r="3545" spans="1:6">
      <c r="A3545">
        <v>3544</v>
      </c>
      <c r="B3545" t="s">
        <v>11818</v>
      </c>
      <c r="C3545">
        <v>250</v>
      </c>
      <c r="D3545">
        <v>750</v>
      </c>
      <c r="E3545">
        <v>50</v>
      </c>
      <c r="F3545" s="60">
        <v>44926</v>
      </c>
    </row>
    <row r="3546" spans="1:6">
      <c r="A3546">
        <v>3545</v>
      </c>
      <c r="B3546" t="s">
        <v>11821</v>
      </c>
      <c r="C3546">
        <v>15000</v>
      </c>
      <c r="D3546">
        <v>0</v>
      </c>
      <c r="E3546">
        <v>750</v>
      </c>
      <c r="F3546" s="65">
        <v>44698</v>
      </c>
    </row>
    <row r="3547" spans="1:6">
      <c r="A3547">
        <v>3546</v>
      </c>
      <c r="B3547" t="s">
        <v>11825</v>
      </c>
      <c r="C3547">
        <v>250</v>
      </c>
      <c r="D3547">
        <v>750</v>
      </c>
      <c r="E3547">
        <v>50</v>
      </c>
      <c r="F3547" s="69">
        <v>44985</v>
      </c>
    </row>
    <row r="3548" spans="1:6">
      <c r="A3548">
        <v>3547</v>
      </c>
      <c r="B3548" t="s">
        <v>11829</v>
      </c>
      <c r="C3548">
        <v>30000</v>
      </c>
      <c r="D3548">
        <v>0</v>
      </c>
      <c r="E3548">
        <v>1500</v>
      </c>
      <c r="F3548" s="67">
        <v>44998</v>
      </c>
    </row>
    <row r="3549" spans="1:6">
      <c r="A3549">
        <v>3548</v>
      </c>
      <c r="B3549" t="s">
        <v>11832</v>
      </c>
      <c r="C3549">
        <v>250</v>
      </c>
      <c r="D3549">
        <v>750</v>
      </c>
      <c r="E3549">
        <v>50</v>
      </c>
      <c r="F3549" s="60">
        <v>44589</v>
      </c>
    </row>
    <row r="3550" spans="1:6">
      <c r="A3550">
        <v>3549</v>
      </c>
      <c r="B3550" t="s">
        <v>11836</v>
      </c>
      <c r="C3550">
        <v>1000</v>
      </c>
      <c r="D3550">
        <v>0</v>
      </c>
      <c r="E3550">
        <v>50</v>
      </c>
      <c r="F3550" s="73">
        <v>44901</v>
      </c>
    </row>
    <row r="3551" spans="1:6">
      <c r="A3551">
        <v>3550</v>
      </c>
      <c r="B3551" t="s">
        <v>11840</v>
      </c>
      <c r="C3551">
        <v>1000</v>
      </c>
      <c r="D3551">
        <v>0</v>
      </c>
      <c r="E3551">
        <v>50</v>
      </c>
      <c r="F3551" s="75">
        <v>44870</v>
      </c>
    </row>
    <row r="3552" spans="1:6">
      <c r="A3552">
        <v>3551</v>
      </c>
      <c r="B3552" t="s">
        <v>11844</v>
      </c>
      <c r="C3552">
        <v>1000</v>
      </c>
      <c r="D3552">
        <v>0</v>
      </c>
      <c r="E3552">
        <v>50</v>
      </c>
      <c r="F3552" s="75">
        <v>44901</v>
      </c>
    </row>
    <row r="3553" spans="1:6">
      <c r="A3553">
        <v>3552</v>
      </c>
      <c r="B3553" t="s">
        <v>11848</v>
      </c>
      <c r="C3553">
        <v>250</v>
      </c>
      <c r="D3553">
        <v>750</v>
      </c>
      <c r="E3553">
        <v>50</v>
      </c>
      <c r="F3553" s="60">
        <v>44951</v>
      </c>
    </row>
    <row r="3554" spans="1:6">
      <c r="A3554">
        <v>3553</v>
      </c>
      <c r="B3554" t="s">
        <v>11851</v>
      </c>
      <c r="C3554">
        <v>1000</v>
      </c>
      <c r="D3554">
        <v>0</v>
      </c>
      <c r="E3554">
        <v>50</v>
      </c>
      <c r="F3554" s="60">
        <v>44989</v>
      </c>
    </row>
    <row r="3555" spans="1:6">
      <c r="A3555">
        <v>3554</v>
      </c>
      <c r="B3555" t="s">
        <v>11855</v>
      </c>
      <c r="C3555">
        <v>250</v>
      </c>
      <c r="D3555">
        <v>750</v>
      </c>
      <c r="E3555">
        <v>50</v>
      </c>
      <c r="F3555" s="69">
        <v>44940</v>
      </c>
    </row>
    <row r="3556" spans="1:6">
      <c r="A3556">
        <v>3555</v>
      </c>
      <c r="B3556" t="s">
        <v>11858</v>
      </c>
      <c r="C3556">
        <v>500</v>
      </c>
      <c r="D3556">
        <v>500</v>
      </c>
      <c r="E3556">
        <v>50</v>
      </c>
      <c r="F3556" s="60">
        <v>44893</v>
      </c>
    </row>
    <row r="3557" spans="1:6">
      <c r="A3557">
        <v>3556</v>
      </c>
      <c r="B3557" t="s">
        <v>11861</v>
      </c>
      <c r="C3557">
        <v>250</v>
      </c>
      <c r="D3557">
        <v>750</v>
      </c>
      <c r="E3557">
        <v>50</v>
      </c>
      <c r="F3557" s="60">
        <v>44866</v>
      </c>
    </row>
    <row r="3558" spans="1:6">
      <c r="A3558">
        <v>3557</v>
      </c>
      <c r="B3558" t="s">
        <v>11865</v>
      </c>
      <c r="C3558">
        <v>250</v>
      </c>
      <c r="D3558">
        <v>750</v>
      </c>
      <c r="E3558">
        <v>50</v>
      </c>
      <c r="F3558" s="61">
        <v>44974</v>
      </c>
    </row>
    <row r="3559" spans="1:6">
      <c r="A3559">
        <v>3558</v>
      </c>
      <c r="B3559" t="s">
        <v>11868</v>
      </c>
      <c r="C3559">
        <v>1250</v>
      </c>
      <c r="D3559">
        <v>3750</v>
      </c>
      <c r="E3559">
        <v>250</v>
      </c>
      <c r="F3559" s="74">
        <v>44935</v>
      </c>
    </row>
    <row r="3560" spans="1:6">
      <c r="A3560">
        <v>3559</v>
      </c>
      <c r="B3560" t="s">
        <v>11871</v>
      </c>
      <c r="C3560">
        <v>1000</v>
      </c>
      <c r="D3560">
        <v>0</v>
      </c>
      <c r="E3560">
        <v>50</v>
      </c>
      <c r="F3560" s="60">
        <v>44855</v>
      </c>
    </row>
    <row r="3561" spans="1:6">
      <c r="A3561">
        <v>3560</v>
      </c>
      <c r="B3561" t="s">
        <v>11875</v>
      </c>
      <c r="C3561">
        <v>250</v>
      </c>
      <c r="D3561">
        <v>750</v>
      </c>
      <c r="E3561">
        <v>50</v>
      </c>
      <c r="F3561" s="61">
        <v>44891</v>
      </c>
    </row>
    <row r="3562" spans="1:6">
      <c r="A3562">
        <v>3561</v>
      </c>
      <c r="B3562" t="s">
        <v>11878</v>
      </c>
      <c r="C3562">
        <v>250</v>
      </c>
      <c r="D3562">
        <v>750</v>
      </c>
      <c r="E3562">
        <v>50</v>
      </c>
      <c r="F3562" s="60">
        <v>44939</v>
      </c>
    </row>
    <row r="3563" spans="1:6">
      <c r="A3563">
        <v>3562</v>
      </c>
      <c r="B3563" t="s">
        <v>11881</v>
      </c>
      <c r="C3563">
        <v>250</v>
      </c>
      <c r="D3563">
        <v>750</v>
      </c>
      <c r="E3563">
        <v>50</v>
      </c>
      <c r="F3563" s="61">
        <v>44919</v>
      </c>
    </row>
    <row r="3564" spans="1:6">
      <c r="A3564">
        <v>3563</v>
      </c>
      <c r="B3564" t="s">
        <v>11884</v>
      </c>
      <c r="C3564">
        <v>2000</v>
      </c>
      <c r="D3564">
        <v>0</v>
      </c>
      <c r="E3564">
        <v>100</v>
      </c>
      <c r="F3564" s="77">
        <v>44812</v>
      </c>
    </row>
    <row r="3565" spans="1:6">
      <c r="A3565">
        <v>3564</v>
      </c>
      <c r="B3565" t="s">
        <v>11887</v>
      </c>
      <c r="C3565">
        <v>500</v>
      </c>
      <c r="D3565">
        <v>500</v>
      </c>
      <c r="E3565">
        <v>50</v>
      </c>
      <c r="F3565" s="72">
        <v>44876</v>
      </c>
    </row>
    <row r="3566" spans="1:6">
      <c r="A3566">
        <v>3565</v>
      </c>
      <c r="B3566" t="s">
        <v>11890</v>
      </c>
      <c r="C3566">
        <v>250</v>
      </c>
      <c r="D3566">
        <v>750</v>
      </c>
      <c r="E3566">
        <v>50</v>
      </c>
      <c r="F3566" s="70">
        <v>44883</v>
      </c>
    </row>
    <row r="3567" spans="1:6">
      <c r="A3567">
        <v>3566</v>
      </c>
      <c r="B3567" t="s">
        <v>11893</v>
      </c>
      <c r="C3567">
        <v>250</v>
      </c>
      <c r="D3567">
        <v>750</v>
      </c>
      <c r="E3567">
        <v>50</v>
      </c>
      <c r="F3567" s="60">
        <v>44813</v>
      </c>
    </row>
    <row r="3568" spans="1:6">
      <c r="A3568">
        <v>3567</v>
      </c>
      <c r="B3568" t="s">
        <v>11897</v>
      </c>
      <c r="C3568">
        <v>250</v>
      </c>
      <c r="D3568">
        <v>750</v>
      </c>
      <c r="E3568">
        <v>50</v>
      </c>
      <c r="F3568" s="61">
        <v>44918</v>
      </c>
    </row>
    <row r="3569" spans="1:6">
      <c r="A3569">
        <v>3568</v>
      </c>
      <c r="B3569" t="s">
        <v>11900</v>
      </c>
      <c r="C3569">
        <v>2500</v>
      </c>
      <c r="D3569">
        <v>7500</v>
      </c>
      <c r="E3569">
        <v>500</v>
      </c>
      <c r="F3569" s="79">
        <v>44930</v>
      </c>
    </row>
    <row r="3570" spans="1:6">
      <c r="A3570">
        <v>3569</v>
      </c>
      <c r="B3570" t="s">
        <v>11903</v>
      </c>
      <c r="C3570">
        <v>100000</v>
      </c>
      <c r="D3570">
        <v>0</v>
      </c>
      <c r="E3570" t="s">
        <v>16642</v>
      </c>
      <c r="F3570" s="100"/>
    </row>
    <row r="3571" spans="1:6">
      <c r="A3571">
        <v>3570</v>
      </c>
      <c r="B3571" t="s">
        <v>11908</v>
      </c>
      <c r="C3571">
        <v>250</v>
      </c>
      <c r="D3571">
        <v>750</v>
      </c>
      <c r="E3571">
        <v>50</v>
      </c>
      <c r="F3571" s="60">
        <v>45002</v>
      </c>
    </row>
    <row r="3572" ht="31.5" spans="1:6">
      <c r="A3572">
        <v>3571</v>
      </c>
      <c r="B3572" t="s">
        <v>11911</v>
      </c>
      <c r="C3572">
        <v>200000</v>
      </c>
      <c r="D3572">
        <v>0</v>
      </c>
      <c r="E3572" t="s">
        <v>16642</v>
      </c>
      <c r="F3572" s="76" t="s">
        <v>16835</v>
      </c>
    </row>
    <row r="3573" spans="1:6">
      <c r="A3573">
        <v>3572</v>
      </c>
      <c r="B3573" t="s">
        <v>11911</v>
      </c>
      <c r="C3573">
        <v>100000</v>
      </c>
      <c r="D3573">
        <v>0</v>
      </c>
      <c r="E3573" t="s">
        <v>16642</v>
      </c>
      <c r="F3573" s="85"/>
    </row>
    <row r="3574" spans="1:6">
      <c r="A3574">
        <v>3573</v>
      </c>
      <c r="B3574" t="s">
        <v>11915</v>
      </c>
      <c r="C3574">
        <v>100000</v>
      </c>
      <c r="D3574">
        <v>0</v>
      </c>
      <c r="E3574" t="s">
        <v>16642</v>
      </c>
      <c r="F3574" s="96">
        <v>44897</v>
      </c>
    </row>
    <row r="3575" spans="1:6">
      <c r="A3575">
        <v>3574</v>
      </c>
      <c r="B3575" t="s">
        <v>11919</v>
      </c>
      <c r="C3575">
        <v>5000</v>
      </c>
      <c r="D3575">
        <v>0</v>
      </c>
      <c r="E3575">
        <v>250</v>
      </c>
      <c r="F3575" s="141">
        <v>44935</v>
      </c>
    </row>
    <row r="3576" spans="1:6">
      <c r="A3576">
        <v>3575</v>
      </c>
      <c r="B3576" t="s">
        <v>11919</v>
      </c>
      <c r="C3576">
        <v>5000</v>
      </c>
      <c r="D3576">
        <v>0</v>
      </c>
      <c r="E3576">
        <v>250</v>
      </c>
      <c r="F3576" s="119">
        <v>44924</v>
      </c>
    </row>
    <row r="3577" spans="1:6">
      <c r="A3577">
        <v>3576</v>
      </c>
      <c r="B3577" t="s">
        <v>11922</v>
      </c>
      <c r="C3577">
        <v>250</v>
      </c>
      <c r="D3577">
        <v>750</v>
      </c>
      <c r="E3577">
        <v>50</v>
      </c>
      <c r="F3577" s="61">
        <v>44921</v>
      </c>
    </row>
    <row r="3578" spans="1:6">
      <c r="A3578">
        <v>3577</v>
      </c>
      <c r="B3578" t="s">
        <v>11925</v>
      </c>
      <c r="C3578">
        <v>12500</v>
      </c>
      <c r="D3578">
        <v>37500</v>
      </c>
      <c r="E3578">
        <v>2500</v>
      </c>
      <c r="F3578" s="65">
        <v>44529</v>
      </c>
    </row>
    <row r="3579" ht="15" spans="1:6">
      <c r="A3579">
        <v>3578</v>
      </c>
      <c r="B3579" t="s">
        <v>11929</v>
      </c>
      <c r="C3579">
        <v>1000000</v>
      </c>
      <c r="D3579">
        <v>500000</v>
      </c>
      <c r="E3579" t="s">
        <v>16642</v>
      </c>
      <c r="F3579" s="98">
        <f>IFERROR(__xludf.DUMMYFUNCTION("""COMPUTED_VALUE"""),45084)</f>
        <v>45084</v>
      </c>
    </row>
    <row r="3580" spans="1:6">
      <c r="A3580">
        <v>3579</v>
      </c>
      <c r="B3580" t="s">
        <v>11929</v>
      </c>
      <c r="C3580">
        <v>200000</v>
      </c>
      <c r="D3580">
        <v>0</v>
      </c>
      <c r="E3580" t="s">
        <v>16642</v>
      </c>
      <c r="F3580" s="89"/>
    </row>
    <row r="3581" spans="1:6">
      <c r="A3581">
        <v>3580</v>
      </c>
      <c r="B3581" t="s">
        <v>11930</v>
      </c>
      <c r="C3581">
        <v>250</v>
      </c>
      <c r="D3581">
        <v>750</v>
      </c>
      <c r="E3581">
        <v>50</v>
      </c>
      <c r="F3581" s="61">
        <v>44914</v>
      </c>
    </row>
    <row r="3582" spans="1:6">
      <c r="A3582">
        <v>3581</v>
      </c>
      <c r="B3582" t="s">
        <v>11933</v>
      </c>
      <c r="C3582">
        <v>250</v>
      </c>
      <c r="D3582">
        <v>750</v>
      </c>
      <c r="E3582">
        <v>50</v>
      </c>
      <c r="F3582" s="61">
        <v>44845</v>
      </c>
    </row>
    <row r="3583" spans="1:6">
      <c r="A3583">
        <v>3582</v>
      </c>
      <c r="B3583" t="s">
        <v>11937</v>
      </c>
      <c r="C3583">
        <v>750</v>
      </c>
      <c r="D3583">
        <v>4250</v>
      </c>
      <c r="E3583">
        <v>250</v>
      </c>
      <c r="F3583" s="61">
        <v>44904</v>
      </c>
    </row>
    <row r="3584" spans="1:6">
      <c r="A3584">
        <v>3583</v>
      </c>
      <c r="B3584" t="s">
        <v>11941</v>
      </c>
      <c r="C3584">
        <v>250</v>
      </c>
      <c r="D3584">
        <v>750</v>
      </c>
      <c r="E3584">
        <v>50</v>
      </c>
      <c r="F3584" s="61">
        <v>44886</v>
      </c>
    </row>
    <row r="3585" spans="1:6">
      <c r="A3585">
        <v>3584</v>
      </c>
      <c r="B3585" t="s">
        <v>11945</v>
      </c>
      <c r="C3585">
        <v>250</v>
      </c>
      <c r="D3585">
        <v>750</v>
      </c>
      <c r="E3585">
        <v>50</v>
      </c>
      <c r="F3585" s="61">
        <v>44896</v>
      </c>
    </row>
    <row r="3586" spans="1:6">
      <c r="A3586">
        <v>3585</v>
      </c>
      <c r="B3586" t="s">
        <v>11948</v>
      </c>
      <c r="C3586">
        <v>250</v>
      </c>
      <c r="D3586">
        <v>750</v>
      </c>
      <c r="E3586">
        <v>50</v>
      </c>
      <c r="F3586" s="61">
        <v>44820</v>
      </c>
    </row>
    <row r="3587" spans="1:6">
      <c r="A3587">
        <v>3586</v>
      </c>
      <c r="B3587" t="s">
        <v>11952</v>
      </c>
      <c r="C3587">
        <v>2000</v>
      </c>
      <c r="D3587">
        <v>0</v>
      </c>
      <c r="E3587">
        <v>100</v>
      </c>
      <c r="F3587" s="65">
        <v>44783</v>
      </c>
    </row>
    <row r="3588" spans="1:6">
      <c r="A3588">
        <v>3587</v>
      </c>
      <c r="B3588" t="s">
        <v>11956</v>
      </c>
      <c r="C3588">
        <v>1000</v>
      </c>
      <c r="D3588">
        <v>0</v>
      </c>
      <c r="E3588">
        <v>50</v>
      </c>
      <c r="F3588" s="60">
        <v>44932</v>
      </c>
    </row>
    <row r="3589" spans="1:6">
      <c r="A3589">
        <v>3588</v>
      </c>
      <c r="B3589" t="s">
        <v>11960</v>
      </c>
      <c r="C3589">
        <v>250</v>
      </c>
      <c r="D3589">
        <v>750</v>
      </c>
      <c r="E3589">
        <v>50</v>
      </c>
      <c r="F3589" s="60">
        <v>44914</v>
      </c>
    </row>
    <row r="3590" spans="1:6">
      <c r="A3590">
        <v>3589</v>
      </c>
      <c r="B3590" t="s">
        <v>11963</v>
      </c>
      <c r="C3590">
        <v>250</v>
      </c>
      <c r="D3590">
        <v>750</v>
      </c>
      <c r="E3590">
        <v>50</v>
      </c>
      <c r="F3590" s="60">
        <v>44946</v>
      </c>
    </row>
    <row r="3591" spans="1:6">
      <c r="A3591">
        <v>3590</v>
      </c>
      <c r="B3591" t="s">
        <v>11966</v>
      </c>
      <c r="C3591">
        <v>250</v>
      </c>
      <c r="D3591">
        <v>750</v>
      </c>
      <c r="E3591">
        <v>50</v>
      </c>
      <c r="F3591" s="61">
        <v>44873</v>
      </c>
    </row>
    <row r="3592" spans="1:6">
      <c r="A3592">
        <v>3591</v>
      </c>
      <c r="B3592" t="s">
        <v>11970</v>
      </c>
      <c r="C3592">
        <v>250</v>
      </c>
      <c r="D3592">
        <v>750</v>
      </c>
      <c r="E3592">
        <v>50</v>
      </c>
      <c r="F3592" s="61">
        <v>44914</v>
      </c>
    </row>
    <row r="3593" spans="1:6">
      <c r="A3593">
        <v>3592</v>
      </c>
      <c r="B3593" t="s">
        <v>11973</v>
      </c>
      <c r="C3593">
        <v>1000</v>
      </c>
      <c r="D3593">
        <v>0</v>
      </c>
      <c r="E3593">
        <v>50</v>
      </c>
      <c r="F3593" s="69">
        <v>44977</v>
      </c>
    </row>
    <row r="3594" spans="1:6">
      <c r="A3594">
        <v>3593</v>
      </c>
      <c r="B3594" t="s">
        <v>11977</v>
      </c>
      <c r="C3594">
        <v>10000</v>
      </c>
      <c r="D3594">
        <v>0</v>
      </c>
      <c r="E3594">
        <v>500</v>
      </c>
      <c r="F3594" s="64" t="s">
        <v>16836</v>
      </c>
    </row>
    <row r="3595" spans="1:6">
      <c r="A3595">
        <v>3594</v>
      </c>
      <c r="B3595" t="s">
        <v>11981</v>
      </c>
      <c r="C3595">
        <v>250</v>
      </c>
      <c r="D3595">
        <v>750</v>
      </c>
      <c r="E3595">
        <v>50</v>
      </c>
      <c r="F3595" s="61">
        <v>45013</v>
      </c>
    </row>
    <row r="3596" spans="1:6">
      <c r="A3596">
        <v>3595</v>
      </c>
      <c r="B3596" t="s">
        <v>11984</v>
      </c>
      <c r="C3596">
        <v>250</v>
      </c>
      <c r="D3596">
        <v>750</v>
      </c>
      <c r="E3596">
        <v>50</v>
      </c>
      <c r="F3596" s="60">
        <v>44868</v>
      </c>
    </row>
    <row r="3597" spans="1:6">
      <c r="A3597">
        <v>3596</v>
      </c>
      <c r="B3597" t="s">
        <v>11987</v>
      </c>
      <c r="C3597">
        <v>250</v>
      </c>
      <c r="D3597">
        <v>750</v>
      </c>
      <c r="E3597">
        <v>50</v>
      </c>
      <c r="F3597" s="60">
        <v>44916</v>
      </c>
    </row>
    <row r="3598" spans="1:6">
      <c r="A3598">
        <v>3597</v>
      </c>
      <c r="B3598" t="s">
        <v>11990</v>
      </c>
      <c r="C3598">
        <v>250</v>
      </c>
      <c r="D3598">
        <v>750</v>
      </c>
      <c r="E3598">
        <v>50</v>
      </c>
      <c r="F3598" s="73">
        <v>44993</v>
      </c>
    </row>
    <row r="3599" spans="1:6">
      <c r="A3599">
        <v>3598</v>
      </c>
      <c r="B3599" t="s">
        <v>11993</v>
      </c>
      <c r="C3599">
        <v>100000</v>
      </c>
      <c r="D3599">
        <v>0</v>
      </c>
      <c r="E3599" t="s">
        <v>16642</v>
      </c>
      <c r="F3599" s="76">
        <v>44826</v>
      </c>
    </row>
    <row r="3600" spans="1:6">
      <c r="A3600">
        <v>3599</v>
      </c>
      <c r="B3600" t="s">
        <v>11998</v>
      </c>
      <c r="C3600">
        <v>1000</v>
      </c>
      <c r="D3600">
        <v>0</v>
      </c>
      <c r="E3600">
        <v>50</v>
      </c>
      <c r="F3600" s="67">
        <v>44957</v>
      </c>
    </row>
    <row r="3601" spans="1:6">
      <c r="A3601">
        <v>3600</v>
      </c>
      <c r="B3601" t="s">
        <v>12001</v>
      </c>
      <c r="C3601">
        <v>250</v>
      </c>
      <c r="D3601">
        <v>750</v>
      </c>
      <c r="E3601">
        <v>50</v>
      </c>
      <c r="F3601" s="61">
        <v>44807</v>
      </c>
    </row>
    <row r="3602" spans="1:6">
      <c r="A3602">
        <v>3601</v>
      </c>
      <c r="B3602" t="s">
        <v>12004</v>
      </c>
      <c r="C3602">
        <v>250</v>
      </c>
      <c r="D3602">
        <v>750</v>
      </c>
      <c r="E3602">
        <v>50</v>
      </c>
      <c r="F3602" s="60">
        <v>44872</v>
      </c>
    </row>
    <row r="3603" spans="1:6">
      <c r="A3603">
        <v>3602</v>
      </c>
      <c r="B3603" t="s">
        <v>12007</v>
      </c>
      <c r="C3603">
        <v>250</v>
      </c>
      <c r="D3603">
        <v>750</v>
      </c>
      <c r="E3603">
        <v>50</v>
      </c>
      <c r="F3603" s="61">
        <v>44891</v>
      </c>
    </row>
    <row r="3604" spans="1:6">
      <c r="A3604">
        <v>3603</v>
      </c>
      <c r="B3604" t="s">
        <v>12010</v>
      </c>
      <c r="C3604">
        <v>250</v>
      </c>
      <c r="D3604">
        <v>750</v>
      </c>
      <c r="E3604">
        <v>50</v>
      </c>
      <c r="F3604" s="60">
        <v>44844</v>
      </c>
    </row>
    <row r="3605" spans="1:6">
      <c r="A3605">
        <v>3604</v>
      </c>
      <c r="B3605" t="s">
        <v>12013</v>
      </c>
      <c r="C3605">
        <v>500</v>
      </c>
      <c r="D3605">
        <v>500</v>
      </c>
      <c r="E3605">
        <v>50</v>
      </c>
      <c r="F3605" s="69">
        <v>45040</v>
      </c>
    </row>
    <row r="3606" spans="1:6">
      <c r="A3606">
        <v>3605</v>
      </c>
      <c r="B3606" t="s">
        <v>12017</v>
      </c>
      <c r="C3606">
        <v>250</v>
      </c>
      <c r="D3606">
        <v>750</v>
      </c>
      <c r="E3606">
        <v>50</v>
      </c>
      <c r="F3606" s="60">
        <v>44820</v>
      </c>
    </row>
    <row r="3607" spans="1:6">
      <c r="A3607">
        <v>3606</v>
      </c>
      <c r="B3607" t="s">
        <v>12021</v>
      </c>
      <c r="C3607">
        <v>750</v>
      </c>
      <c r="D3607">
        <v>250</v>
      </c>
      <c r="E3607">
        <v>50</v>
      </c>
      <c r="F3607" s="69">
        <v>44926</v>
      </c>
    </row>
    <row r="3608" spans="1:6">
      <c r="A3608">
        <v>3607</v>
      </c>
      <c r="B3608" t="s">
        <v>12024</v>
      </c>
      <c r="C3608">
        <v>250</v>
      </c>
      <c r="D3608">
        <v>750</v>
      </c>
      <c r="E3608">
        <v>50</v>
      </c>
      <c r="F3608" s="69">
        <v>44923</v>
      </c>
    </row>
    <row r="3609" spans="1:6">
      <c r="A3609">
        <v>3608</v>
      </c>
      <c r="B3609" t="s">
        <v>12027</v>
      </c>
      <c r="C3609">
        <v>750</v>
      </c>
      <c r="D3609">
        <v>250</v>
      </c>
      <c r="E3609">
        <v>50</v>
      </c>
      <c r="F3609" s="73">
        <v>44957</v>
      </c>
    </row>
    <row r="3610" spans="1:6">
      <c r="A3610">
        <v>3609</v>
      </c>
      <c r="B3610" t="s">
        <v>12030</v>
      </c>
      <c r="C3610">
        <v>250</v>
      </c>
      <c r="D3610">
        <v>750</v>
      </c>
      <c r="E3610">
        <v>50</v>
      </c>
      <c r="F3610" s="73">
        <v>44914</v>
      </c>
    </row>
    <row r="3611" spans="1:6">
      <c r="A3611">
        <v>3610</v>
      </c>
      <c r="B3611" t="s">
        <v>12033</v>
      </c>
      <c r="C3611">
        <v>250</v>
      </c>
      <c r="D3611">
        <v>750</v>
      </c>
      <c r="E3611">
        <v>50</v>
      </c>
      <c r="F3611" s="60">
        <v>44851</v>
      </c>
    </row>
    <row r="3612" spans="1:6">
      <c r="A3612">
        <v>3611</v>
      </c>
      <c r="B3612" t="s">
        <v>12036</v>
      </c>
      <c r="C3612">
        <v>250</v>
      </c>
      <c r="D3612">
        <v>750</v>
      </c>
      <c r="E3612">
        <v>50</v>
      </c>
      <c r="F3612" s="60">
        <v>44851</v>
      </c>
    </row>
    <row r="3613" spans="1:6">
      <c r="A3613">
        <v>3612</v>
      </c>
      <c r="B3613" t="s">
        <v>12039</v>
      </c>
      <c r="C3613">
        <v>250</v>
      </c>
      <c r="D3613">
        <v>750</v>
      </c>
      <c r="E3613">
        <v>50</v>
      </c>
      <c r="F3613" s="61">
        <v>44859</v>
      </c>
    </row>
    <row r="3614" spans="1:6">
      <c r="A3614">
        <v>3613</v>
      </c>
      <c r="B3614" t="s">
        <v>12042</v>
      </c>
      <c r="C3614">
        <v>10000</v>
      </c>
      <c r="D3614">
        <v>0</v>
      </c>
      <c r="E3614">
        <v>500</v>
      </c>
      <c r="F3614" s="67">
        <v>44935</v>
      </c>
    </row>
    <row r="3615" spans="1:6">
      <c r="A3615">
        <v>3614</v>
      </c>
      <c r="B3615" t="s">
        <v>12045</v>
      </c>
      <c r="C3615">
        <v>10000</v>
      </c>
      <c r="D3615">
        <v>0</v>
      </c>
      <c r="E3615">
        <v>500</v>
      </c>
      <c r="F3615" s="65">
        <v>44664</v>
      </c>
    </row>
    <row r="3616" spans="1:6">
      <c r="A3616">
        <v>3615</v>
      </c>
      <c r="B3616" t="s">
        <v>12049</v>
      </c>
      <c r="C3616">
        <v>1000</v>
      </c>
      <c r="D3616">
        <v>0</v>
      </c>
      <c r="E3616">
        <v>50</v>
      </c>
      <c r="F3616" s="60">
        <v>44868</v>
      </c>
    </row>
    <row r="3617" spans="1:6">
      <c r="A3617">
        <v>3616</v>
      </c>
      <c r="B3617" t="s">
        <v>12052</v>
      </c>
      <c r="C3617">
        <v>1000</v>
      </c>
      <c r="D3617">
        <v>0</v>
      </c>
      <c r="E3617">
        <v>50</v>
      </c>
      <c r="F3617" s="61">
        <v>44844</v>
      </c>
    </row>
    <row r="3618" spans="1:6">
      <c r="A3618">
        <v>3617</v>
      </c>
      <c r="B3618" t="s">
        <v>12055</v>
      </c>
      <c r="C3618">
        <v>250</v>
      </c>
      <c r="D3618">
        <v>750</v>
      </c>
      <c r="E3618">
        <v>50</v>
      </c>
      <c r="F3618" s="61">
        <v>44851</v>
      </c>
    </row>
    <row r="3619" spans="1:6">
      <c r="A3619">
        <v>3618</v>
      </c>
      <c r="B3619" t="s">
        <v>12058</v>
      </c>
      <c r="C3619">
        <v>1000</v>
      </c>
      <c r="D3619">
        <v>0</v>
      </c>
      <c r="E3619">
        <v>50</v>
      </c>
      <c r="F3619" s="61">
        <v>44868</v>
      </c>
    </row>
    <row r="3620" spans="1:6">
      <c r="A3620">
        <v>3619</v>
      </c>
      <c r="B3620" t="s">
        <v>12061</v>
      </c>
      <c r="C3620">
        <v>250</v>
      </c>
      <c r="D3620">
        <v>750</v>
      </c>
      <c r="E3620">
        <v>50</v>
      </c>
      <c r="F3620" s="60">
        <v>44859</v>
      </c>
    </row>
    <row r="3621" spans="1:6">
      <c r="A3621">
        <v>3620</v>
      </c>
      <c r="B3621" t="s">
        <v>12064</v>
      </c>
      <c r="C3621">
        <v>250</v>
      </c>
      <c r="D3621">
        <v>750</v>
      </c>
      <c r="E3621">
        <v>50</v>
      </c>
      <c r="F3621" s="60">
        <v>44930</v>
      </c>
    </row>
    <row r="3622" spans="1:6">
      <c r="A3622">
        <v>3621</v>
      </c>
      <c r="B3622" t="s">
        <v>12067</v>
      </c>
      <c r="C3622">
        <v>250</v>
      </c>
      <c r="D3622">
        <v>750</v>
      </c>
      <c r="E3622">
        <v>50</v>
      </c>
      <c r="F3622" s="60">
        <v>44896</v>
      </c>
    </row>
    <row r="3623" spans="1:6">
      <c r="A3623">
        <v>3622</v>
      </c>
      <c r="B3623" t="s">
        <v>12070</v>
      </c>
      <c r="C3623">
        <v>250</v>
      </c>
      <c r="D3623">
        <v>750</v>
      </c>
      <c r="E3623">
        <v>50</v>
      </c>
      <c r="F3623" s="61">
        <v>44894</v>
      </c>
    </row>
    <row r="3624" spans="1:6">
      <c r="A3624">
        <v>3623</v>
      </c>
      <c r="B3624" t="s">
        <v>12073</v>
      </c>
      <c r="C3624">
        <v>100000</v>
      </c>
      <c r="D3624">
        <v>0</v>
      </c>
      <c r="E3624" t="s">
        <v>16642</v>
      </c>
      <c r="F3624" s="66"/>
    </row>
    <row r="3625" ht="15" spans="1:6">
      <c r="A3625">
        <v>3624</v>
      </c>
      <c r="B3625" t="s">
        <v>12078</v>
      </c>
      <c r="C3625">
        <v>1000000</v>
      </c>
      <c r="D3625">
        <v>500000</v>
      </c>
      <c r="E3625" t="s">
        <v>16642</v>
      </c>
      <c r="F3625" s="81">
        <f>IFERROR(__xludf.DUMMYFUNCTION("""COMPUTED_VALUE"""),45078)</f>
        <v>45078</v>
      </c>
    </row>
    <row r="3626" ht="15" spans="1:6">
      <c r="A3626">
        <v>3625</v>
      </c>
      <c r="B3626" t="s">
        <v>12079</v>
      </c>
      <c r="C3626">
        <v>1500000</v>
      </c>
      <c r="D3626">
        <v>0</v>
      </c>
      <c r="E3626" t="s">
        <v>16642</v>
      </c>
      <c r="F3626" s="81">
        <f>IFERROR(__xludf.DUMMYFUNCTION("""COMPUTED_VALUE"""),45078)</f>
        <v>45078</v>
      </c>
    </row>
    <row r="3627" spans="1:6">
      <c r="A3627">
        <v>3626</v>
      </c>
      <c r="B3627" t="s">
        <v>12080</v>
      </c>
      <c r="C3627">
        <v>1000</v>
      </c>
      <c r="D3627">
        <v>0</v>
      </c>
      <c r="E3627">
        <v>50</v>
      </c>
      <c r="F3627" s="61">
        <v>44925</v>
      </c>
    </row>
    <row r="3628" spans="1:6">
      <c r="A3628">
        <v>3627</v>
      </c>
      <c r="B3628" t="s">
        <v>12083</v>
      </c>
      <c r="C3628">
        <v>1000</v>
      </c>
      <c r="D3628">
        <v>0</v>
      </c>
      <c r="E3628">
        <v>50</v>
      </c>
      <c r="F3628" s="67">
        <v>45065</v>
      </c>
    </row>
    <row r="3629" spans="1:6">
      <c r="A3629">
        <v>3628</v>
      </c>
      <c r="B3629" t="s">
        <v>12086</v>
      </c>
      <c r="C3629">
        <v>1000</v>
      </c>
      <c r="D3629">
        <v>0</v>
      </c>
      <c r="E3629">
        <v>50</v>
      </c>
      <c r="F3629" s="64" t="s">
        <v>16837</v>
      </c>
    </row>
    <row r="3630" spans="1:6">
      <c r="A3630">
        <v>3629</v>
      </c>
      <c r="B3630" t="s">
        <v>12090</v>
      </c>
      <c r="C3630">
        <v>1000</v>
      </c>
      <c r="D3630">
        <v>0</v>
      </c>
      <c r="E3630">
        <v>50</v>
      </c>
      <c r="F3630" s="77">
        <v>44915</v>
      </c>
    </row>
    <row r="3631" spans="1:6">
      <c r="A3631">
        <v>3630</v>
      </c>
      <c r="B3631" t="s">
        <v>12093</v>
      </c>
      <c r="C3631">
        <v>250</v>
      </c>
      <c r="D3631">
        <v>750</v>
      </c>
      <c r="E3631">
        <v>50</v>
      </c>
      <c r="F3631" s="71">
        <v>44867</v>
      </c>
    </row>
    <row r="3632" spans="1:6">
      <c r="A3632">
        <v>3631</v>
      </c>
      <c r="B3632" t="s">
        <v>12096</v>
      </c>
      <c r="C3632">
        <v>200000</v>
      </c>
      <c r="D3632">
        <v>0</v>
      </c>
      <c r="E3632" t="s">
        <v>16642</v>
      </c>
      <c r="F3632" s="66"/>
    </row>
    <row r="3633" spans="1:6">
      <c r="A3633">
        <v>3632</v>
      </c>
      <c r="B3633" t="s">
        <v>12101</v>
      </c>
      <c r="C3633">
        <v>250</v>
      </c>
      <c r="D3633">
        <v>750</v>
      </c>
      <c r="E3633">
        <v>50</v>
      </c>
      <c r="F3633" s="60">
        <v>44880</v>
      </c>
    </row>
    <row r="3634" spans="1:6">
      <c r="A3634">
        <v>3633</v>
      </c>
      <c r="B3634" t="s">
        <v>12104</v>
      </c>
      <c r="C3634">
        <v>250</v>
      </c>
      <c r="D3634">
        <v>750</v>
      </c>
      <c r="E3634">
        <v>50</v>
      </c>
      <c r="F3634" s="61">
        <v>44875</v>
      </c>
    </row>
    <row r="3635" spans="1:6">
      <c r="A3635">
        <v>3634</v>
      </c>
      <c r="B3635" t="s">
        <v>12107</v>
      </c>
      <c r="C3635">
        <v>500</v>
      </c>
      <c r="D3635">
        <v>500</v>
      </c>
      <c r="E3635">
        <v>50</v>
      </c>
      <c r="F3635" s="73">
        <v>44991</v>
      </c>
    </row>
    <row r="3636" spans="1:6">
      <c r="A3636">
        <v>3635</v>
      </c>
      <c r="B3636" t="s">
        <v>12110</v>
      </c>
      <c r="C3636">
        <v>250</v>
      </c>
      <c r="D3636">
        <v>750</v>
      </c>
      <c r="E3636">
        <v>50</v>
      </c>
      <c r="F3636" s="61">
        <v>44928</v>
      </c>
    </row>
    <row r="3637" spans="1:6">
      <c r="A3637">
        <v>3636</v>
      </c>
      <c r="B3637" t="s">
        <v>12113</v>
      </c>
      <c r="C3637">
        <v>250</v>
      </c>
      <c r="D3637">
        <v>750</v>
      </c>
      <c r="E3637">
        <v>50</v>
      </c>
      <c r="F3637" s="60">
        <v>44812</v>
      </c>
    </row>
    <row r="3638" spans="1:6">
      <c r="A3638">
        <v>3637</v>
      </c>
      <c r="B3638" t="s">
        <v>12116</v>
      </c>
      <c r="C3638">
        <v>1000</v>
      </c>
      <c r="D3638">
        <v>0</v>
      </c>
      <c r="E3638">
        <v>50</v>
      </c>
      <c r="F3638" s="71">
        <v>44925</v>
      </c>
    </row>
    <row r="3639" spans="1:6">
      <c r="A3639">
        <v>3638</v>
      </c>
      <c r="B3639" t="s">
        <v>12119</v>
      </c>
      <c r="C3639">
        <v>250</v>
      </c>
      <c r="D3639">
        <v>750</v>
      </c>
      <c r="E3639">
        <v>50</v>
      </c>
      <c r="F3639" s="71">
        <v>44863</v>
      </c>
    </row>
    <row r="3640" spans="1:6">
      <c r="A3640">
        <v>3639</v>
      </c>
      <c r="B3640" t="s">
        <v>12122</v>
      </c>
      <c r="C3640">
        <v>250</v>
      </c>
      <c r="D3640">
        <v>750</v>
      </c>
      <c r="E3640">
        <v>50</v>
      </c>
      <c r="F3640" s="60">
        <v>44851</v>
      </c>
    </row>
    <row r="3641" spans="1:6">
      <c r="A3641">
        <v>3640</v>
      </c>
      <c r="B3641" t="s">
        <v>12125</v>
      </c>
      <c r="C3641">
        <v>250</v>
      </c>
      <c r="D3641">
        <v>750</v>
      </c>
      <c r="E3641">
        <v>50</v>
      </c>
      <c r="F3641" s="69">
        <v>44985</v>
      </c>
    </row>
    <row r="3642" spans="1:6">
      <c r="A3642">
        <v>3641</v>
      </c>
      <c r="B3642" t="s">
        <v>12129</v>
      </c>
      <c r="C3642">
        <v>2000</v>
      </c>
      <c r="D3642">
        <v>0</v>
      </c>
      <c r="E3642">
        <v>100</v>
      </c>
      <c r="F3642" s="67">
        <v>44977</v>
      </c>
    </row>
    <row r="3643" spans="1:6">
      <c r="A3643">
        <v>3642</v>
      </c>
      <c r="B3643" t="s">
        <v>12132</v>
      </c>
      <c r="C3643">
        <v>250</v>
      </c>
      <c r="D3643">
        <v>750</v>
      </c>
      <c r="E3643">
        <v>50</v>
      </c>
      <c r="F3643" s="69">
        <v>44914</v>
      </c>
    </row>
    <row r="3644" spans="1:6">
      <c r="A3644">
        <v>3643</v>
      </c>
      <c r="B3644" t="s">
        <v>12135</v>
      </c>
      <c r="C3644">
        <v>250</v>
      </c>
      <c r="D3644">
        <v>750</v>
      </c>
      <c r="E3644">
        <v>50</v>
      </c>
      <c r="F3644" s="60">
        <v>44995</v>
      </c>
    </row>
    <row r="3645" spans="1:6">
      <c r="A3645">
        <v>3644</v>
      </c>
      <c r="B3645" t="s">
        <v>12138</v>
      </c>
      <c r="C3645">
        <v>250</v>
      </c>
      <c r="D3645">
        <v>750</v>
      </c>
      <c r="E3645">
        <v>50</v>
      </c>
      <c r="F3645" s="61">
        <v>44993</v>
      </c>
    </row>
    <row r="3646" spans="1:6">
      <c r="A3646">
        <v>3645</v>
      </c>
      <c r="B3646" t="s">
        <v>12141</v>
      </c>
      <c r="C3646">
        <v>250</v>
      </c>
      <c r="D3646">
        <v>750</v>
      </c>
      <c r="E3646">
        <v>50</v>
      </c>
      <c r="F3646" s="69">
        <v>44914</v>
      </c>
    </row>
    <row r="3647" spans="1:6">
      <c r="A3647">
        <v>3646</v>
      </c>
      <c r="B3647" t="s">
        <v>12144</v>
      </c>
      <c r="C3647">
        <v>250</v>
      </c>
      <c r="D3647">
        <v>750</v>
      </c>
      <c r="E3647">
        <v>50</v>
      </c>
      <c r="F3647" s="60">
        <v>45006</v>
      </c>
    </row>
    <row r="3648" spans="1:6">
      <c r="A3648">
        <v>3647</v>
      </c>
      <c r="B3648" t="s">
        <v>12147</v>
      </c>
      <c r="C3648">
        <v>250</v>
      </c>
      <c r="D3648">
        <v>750</v>
      </c>
      <c r="E3648">
        <v>50</v>
      </c>
      <c r="F3648" s="138">
        <v>44849</v>
      </c>
    </row>
    <row r="3649" spans="1:6">
      <c r="A3649">
        <v>3648</v>
      </c>
      <c r="B3649" t="s">
        <v>12150</v>
      </c>
      <c r="C3649">
        <v>15000</v>
      </c>
      <c r="D3649">
        <v>45000</v>
      </c>
      <c r="E3649">
        <v>3000</v>
      </c>
      <c r="F3649" s="64" t="s">
        <v>16650</v>
      </c>
    </row>
    <row r="3650" spans="1:6">
      <c r="A3650">
        <v>3649</v>
      </c>
      <c r="B3650" t="s">
        <v>12154</v>
      </c>
      <c r="C3650">
        <v>250</v>
      </c>
      <c r="D3650">
        <v>750</v>
      </c>
      <c r="E3650">
        <v>50</v>
      </c>
      <c r="F3650" s="61">
        <v>44852</v>
      </c>
    </row>
    <row r="3651" spans="1:6">
      <c r="A3651">
        <v>3650</v>
      </c>
      <c r="B3651" t="s">
        <v>12157</v>
      </c>
      <c r="C3651">
        <v>250</v>
      </c>
      <c r="D3651">
        <v>750</v>
      </c>
      <c r="E3651">
        <v>50</v>
      </c>
      <c r="F3651" s="61">
        <v>45009</v>
      </c>
    </row>
    <row r="3652" spans="1:6">
      <c r="A3652">
        <v>3651</v>
      </c>
      <c r="B3652" t="s">
        <v>12160</v>
      </c>
      <c r="C3652">
        <v>250</v>
      </c>
      <c r="D3652">
        <v>750</v>
      </c>
      <c r="E3652">
        <v>50</v>
      </c>
      <c r="F3652" s="61">
        <v>44856</v>
      </c>
    </row>
    <row r="3653" spans="1:6">
      <c r="A3653">
        <v>3652</v>
      </c>
      <c r="B3653" t="s">
        <v>12163</v>
      </c>
      <c r="C3653">
        <v>250</v>
      </c>
      <c r="D3653">
        <v>750</v>
      </c>
      <c r="E3653">
        <v>50</v>
      </c>
      <c r="F3653" s="60">
        <v>44854</v>
      </c>
    </row>
    <row r="3654" spans="1:6">
      <c r="A3654">
        <v>3653</v>
      </c>
      <c r="B3654" t="s">
        <v>12166</v>
      </c>
      <c r="C3654">
        <v>1000</v>
      </c>
      <c r="D3654">
        <v>0</v>
      </c>
      <c r="E3654">
        <v>50</v>
      </c>
      <c r="F3654" s="61">
        <v>44849</v>
      </c>
    </row>
    <row r="3655" spans="1:6">
      <c r="A3655">
        <v>3654</v>
      </c>
      <c r="B3655" t="s">
        <v>12170</v>
      </c>
      <c r="C3655">
        <v>250</v>
      </c>
      <c r="D3655">
        <v>750</v>
      </c>
      <c r="E3655">
        <v>50</v>
      </c>
      <c r="F3655" s="61">
        <v>45006</v>
      </c>
    </row>
    <row r="3656" spans="1:6">
      <c r="A3656">
        <v>3655</v>
      </c>
      <c r="B3656" t="s">
        <v>12173</v>
      </c>
      <c r="C3656">
        <v>250</v>
      </c>
      <c r="D3656">
        <v>750</v>
      </c>
      <c r="E3656">
        <v>50</v>
      </c>
      <c r="F3656" s="61">
        <v>44909</v>
      </c>
    </row>
    <row r="3657" spans="1:6">
      <c r="A3657">
        <v>3656</v>
      </c>
      <c r="B3657" t="s">
        <v>12176</v>
      </c>
      <c r="C3657">
        <v>250</v>
      </c>
      <c r="D3657">
        <v>750</v>
      </c>
      <c r="E3657">
        <v>50</v>
      </c>
      <c r="F3657" s="73">
        <v>44947</v>
      </c>
    </row>
    <row r="3658" spans="1:6">
      <c r="A3658">
        <v>3657</v>
      </c>
      <c r="B3658" t="s">
        <v>12179</v>
      </c>
      <c r="C3658">
        <v>250</v>
      </c>
      <c r="D3658">
        <v>750</v>
      </c>
      <c r="E3658">
        <v>50</v>
      </c>
      <c r="F3658" s="71">
        <v>44902</v>
      </c>
    </row>
    <row r="3659" spans="1:6">
      <c r="A3659">
        <v>3658</v>
      </c>
      <c r="B3659" t="s">
        <v>12182</v>
      </c>
      <c r="C3659">
        <v>250</v>
      </c>
      <c r="D3659">
        <v>750</v>
      </c>
      <c r="E3659">
        <v>50</v>
      </c>
      <c r="F3659" s="60">
        <v>44875</v>
      </c>
    </row>
    <row r="3660" spans="1:6">
      <c r="A3660">
        <v>3659</v>
      </c>
      <c r="B3660" t="s">
        <v>12185</v>
      </c>
      <c r="C3660">
        <v>300</v>
      </c>
      <c r="D3660">
        <v>700</v>
      </c>
      <c r="E3660">
        <v>50</v>
      </c>
      <c r="F3660" s="60">
        <v>44873</v>
      </c>
    </row>
    <row r="3661" spans="1:6">
      <c r="A3661">
        <v>3660</v>
      </c>
      <c r="B3661" t="s">
        <v>12188</v>
      </c>
      <c r="C3661">
        <v>250</v>
      </c>
      <c r="D3661">
        <v>750</v>
      </c>
      <c r="E3661">
        <v>50</v>
      </c>
      <c r="F3661" s="60">
        <v>44870</v>
      </c>
    </row>
    <row r="3662" spans="1:6">
      <c r="A3662">
        <v>3661</v>
      </c>
      <c r="B3662" t="s">
        <v>12191</v>
      </c>
      <c r="C3662">
        <v>250</v>
      </c>
      <c r="D3662">
        <v>750</v>
      </c>
      <c r="E3662">
        <v>50</v>
      </c>
      <c r="F3662" s="60">
        <v>44811</v>
      </c>
    </row>
    <row r="3663" spans="1:6">
      <c r="A3663">
        <v>3662</v>
      </c>
      <c r="B3663" t="s">
        <v>12194</v>
      </c>
      <c r="C3663">
        <v>250</v>
      </c>
      <c r="D3663">
        <v>750</v>
      </c>
      <c r="E3663">
        <v>50</v>
      </c>
      <c r="F3663" s="60">
        <v>44873</v>
      </c>
    </row>
    <row r="3664" spans="1:6">
      <c r="A3664">
        <v>3663</v>
      </c>
      <c r="B3664" t="s">
        <v>12197</v>
      </c>
      <c r="C3664">
        <v>250</v>
      </c>
      <c r="D3664">
        <v>750</v>
      </c>
      <c r="E3664">
        <v>50</v>
      </c>
      <c r="F3664" s="60">
        <v>44930</v>
      </c>
    </row>
    <row r="3665" spans="1:6">
      <c r="A3665">
        <v>3664</v>
      </c>
      <c r="B3665" t="s">
        <v>12200</v>
      </c>
      <c r="C3665">
        <v>250</v>
      </c>
      <c r="D3665">
        <v>750</v>
      </c>
      <c r="E3665">
        <v>50</v>
      </c>
      <c r="F3665" s="61">
        <v>44840</v>
      </c>
    </row>
    <row r="3666" spans="1:6">
      <c r="A3666">
        <v>3665</v>
      </c>
      <c r="B3666" t="s">
        <v>12204</v>
      </c>
      <c r="C3666">
        <v>250</v>
      </c>
      <c r="D3666">
        <v>750</v>
      </c>
      <c r="E3666">
        <v>50</v>
      </c>
      <c r="F3666" s="72">
        <v>44887</v>
      </c>
    </row>
    <row r="3667" spans="1:6">
      <c r="A3667">
        <v>3666</v>
      </c>
      <c r="B3667" t="s">
        <v>12208</v>
      </c>
      <c r="C3667">
        <v>250</v>
      </c>
      <c r="D3667">
        <v>750</v>
      </c>
      <c r="E3667">
        <v>50</v>
      </c>
      <c r="F3667" s="60">
        <v>44904</v>
      </c>
    </row>
    <row r="3668" spans="1:6">
      <c r="A3668">
        <v>3667</v>
      </c>
      <c r="B3668" t="s">
        <v>12212</v>
      </c>
      <c r="C3668">
        <v>3000</v>
      </c>
      <c r="D3668">
        <v>0</v>
      </c>
      <c r="E3668">
        <v>150</v>
      </c>
      <c r="F3668" s="67">
        <v>44769</v>
      </c>
    </row>
    <row r="3669" spans="1:6">
      <c r="A3669">
        <v>3668</v>
      </c>
      <c r="B3669" t="s">
        <v>12215</v>
      </c>
      <c r="C3669">
        <v>100000</v>
      </c>
      <c r="D3669">
        <v>0</v>
      </c>
      <c r="E3669" t="s">
        <v>16642</v>
      </c>
      <c r="F3669" s="100"/>
    </row>
    <row r="3670" spans="1:6">
      <c r="A3670">
        <v>3669</v>
      </c>
      <c r="B3670" t="s">
        <v>12219</v>
      </c>
      <c r="C3670">
        <v>250</v>
      </c>
      <c r="D3670">
        <v>750</v>
      </c>
      <c r="E3670">
        <v>50</v>
      </c>
      <c r="F3670" s="61">
        <v>44807</v>
      </c>
    </row>
    <row r="3671" spans="1:6">
      <c r="A3671">
        <v>3670</v>
      </c>
      <c r="B3671" t="s">
        <v>12222</v>
      </c>
      <c r="C3671">
        <v>500</v>
      </c>
      <c r="D3671">
        <v>1500</v>
      </c>
      <c r="E3671">
        <v>100</v>
      </c>
      <c r="F3671" s="61">
        <v>44845</v>
      </c>
    </row>
    <row r="3672" spans="1:6">
      <c r="A3672">
        <v>3671</v>
      </c>
      <c r="B3672" t="s">
        <v>12225</v>
      </c>
      <c r="C3672">
        <v>250</v>
      </c>
      <c r="D3672">
        <v>750</v>
      </c>
      <c r="E3672">
        <v>50</v>
      </c>
      <c r="F3672" s="61">
        <v>44925</v>
      </c>
    </row>
    <row r="3673" spans="1:6">
      <c r="A3673">
        <v>3672</v>
      </c>
      <c r="B3673" t="s">
        <v>12229</v>
      </c>
      <c r="C3673">
        <v>250</v>
      </c>
      <c r="D3673">
        <v>750</v>
      </c>
      <c r="E3673">
        <v>50</v>
      </c>
      <c r="F3673" s="79">
        <v>44824</v>
      </c>
    </row>
    <row r="3674" spans="1:6">
      <c r="A3674">
        <v>3673</v>
      </c>
      <c r="B3674" t="s">
        <v>12232</v>
      </c>
      <c r="C3674">
        <v>250</v>
      </c>
      <c r="D3674">
        <v>750</v>
      </c>
      <c r="E3674">
        <v>50</v>
      </c>
      <c r="F3674" s="69">
        <v>45010</v>
      </c>
    </row>
    <row r="3675" spans="1:6">
      <c r="A3675">
        <v>3674</v>
      </c>
      <c r="B3675" t="s">
        <v>12235</v>
      </c>
      <c r="C3675">
        <v>1000</v>
      </c>
      <c r="D3675">
        <v>0</v>
      </c>
      <c r="E3675">
        <v>50</v>
      </c>
      <c r="F3675" s="60">
        <v>44925</v>
      </c>
    </row>
    <row r="3676" spans="1:6">
      <c r="A3676">
        <v>3675</v>
      </c>
      <c r="B3676" t="s">
        <v>12238</v>
      </c>
      <c r="C3676">
        <v>250</v>
      </c>
      <c r="D3676">
        <v>750</v>
      </c>
      <c r="E3676">
        <v>50</v>
      </c>
      <c r="F3676" s="75">
        <v>44897</v>
      </c>
    </row>
    <row r="3677" spans="1:6">
      <c r="A3677">
        <v>3676</v>
      </c>
      <c r="B3677" t="s">
        <v>12241</v>
      </c>
      <c r="C3677">
        <v>250</v>
      </c>
      <c r="D3677">
        <v>750</v>
      </c>
      <c r="E3677">
        <v>50</v>
      </c>
      <c r="F3677" s="61">
        <v>44872</v>
      </c>
    </row>
    <row r="3678" spans="1:6">
      <c r="A3678">
        <v>3677</v>
      </c>
      <c r="B3678" t="s">
        <v>12244</v>
      </c>
      <c r="C3678">
        <v>250</v>
      </c>
      <c r="D3678">
        <v>750</v>
      </c>
      <c r="E3678">
        <v>50</v>
      </c>
      <c r="F3678" s="61">
        <v>44852</v>
      </c>
    </row>
    <row r="3679" spans="1:6">
      <c r="A3679">
        <v>3678</v>
      </c>
      <c r="B3679" t="s">
        <v>12247</v>
      </c>
      <c r="C3679">
        <v>250</v>
      </c>
      <c r="D3679">
        <v>750</v>
      </c>
      <c r="E3679">
        <v>50</v>
      </c>
      <c r="F3679" s="61">
        <v>44872</v>
      </c>
    </row>
    <row r="3680" spans="1:6">
      <c r="A3680">
        <v>3679</v>
      </c>
      <c r="B3680" t="s">
        <v>12251</v>
      </c>
      <c r="C3680">
        <v>250</v>
      </c>
      <c r="D3680">
        <v>750</v>
      </c>
      <c r="E3680">
        <v>50</v>
      </c>
      <c r="F3680" s="75">
        <v>44837</v>
      </c>
    </row>
    <row r="3681" spans="1:6">
      <c r="A3681">
        <v>3680</v>
      </c>
      <c r="B3681" t="s">
        <v>12254</v>
      </c>
      <c r="C3681">
        <v>250</v>
      </c>
      <c r="D3681">
        <v>750</v>
      </c>
      <c r="E3681">
        <v>50</v>
      </c>
      <c r="F3681" s="100" t="s">
        <v>16669</v>
      </c>
    </row>
    <row r="3682" ht="15" spans="1:6">
      <c r="A3682">
        <v>3681</v>
      </c>
      <c r="B3682" t="s">
        <v>12257</v>
      </c>
      <c r="C3682">
        <v>1000000</v>
      </c>
      <c r="D3682">
        <v>2500000</v>
      </c>
      <c r="E3682" t="s">
        <v>16642</v>
      </c>
      <c r="F3682" s="92">
        <v>45148</v>
      </c>
    </row>
    <row r="3683" spans="1:6">
      <c r="A3683">
        <v>3682</v>
      </c>
      <c r="B3683" t="s">
        <v>12261</v>
      </c>
      <c r="C3683">
        <v>1000</v>
      </c>
      <c r="D3683">
        <v>0</v>
      </c>
      <c r="E3683">
        <v>50</v>
      </c>
      <c r="F3683" s="69">
        <v>44959</v>
      </c>
    </row>
    <row r="3684" spans="1:6">
      <c r="A3684">
        <v>3683</v>
      </c>
      <c r="B3684" t="s">
        <v>12264</v>
      </c>
      <c r="C3684">
        <v>250</v>
      </c>
      <c r="D3684">
        <v>750</v>
      </c>
      <c r="E3684">
        <v>50</v>
      </c>
      <c r="F3684" s="60">
        <v>44836</v>
      </c>
    </row>
    <row r="3685" spans="1:6">
      <c r="A3685">
        <v>3684</v>
      </c>
      <c r="B3685" t="s">
        <v>12267</v>
      </c>
      <c r="C3685">
        <v>250</v>
      </c>
      <c r="D3685">
        <v>750</v>
      </c>
      <c r="E3685">
        <v>50</v>
      </c>
      <c r="F3685" s="61">
        <v>44925</v>
      </c>
    </row>
    <row r="3686" spans="1:6">
      <c r="A3686">
        <v>3685</v>
      </c>
      <c r="B3686" t="s">
        <v>12270</v>
      </c>
      <c r="C3686">
        <v>250</v>
      </c>
      <c r="D3686">
        <v>750</v>
      </c>
      <c r="E3686">
        <v>50</v>
      </c>
      <c r="F3686" s="69">
        <v>44925</v>
      </c>
    </row>
    <row r="3687" spans="1:6">
      <c r="A3687">
        <v>3686</v>
      </c>
      <c r="B3687" t="s">
        <v>12273</v>
      </c>
      <c r="C3687">
        <v>250</v>
      </c>
      <c r="D3687">
        <v>750</v>
      </c>
      <c r="E3687">
        <v>50</v>
      </c>
      <c r="F3687" s="70">
        <v>44925</v>
      </c>
    </row>
    <row r="3688" spans="1:6">
      <c r="A3688">
        <v>3687</v>
      </c>
      <c r="B3688" t="s">
        <v>12276</v>
      </c>
      <c r="C3688">
        <v>250</v>
      </c>
      <c r="D3688">
        <v>750</v>
      </c>
      <c r="E3688">
        <v>50</v>
      </c>
      <c r="F3688" s="60">
        <v>44924</v>
      </c>
    </row>
    <row r="3689" spans="1:6">
      <c r="A3689">
        <v>3688</v>
      </c>
      <c r="B3689" t="s">
        <v>12279</v>
      </c>
      <c r="C3689">
        <v>250</v>
      </c>
      <c r="D3689">
        <v>750</v>
      </c>
      <c r="E3689">
        <v>50</v>
      </c>
      <c r="F3689" s="79">
        <v>44914</v>
      </c>
    </row>
    <row r="3690" spans="1:6">
      <c r="A3690">
        <v>3689</v>
      </c>
      <c r="B3690" t="s">
        <v>12282</v>
      </c>
      <c r="C3690">
        <v>1250</v>
      </c>
      <c r="D3690">
        <v>3750</v>
      </c>
      <c r="E3690">
        <v>250</v>
      </c>
      <c r="F3690" s="67">
        <v>45044</v>
      </c>
    </row>
    <row r="3691" spans="1:6">
      <c r="A3691">
        <v>3690</v>
      </c>
      <c r="B3691" t="s">
        <v>12285</v>
      </c>
      <c r="C3691">
        <v>250</v>
      </c>
      <c r="D3691">
        <v>750</v>
      </c>
      <c r="E3691">
        <v>50</v>
      </c>
      <c r="F3691" s="61">
        <v>44903</v>
      </c>
    </row>
    <row r="3692" spans="1:6">
      <c r="A3692">
        <v>3691</v>
      </c>
      <c r="B3692" t="s">
        <v>12289</v>
      </c>
      <c r="C3692">
        <v>250</v>
      </c>
      <c r="D3692">
        <v>750</v>
      </c>
      <c r="E3692">
        <v>50</v>
      </c>
      <c r="F3692" s="73">
        <v>44930</v>
      </c>
    </row>
    <row r="3693" spans="1:6">
      <c r="A3693">
        <v>3692</v>
      </c>
      <c r="B3693" t="s">
        <v>12292</v>
      </c>
      <c r="C3693">
        <v>250</v>
      </c>
      <c r="D3693">
        <v>750</v>
      </c>
      <c r="E3693">
        <v>50</v>
      </c>
      <c r="F3693" s="60">
        <v>44930</v>
      </c>
    </row>
    <row r="3694" spans="1:6">
      <c r="A3694">
        <v>3693</v>
      </c>
      <c r="B3694" t="s">
        <v>12295</v>
      </c>
      <c r="C3694">
        <v>200000</v>
      </c>
      <c r="D3694">
        <v>0</v>
      </c>
      <c r="E3694" t="s">
        <v>16642</v>
      </c>
      <c r="F3694" s="76">
        <v>44866</v>
      </c>
    </row>
    <row r="3695" spans="1:6">
      <c r="A3695">
        <v>3694</v>
      </c>
      <c r="B3695" t="s">
        <v>12299</v>
      </c>
      <c r="C3695">
        <v>100000</v>
      </c>
      <c r="D3695">
        <v>0</v>
      </c>
      <c r="E3695" t="s">
        <v>16642</v>
      </c>
      <c r="F3695" s="100"/>
    </row>
    <row r="3696" spans="1:6">
      <c r="A3696">
        <v>3695</v>
      </c>
      <c r="B3696" t="s">
        <v>12301</v>
      </c>
      <c r="C3696">
        <v>100000</v>
      </c>
      <c r="D3696">
        <v>0</v>
      </c>
      <c r="E3696" t="s">
        <v>16642</v>
      </c>
      <c r="F3696" s="104"/>
    </row>
    <row r="3697" spans="1:6">
      <c r="A3697">
        <v>3696</v>
      </c>
      <c r="B3697" t="s">
        <v>12305</v>
      </c>
      <c r="C3697">
        <v>2500</v>
      </c>
      <c r="D3697">
        <v>7500</v>
      </c>
      <c r="E3697">
        <v>500</v>
      </c>
      <c r="F3697" s="77">
        <v>44922</v>
      </c>
    </row>
    <row r="3698" spans="1:6">
      <c r="A3698">
        <v>3697</v>
      </c>
      <c r="B3698" t="s">
        <v>12308</v>
      </c>
      <c r="C3698">
        <v>250</v>
      </c>
      <c r="D3698">
        <v>750</v>
      </c>
      <c r="E3698">
        <v>50</v>
      </c>
      <c r="F3698" s="60">
        <v>44925</v>
      </c>
    </row>
    <row r="3699" spans="1:6">
      <c r="A3699">
        <v>3698</v>
      </c>
      <c r="B3699" t="s">
        <v>12311</v>
      </c>
      <c r="C3699">
        <v>250</v>
      </c>
      <c r="D3699">
        <v>750</v>
      </c>
      <c r="E3699">
        <v>50</v>
      </c>
      <c r="F3699" s="60">
        <v>44849</v>
      </c>
    </row>
    <row r="3700" spans="1:6">
      <c r="A3700">
        <v>3699</v>
      </c>
      <c r="B3700" t="s">
        <v>12314</v>
      </c>
      <c r="C3700">
        <v>3000</v>
      </c>
      <c r="D3700">
        <v>0</v>
      </c>
      <c r="E3700">
        <v>150</v>
      </c>
      <c r="F3700" s="64" t="s">
        <v>16762</v>
      </c>
    </row>
    <row r="3701" spans="1:6">
      <c r="A3701">
        <v>3700</v>
      </c>
      <c r="B3701" t="s">
        <v>12318</v>
      </c>
      <c r="C3701">
        <v>250</v>
      </c>
      <c r="D3701">
        <v>750</v>
      </c>
      <c r="E3701">
        <v>50</v>
      </c>
      <c r="F3701" s="61">
        <v>44950</v>
      </c>
    </row>
    <row r="3702" spans="1:6">
      <c r="A3702">
        <v>3701</v>
      </c>
      <c r="B3702" t="s">
        <v>12322</v>
      </c>
      <c r="C3702">
        <v>250</v>
      </c>
      <c r="D3702">
        <v>750</v>
      </c>
      <c r="E3702">
        <v>50</v>
      </c>
      <c r="F3702" s="60">
        <v>44873</v>
      </c>
    </row>
    <row r="3703" spans="1:6">
      <c r="A3703">
        <v>3702</v>
      </c>
      <c r="B3703" t="s">
        <v>12325</v>
      </c>
      <c r="C3703">
        <v>250</v>
      </c>
      <c r="D3703">
        <v>750</v>
      </c>
      <c r="E3703">
        <v>50</v>
      </c>
      <c r="F3703" s="61">
        <v>44849</v>
      </c>
    </row>
    <row r="3704" spans="1:6">
      <c r="A3704">
        <v>3703</v>
      </c>
      <c r="B3704" t="s">
        <v>12329</v>
      </c>
      <c r="C3704">
        <v>250</v>
      </c>
      <c r="D3704">
        <v>750</v>
      </c>
      <c r="E3704">
        <v>50</v>
      </c>
      <c r="F3704" s="61">
        <v>44870</v>
      </c>
    </row>
    <row r="3705" spans="1:6">
      <c r="A3705">
        <v>3704</v>
      </c>
      <c r="B3705" t="s">
        <v>12333</v>
      </c>
      <c r="C3705">
        <v>250</v>
      </c>
      <c r="D3705">
        <v>750</v>
      </c>
      <c r="E3705">
        <v>50</v>
      </c>
      <c r="F3705" s="68" t="s">
        <v>16838</v>
      </c>
    </row>
    <row r="3706" spans="1:6">
      <c r="A3706">
        <v>3705</v>
      </c>
      <c r="B3706" t="s">
        <v>12336</v>
      </c>
      <c r="C3706">
        <v>250</v>
      </c>
      <c r="D3706">
        <v>750</v>
      </c>
      <c r="E3706">
        <v>50</v>
      </c>
      <c r="F3706" s="60">
        <v>44851</v>
      </c>
    </row>
    <row r="3707" spans="1:6">
      <c r="A3707">
        <v>3706</v>
      </c>
      <c r="B3707" t="s">
        <v>12340</v>
      </c>
      <c r="C3707">
        <v>250</v>
      </c>
      <c r="D3707">
        <v>750</v>
      </c>
      <c r="E3707">
        <v>50</v>
      </c>
      <c r="F3707" s="61">
        <v>44930</v>
      </c>
    </row>
    <row r="3708" spans="1:6">
      <c r="A3708">
        <v>3707</v>
      </c>
      <c r="B3708" t="s">
        <v>12343</v>
      </c>
      <c r="C3708">
        <v>250</v>
      </c>
      <c r="D3708">
        <v>750</v>
      </c>
      <c r="E3708">
        <v>50</v>
      </c>
      <c r="F3708" s="69">
        <v>44965</v>
      </c>
    </row>
    <row r="3709" spans="1:6">
      <c r="A3709">
        <v>3708</v>
      </c>
      <c r="B3709" t="s">
        <v>12347</v>
      </c>
      <c r="C3709">
        <v>250</v>
      </c>
      <c r="D3709">
        <v>750</v>
      </c>
      <c r="E3709">
        <v>50</v>
      </c>
      <c r="F3709" s="73">
        <v>44988</v>
      </c>
    </row>
    <row r="3710" spans="1:6">
      <c r="A3710">
        <v>3709</v>
      </c>
      <c r="B3710" t="s">
        <v>12351</v>
      </c>
      <c r="C3710">
        <v>250</v>
      </c>
      <c r="D3710">
        <v>750</v>
      </c>
      <c r="E3710">
        <v>50</v>
      </c>
      <c r="F3710" s="60">
        <v>44981</v>
      </c>
    </row>
    <row r="3711" spans="1:6">
      <c r="A3711">
        <v>3710</v>
      </c>
      <c r="B3711" t="s">
        <v>12354</v>
      </c>
      <c r="C3711">
        <v>250</v>
      </c>
      <c r="D3711">
        <v>750</v>
      </c>
      <c r="E3711">
        <v>50</v>
      </c>
      <c r="F3711" s="69">
        <v>44944</v>
      </c>
    </row>
    <row r="3712" spans="1:6">
      <c r="A3712">
        <v>3711</v>
      </c>
      <c r="B3712" t="s">
        <v>12358</v>
      </c>
      <c r="C3712">
        <v>250</v>
      </c>
      <c r="D3712">
        <v>750</v>
      </c>
      <c r="E3712">
        <v>50</v>
      </c>
      <c r="F3712" s="60">
        <v>44905</v>
      </c>
    </row>
    <row r="3713" spans="1:6">
      <c r="A3713">
        <v>3712</v>
      </c>
      <c r="B3713" t="s">
        <v>12361</v>
      </c>
      <c r="C3713">
        <v>250</v>
      </c>
      <c r="D3713">
        <v>750</v>
      </c>
      <c r="E3713">
        <v>50</v>
      </c>
      <c r="F3713" s="75">
        <v>44916</v>
      </c>
    </row>
    <row r="3714" spans="1:6">
      <c r="A3714">
        <v>3713</v>
      </c>
      <c r="B3714" t="s">
        <v>12364</v>
      </c>
      <c r="C3714">
        <v>250</v>
      </c>
      <c r="D3714">
        <v>750</v>
      </c>
      <c r="E3714">
        <v>50</v>
      </c>
      <c r="F3714" s="60">
        <v>44912</v>
      </c>
    </row>
    <row r="3715" spans="1:6">
      <c r="A3715">
        <v>3714</v>
      </c>
      <c r="B3715" t="s">
        <v>12367</v>
      </c>
      <c r="C3715">
        <v>1000</v>
      </c>
      <c r="D3715">
        <v>0</v>
      </c>
      <c r="E3715">
        <v>50</v>
      </c>
      <c r="F3715" s="60">
        <v>44844</v>
      </c>
    </row>
    <row r="3716" spans="1:6">
      <c r="A3716">
        <v>3715</v>
      </c>
      <c r="B3716" t="s">
        <v>12371</v>
      </c>
      <c r="C3716">
        <v>250</v>
      </c>
      <c r="D3716">
        <v>750</v>
      </c>
      <c r="E3716">
        <v>50</v>
      </c>
      <c r="F3716" s="61">
        <v>44875</v>
      </c>
    </row>
    <row r="3717" spans="1:6">
      <c r="A3717">
        <v>3716</v>
      </c>
      <c r="B3717" t="s">
        <v>12374</v>
      </c>
      <c r="C3717">
        <v>250</v>
      </c>
      <c r="D3717">
        <v>750</v>
      </c>
      <c r="E3717">
        <v>50</v>
      </c>
      <c r="F3717" s="61">
        <v>44975</v>
      </c>
    </row>
    <row r="3718" spans="1:6">
      <c r="A3718">
        <v>3717</v>
      </c>
      <c r="B3718" t="s">
        <v>12378</v>
      </c>
      <c r="C3718">
        <v>250</v>
      </c>
      <c r="D3718">
        <v>750</v>
      </c>
      <c r="E3718">
        <v>50</v>
      </c>
      <c r="F3718" s="75">
        <v>44905</v>
      </c>
    </row>
    <row r="3719" spans="1:6">
      <c r="A3719">
        <v>3718</v>
      </c>
      <c r="B3719" t="s">
        <v>12381</v>
      </c>
      <c r="C3719">
        <v>250</v>
      </c>
      <c r="D3719">
        <v>750</v>
      </c>
      <c r="E3719">
        <v>50</v>
      </c>
      <c r="F3719" s="60">
        <v>44925</v>
      </c>
    </row>
    <row r="3720" spans="1:6">
      <c r="A3720">
        <v>3719</v>
      </c>
      <c r="B3720" t="s">
        <v>12384</v>
      </c>
      <c r="C3720">
        <v>250</v>
      </c>
      <c r="D3720">
        <v>750</v>
      </c>
      <c r="E3720">
        <v>50</v>
      </c>
      <c r="F3720" s="60">
        <v>44833</v>
      </c>
    </row>
    <row r="3721" spans="1:6">
      <c r="A3721">
        <v>3720</v>
      </c>
      <c r="B3721" t="s">
        <v>12388</v>
      </c>
      <c r="C3721">
        <v>250</v>
      </c>
      <c r="D3721">
        <v>750</v>
      </c>
      <c r="E3721">
        <v>50</v>
      </c>
      <c r="F3721" s="60">
        <v>44925</v>
      </c>
    </row>
    <row r="3722" spans="1:6">
      <c r="A3722">
        <v>3721</v>
      </c>
      <c r="B3722" t="s">
        <v>12391</v>
      </c>
      <c r="C3722">
        <v>250</v>
      </c>
      <c r="D3722">
        <v>750</v>
      </c>
      <c r="E3722">
        <v>50</v>
      </c>
      <c r="F3722" s="73">
        <v>45010</v>
      </c>
    </row>
    <row r="3723" spans="1:6">
      <c r="A3723">
        <v>3722</v>
      </c>
      <c r="B3723" t="s">
        <v>12394</v>
      </c>
      <c r="C3723">
        <v>250</v>
      </c>
      <c r="D3723">
        <v>750</v>
      </c>
      <c r="E3723">
        <v>50</v>
      </c>
      <c r="F3723" s="61">
        <v>44855</v>
      </c>
    </row>
    <row r="3724" spans="1:6">
      <c r="A3724">
        <v>3723</v>
      </c>
      <c r="B3724" t="s">
        <v>12397</v>
      </c>
      <c r="C3724">
        <v>250</v>
      </c>
      <c r="D3724">
        <v>750</v>
      </c>
      <c r="E3724">
        <v>50</v>
      </c>
      <c r="F3724" s="71">
        <v>44902</v>
      </c>
    </row>
    <row r="3725" spans="1:6">
      <c r="A3725">
        <v>3724</v>
      </c>
      <c r="B3725" t="s">
        <v>12400</v>
      </c>
      <c r="C3725">
        <v>250</v>
      </c>
      <c r="D3725">
        <v>750</v>
      </c>
      <c r="E3725">
        <v>50</v>
      </c>
      <c r="F3725" s="75">
        <v>44925</v>
      </c>
    </row>
    <row r="3726" spans="1:6">
      <c r="A3726">
        <v>3725</v>
      </c>
      <c r="B3726" t="s">
        <v>12403</v>
      </c>
      <c r="C3726">
        <v>250</v>
      </c>
      <c r="D3726">
        <v>750</v>
      </c>
      <c r="E3726">
        <v>50</v>
      </c>
      <c r="F3726" s="61">
        <v>44925</v>
      </c>
    </row>
    <row r="3727" spans="1:6">
      <c r="A3727">
        <v>3726</v>
      </c>
      <c r="B3727" t="s">
        <v>12406</v>
      </c>
      <c r="C3727">
        <v>250</v>
      </c>
      <c r="D3727">
        <v>750</v>
      </c>
      <c r="E3727">
        <v>50</v>
      </c>
      <c r="F3727" s="61">
        <v>44856</v>
      </c>
    </row>
    <row r="3728" spans="1:6">
      <c r="A3728">
        <v>3727</v>
      </c>
      <c r="B3728" t="s">
        <v>12409</v>
      </c>
      <c r="C3728">
        <v>250</v>
      </c>
      <c r="D3728">
        <v>750</v>
      </c>
      <c r="E3728">
        <v>50</v>
      </c>
      <c r="F3728" s="75">
        <v>44754</v>
      </c>
    </row>
    <row r="3729" spans="1:6">
      <c r="A3729">
        <v>3728</v>
      </c>
      <c r="B3729" t="s">
        <v>12412</v>
      </c>
      <c r="C3729">
        <v>250</v>
      </c>
      <c r="D3729">
        <v>750</v>
      </c>
      <c r="E3729">
        <v>50</v>
      </c>
      <c r="F3729" s="60">
        <v>44902</v>
      </c>
    </row>
    <row r="3730" spans="1:6">
      <c r="A3730">
        <v>3729</v>
      </c>
      <c r="B3730" t="s">
        <v>12415</v>
      </c>
      <c r="C3730">
        <v>250</v>
      </c>
      <c r="D3730">
        <v>750</v>
      </c>
      <c r="E3730">
        <v>50</v>
      </c>
      <c r="F3730" s="61">
        <v>44995</v>
      </c>
    </row>
    <row r="3731" spans="1:6">
      <c r="A3731">
        <v>3730</v>
      </c>
      <c r="B3731" t="s">
        <v>12418</v>
      </c>
      <c r="C3731">
        <v>1000</v>
      </c>
      <c r="D3731">
        <v>0</v>
      </c>
      <c r="E3731">
        <v>50</v>
      </c>
      <c r="F3731" s="61">
        <v>44872</v>
      </c>
    </row>
    <row r="3732" spans="1:6">
      <c r="A3732">
        <v>3731</v>
      </c>
      <c r="B3732" t="s">
        <v>12421</v>
      </c>
      <c r="C3732">
        <v>750</v>
      </c>
      <c r="D3732">
        <v>250</v>
      </c>
      <c r="E3732">
        <v>50</v>
      </c>
      <c r="F3732" s="73">
        <v>44957</v>
      </c>
    </row>
    <row r="3733" spans="1:6">
      <c r="A3733">
        <v>3732</v>
      </c>
      <c r="B3733" t="s">
        <v>12424</v>
      </c>
      <c r="C3733">
        <v>100000</v>
      </c>
      <c r="D3733">
        <v>0</v>
      </c>
      <c r="E3733" t="s">
        <v>16642</v>
      </c>
      <c r="F3733" s="76">
        <v>44819</v>
      </c>
    </row>
    <row r="3734" spans="1:6">
      <c r="A3734">
        <v>3733</v>
      </c>
      <c r="B3734" t="s">
        <v>12429</v>
      </c>
      <c r="C3734">
        <v>1000</v>
      </c>
      <c r="D3734">
        <v>0</v>
      </c>
      <c r="E3734">
        <v>50</v>
      </c>
      <c r="F3734" s="60">
        <v>44849</v>
      </c>
    </row>
    <row r="3735" spans="1:6">
      <c r="A3735">
        <v>3734</v>
      </c>
      <c r="B3735" t="s">
        <v>12433</v>
      </c>
      <c r="C3735">
        <v>250</v>
      </c>
      <c r="D3735">
        <v>750</v>
      </c>
      <c r="E3735">
        <v>50</v>
      </c>
      <c r="F3735" s="60">
        <v>44875</v>
      </c>
    </row>
    <row r="3736" spans="1:6">
      <c r="A3736">
        <v>3735</v>
      </c>
      <c r="B3736" t="s">
        <v>12436</v>
      </c>
      <c r="C3736">
        <v>250</v>
      </c>
      <c r="D3736">
        <v>750</v>
      </c>
      <c r="E3736">
        <v>50</v>
      </c>
      <c r="F3736" s="60">
        <v>44901</v>
      </c>
    </row>
    <row r="3737" spans="1:6">
      <c r="A3737">
        <v>3736</v>
      </c>
      <c r="B3737" t="s">
        <v>12439</v>
      </c>
      <c r="C3737">
        <v>250</v>
      </c>
      <c r="D3737">
        <v>750</v>
      </c>
      <c r="E3737">
        <v>50</v>
      </c>
      <c r="F3737" s="60">
        <v>44890</v>
      </c>
    </row>
    <row r="3738" spans="1:6">
      <c r="A3738">
        <v>3737</v>
      </c>
      <c r="B3738" t="s">
        <v>12442</v>
      </c>
      <c r="C3738">
        <v>250</v>
      </c>
      <c r="D3738">
        <v>750</v>
      </c>
      <c r="E3738">
        <v>50</v>
      </c>
      <c r="F3738" s="60">
        <v>44859</v>
      </c>
    </row>
    <row r="3739" spans="1:6">
      <c r="A3739">
        <v>3738</v>
      </c>
      <c r="B3739" t="s">
        <v>12445</v>
      </c>
      <c r="C3739">
        <v>300</v>
      </c>
      <c r="D3739">
        <v>700</v>
      </c>
      <c r="E3739">
        <v>50</v>
      </c>
      <c r="F3739" s="61">
        <v>44873</v>
      </c>
    </row>
    <row r="3740" spans="1:6">
      <c r="A3740">
        <v>3739</v>
      </c>
      <c r="B3740" t="s">
        <v>12448</v>
      </c>
      <c r="C3740">
        <v>250</v>
      </c>
      <c r="D3740">
        <v>750</v>
      </c>
      <c r="E3740">
        <v>50</v>
      </c>
      <c r="F3740" s="69">
        <v>45035</v>
      </c>
    </row>
    <row r="3741" spans="1:6">
      <c r="A3741">
        <v>3740</v>
      </c>
      <c r="B3741" t="s">
        <v>12451</v>
      </c>
      <c r="C3741">
        <v>250</v>
      </c>
      <c r="D3741">
        <v>750</v>
      </c>
      <c r="E3741">
        <v>50</v>
      </c>
      <c r="F3741" s="60">
        <v>44851</v>
      </c>
    </row>
    <row r="3742" spans="1:6">
      <c r="A3742">
        <v>3741</v>
      </c>
      <c r="B3742" t="s">
        <v>12454</v>
      </c>
      <c r="C3742">
        <v>250</v>
      </c>
      <c r="D3742">
        <v>750</v>
      </c>
      <c r="E3742">
        <v>50</v>
      </c>
      <c r="F3742" s="69">
        <v>45012</v>
      </c>
    </row>
    <row r="3743" spans="1:6">
      <c r="A3743">
        <v>3742</v>
      </c>
      <c r="B3743" t="s">
        <v>12457</v>
      </c>
      <c r="C3743">
        <v>250</v>
      </c>
      <c r="D3743">
        <v>750</v>
      </c>
      <c r="E3743">
        <v>50</v>
      </c>
      <c r="F3743" s="60">
        <v>44918</v>
      </c>
    </row>
    <row r="3744" spans="1:6">
      <c r="A3744">
        <v>3743</v>
      </c>
      <c r="B3744" t="s">
        <v>12461</v>
      </c>
      <c r="C3744">
        <v>1000</v>
      </c>
      <c r="D3744">
        <v>0</v>
      </c>
      <c r="E3744">
        <v>50</v>
      </c>
      <c r="F3744" s="73">
        <v>44996</v>
      </c>
    </row>
    <row r="3745" spans="1:6">
      <c r="A3745">
        <v>3744</v>
      </c>
      <c r="B3745" t="s">
        <v>12465</v>
      </c>
      <c r="C3745">
        <v>250</v>
      </c>
      <c r="D3745">
        <v>750</v>
      </c>
      <c r="E3745">
        <v>50</v>
      </c>
      <c r="F3745" s="61">
        <v>44805</v>
      </c>
    </row>
    <row r="3746" spans="1:6">
      <c r="A3746">
        <v>3745</v>
      </c>
      <c r="B3746" t="s">
        <v>12468</v>
      </c>
      <c r="C3746">
        <v>250</v>
      </c>
      <c r="D3746">
        <v>750</v>
      </c>
      <c r="E3746">
        <v>50</v>
      </c>
      <c r="F3746" s="61">
        <v>44862</v>
      </c>
    </row>
    <row r="3747" spans="1:6">
      <c r="A3747">
        <v>3746</v>
      </c>
      <c r="B3747" t="s">
        <v>12471</v>
      </c>
      <c r="C3747">
        <v>250</v>
      </c>
      <c r="D3747">
        <v>750</v>
      </c>
      <c r="E3747">
        <v>50</v>
      </c>
      <c r="F3747" s="71">
        <v>44863</v>
      </c>
    </row>
    <row r="3748" spans="1:6">
      <c r="A3748">
        <v>3747</v>
      </c>
      <c r="B3748" t="s">
        <v>12474</v>
      </c>
      <c r="C3748">
        <v>1000</v>
      </c>
      <c r="D3748">
        <v>0</v>
      </c>
      <c r="E3748">
        <v>50</v>
      </c>
      <c r="F3748" s="61">
        <v>44872</v>
      </c>
    </row>
    <row r="3749" spans="1:6">
      <c r="A3749">
        <v>3748</v>
      </c>
      <c r="B3749" t="s">
        <v>12477</v>
      </c>
      <c r="C3749">
        <v>250</v>
      </c>
      <c r="D3749">
        <v>750</v>
      </c>
      <c r="E3749">
        <v>50</v>
      </c>
      <c r="F3749" s="73">
        <v>44929</v>
      </c>
    </row>
    <row r="3750" spans="1:6">
      <c r="A3750">
        <v>3749</v>
      </c>
      <c r="B3750" t="s">
        <v>12480</v>
      </c>
      <c r="C3750">
        <v>250</v>
      </c>
      <c r="D3750">
        <v>750</v>
      </c>
      <c r="E3750">
        <v>50</v>
      </c>
      <c r="F3750" s="60">
        <v>44862</v>
      </c>
    </row>
    <row r="3751" spans="1:6">
      <c r="A3751">
        <v>3750</v>
      </c>
      <c r="B3751" t="s">
        <v>12483</v>
      </c>
      <c r="C3751">
        <v>250</v>
      </c>
      <c r="D3751">
        <v>750</v>
      </c>
      <c r="E3751">
        <v>50</v>
      </c>
      <c r="F3751" s="61">
        <v>44847</v>
      </c>
    </row>
    <row r="3752" spans="1:6">
      <c r="A3752">
        <v>3751</v>
      </c>
      <c r="B3752" t="s">
        <v>12486</v>
      </c>
      <c r="C3752">
        <v>250</v>
      </c>
      <c r="D3752">
        <v>750</v>
      </c>
      <c r="E3752">
        <v>50</v>
      </c>
      <c r="F3752" s="60">
        <v>44897</v>
      </c>
    </row>
    <row r="3753" spans="1:6">
      <c r="A3753">
        <v>3752</v>
      </c>
      <c r="B3753" t="s">
        <v>12489</v>
      </c>
      <c r="C3753">
        <v>1000</v>
      </c>
      <c r="D3753">
        <v>0</v>
      </c>
      <c r="E3753">
        <v>50</v>
      </c>
      <c r="F3753" s="60">
        <v>45062</v>
      </c>
    </row>
    <row r="3754" spans="1:6">
      <c r="A3754">
        <v>3753</v>
      </c>
      <c r="B3754" t="s">
        <v>12492</v>
      </c>
      <c r="C3754">
        <v>250</v>
      </c>
      <c r="D3754">
        <v>750</v>
      </c>
      <c r="E3754">
        <v>50</v>
      </c>
      <c r="F3754" s="60">
        <v>44838</v>
      </c>
    </row>
    <row r="3755" spans="1:6">
      <c r="A3755">
        <v>3754</v>
      </c>
      <c r="B3755" t="s">
        <v>12495</v>
      </c>
      <c r="C3755">
        <v>1000</v>
      </c>
      <c r="D3755">
        <v>0</v>
      </c>
      <c r="E3755">
        <v>50</v>
      </c>
      <c r="F3755" s="75">
        <v>44870</v>
      </c>
    </row>
    <row r="3756" spans="1:6">
      <c r="A3756">
        <v>3755</v>
      </c>
      <c r="B3756" t="s">
        <v>12499</v>
      </c>
      <c r="C3756">
        <v>1000000</v>
      </c>
      <c r="D3756">
        <v>0</v>
      </c>
      <c r="E3756" t="s">
        <v>16642</v>
      </c>
      <c r="F3756" s="76">
        <v>44930</v>
      </c>
    </row>
    <row r="3757" ht="31.5" spans="1:6">
      <c r="A3757">
        <v>3756</v>
      </c>
      <c r="B3757" t="s">
        <v>12503</v>
      </c>
      <c r="C3757">
        <v>5000</v>
      </c>
      <c r="D3757">
        <v>0</v>
      </c>
      <c r="E3757">
        <v>250</v>
      </c>
      <c r="F3757" s="112" t="s">
        <v>16839</v>
      </c>
    </row>
    <row r="3758" spans="1:6">
      <c r="A3758">
        <v>3757</v>
      </c>
      <c r="B3758" t="s">
        <v>12507</v>
      </c>
      <c r="C3758">
        <v>100000</v>
      </c>
      <c r="D3758">
        <v>0</v>
      </c>
      <c r="E3758" t="s">
        <v>16642</v>
      </c>
      <c r="F3758" s="76">
        <v>45002</v>
      </c>
    </row>
    <row r="3759" spans="1:6">
      <c r="A3759">
        <v>3758</v>
      </c>
      <c r="B3759" t="s">
        <v>12511</v>
      </c>
      <c r="C3759">
        <v>250</v>
      </c>
      <c r="D3759">
        <v>750</v>
      </c>
      <c r="E3759">
        <v>50</v>
      </c>
      <c r="F3759" s="60">
        <v>44950</v>
      </c>
    </row>
    <row r="3760" spans="1:6">
      <c r="A3760">
        <v>3759</v>
      </c>
      <c r="B3760" t="s">
        <v>12515</v>
      </c>
      <c r="C3760">
        <v>250</v>
      </c>
      <c r="D3760">
        <v>750</v>
      </c>
      <c r="E3760">
        <v>50</v>
      </c>
      <c r="F3760" s="61">
        <v>44835</v>
      </c>
    </row>
    <row r="3761" spans="1:6">
      <c r="A3761">
        <v>3760</v>
      </c>
      <c r="B3761" t="s">
        <v>12518</v>
      </c>
      <c r="C3761">
        <v>250</v>
      </c>
      <c r="D3761">
        <v>750</v>
      </c>
      <c r="E3761">
        <v>50</v>
      </c>
      <c r="F3761" s="61">
        <v>44946</v>
      </c>
    </row>
    <row r="3762" spans="1:6">
      <c r="A3762">
        <v>3761</v>
      </c>
      <c r="B3762" t="s">
        <v>12521</v>
      </c>
      <c r="C3762">
        <v>250</v>
      </c>
      <c r="D3762">
        <v>750</v>
      </c>
      <c r="E3762">
        <v>50</v>
      </c>
      <c r="F3762" s="61">
        <v>44916</v>
      </c>
    </row>
    <row r="3763" spans="1:6">
      <c r="A3763">
        <v>3762</v>
      </c>
      <c r="B3763" t="s">
        <v>12525</v>
      </c>
      <c r="C3763">
        <v>48000</v>
      </c>
      <c r="D3763">
        <v>0</v>
      </c>
      <c r="E3763">
        <v>2400</v>
      </c>
      <c r="F3763" s="65">
        <v>44515</v>
      </c>
    </row>
    <row r="3764" spans="1:6">
      <c r="A3764">
        <v>3763</v>
      </c>
      <c r="B3764" t="s">
        <v>12530</v>
      </c>
      <c r="C3764">
        <v>250</v>
      </c>
      <c r="D3764">
        <v>750</v>
      </c>
      <c r="E3764">
        <v>50</v>
      </c>
      <c r="F3764" s="60">
        <v>44935</v>
      </c>
    </row>
    <row r="3765" ht="31.5" spans="1:6">
      <c r="A3765">
        <v>3764</v>
      </c>
      <c r="B3765" t="s">
        <v>12533</v>
      </c>
      <c r="C3765">
        <v>5000</v>
      </c>
      <c r="D3765">
        <v>0</v>
      </c>
      <c r="E3765">
        <v>250</v>
      </c>
      <c r="F3765" s="77" t="s">
        <v>16840</v>
      </c>
    </row>
    <row r="3766" spans="1:6">
      <c r="A3766">
        <v>3765</v>
      </c>
      <c r="B3766" t="s">
        <v>12536</v>
      </c>
      <c r="C3766">
        <v>250</v>
      </c>
      <c r="D3766">
        <v>750</v>
      </c>
      <c r="E3766">
        <v>50</v>
      </c>
      <c r="F3766" s="61">
        <v>44886</v>
      </c>
    </row>
    <row r="3767" spans="1:6">
      <c r="A3767">
        <v>3766</v>
      </c>
      <c r="B3767" t="s">
        <v>12539</v>
      </c>
      <c r="C3767">
        <v>250</v>
      </c>
      <c r="D3767">
        <v>750</v>
      </c>
      <c r="E3767">
        <v>50</v>
      </c>
      <c r="F3767" s="61">
        <v>44919</v>
      </c>
    </row>
    <row r="3768" spans="1:6">
      <c r="A3768">
        <v>3767</v>
      </c>
      <c r="B3768" t="s">
        <v>12542</v>
      </c>
      <c r="C3768">
        <v>250</v>
      </c>
      <c r="D3768">
        <v>750</v>
      </c>
      <c r="E3768">
        <v>50</v>
      </c>
      <c r="F3768" s="73">
        <v>44925</v>
      </c>
    </row>
    <row r="3769" spans="1:6">
      <c r="A3769">
        <v>3768</v>
      </c>
      <c r="B3769" t="s">
        <v>12546</v>
      </c>
      <c r="C3769">
        <v>250</v>
      </c>
      <c r="D3769">
        <v>750</v>
      </c>
      <c r="E3769">
        <v>50</v>
      </c>
      <c r="F3769" s="73">
        <v>45001</v>
      </c>
    </row>
    <row r="3770" spans="1:6">
      <c r="A3770">
        <v>3769</v>
      </c>
      <c r="B3770" t="s">
        <v>12549</v>
      </c>
      <c r="C3770">
        <v>250</v>
      </c>
      <c r="D3770">
        <v>750</v>
      </c>
      <c r="E3770">
        <v>50</v>
      </c>
      <c r="F3770" s="73">
        <v>44988</v>
      </c>
    </row>
    <row r="3771" spans="1:6">
      <c r="A3771">
        <v>3770</v>
      </c>
      <c r="B3771" t="s">
        <v>12552</v>
      </c>
      <c r="C3771">
        <v>250</v>
      </c>
      <c r="D3771">
        <v>750</v>
      </c>
      <c r="E3771">
        <v>50</v>
      </c>
      <c r="F3771" s="60">
        <v>44923</v>
      </c>
    </row>
    <row r="3772" spans="1:6">
      <c r="A3772">
        <v>3771</v>
      </c>
      <c r="B3772" t="s">
        <v>12555</v>
      </c>
      <c r="C3772">
        <v>250</v>
      </c>
      <c r="D3772">
        <v>750</v>
      </c>
      <c r="E3772">
        <v>50</v>
      </c>
      <c r="F3772" s="73">
        <v>45005</v>
      </c>
    </row>
    <row r="3773" spans="1:6">
      <c r="A3773">
        <v>3772</v>
      </c>
      <c r="B3773" t="s">
        <v>12558</v>
      </c>
      <c r="C3773">
        <v>10000</v>
      </c>
      <c r="D3773">
        <v>0</v>
      </c>
      <c r="E3773">
        <v>500</v>
      </c>
      <c r="F3773" s="77">
        <v>44747</v>
      </c>
    </row>
    <row r="3774" spans="1:6">
      <c r="A3774">
        <v>3773</v>
      </c>
      <c r="B3774" t="s">
        <v>12561</v>
      </c>
      <c r="C3774">
        <v>2000</v>
      </c>
      <c r="D3774">
        <v>0</v>
      </c>
      <c r="E3774">
        <v>100</v>
      </c>
      <c r="F3774" s="64" t="s">
        <v>16707</v>
      </c>
    </row>
    <row r="3775" spans="1:6">
      <c r="A3775">
        <v>3774</v>
      </c>
      <c r="B3775" t="s">
        <v>12565</v>
      </c>
      <c r="C3775">
        <v>1000</v>
      </c>
      <c r="D3775">
        <v>0</v>
      </c>
      <c r="E3775">
        <v>50</v>
      </c>
      <c r="F3775" s="65">
        <v>44664</v>
      </c>
    </row>
    <row r="3776" spans="1:6">
      <c r="A3776">
        <v>3775</v>
      </c>
      <c r="B3776" t="s">
        <v>12569</v>
      </c>
      <c r="C3776">
        <v>25000</v>
      </c>
      <c r="D3776">
        <v>75000</v>
      </c>
      <c r="E3776">
        <v>5000</v>
      </c>
      <c r="F3776" s="77">
        <v>44876</v>
      </c>
    </row>
    <row r="3777" spans="1:6">
      <c r="A3777">
        <v>3776</v>
      </c>
      <c r="B3777" t="s">
        <v>12572</v>
      </c>
      <c r="C3777">
        <v>250</v>
      </c>
      <c r="D3777">
        <v>750</v>
      </c>
      <c r="E3777">
        <v>50</v>
      </c>
      <c r="F3777" s="61">
        <v>44931</v>
      </c>
    </row>
    <row r="3778" spans="1:6">
      <c r="A3778">
        <v>3777</v>
      </c>
      <c r="B3778" t="s">
        <v>12575</v>
      </c>
      <c r="C3778">
        <v>200000</v>
      </c>
      <c r="D3778">
        <v>0</v>
      </c>
      <c r="E3778" t="s">
        <v>16642</v>
      </c>
      <c r="F3778" s="100"/>
    </row>
    <row r="3779" spans="1:6">
      <c r="A3779">
        <v>3778</v>
      </c>
      <c r="B3779" t="s">
        <v>12580</v>
      </c>
      <c r="C3779">
        <v>250</v>
      </c>
      <c r="D3779">
        <v>750</v>
      </c>
      <c r="E3779">
        <v>50</v>
      </c>
      <c r="F3779" s="73">
        <v>44993</v>
      </c>
    </row>
    <row r="3780" spans="1:6">
      <c r="A3780">
        <v>3779</v>
      </c>
      <c r="B3780" t="s">
        <v>12583</v>
      </c>
      <c r="C3780">
        <v>500</v>
      </c>
      <c r="D3780">
        <v>500</v>
      </c>
      <c r="E3780">
        <v>50</v>
      </c>
      <c r="F3780" s="60">
        <v>44855</v>
      </c>
    </row>
    <row r="3781" spans="1:6">
      <c r="A3781">
        <v>3780</v>
      </c>
      <c r="B3781" t="s">
        <v>12587</v>
      </c>
      <c r="C3781">
        <v>100000</v>
      </c>
      <c r="D3781">
        <v>0</v>
      </c>
      <c r="E3781" t="s">
        <v>16642</v>
      </c>
      <c r="F3781" s="100"/>
    </row>
    <row r="3782" spans="1:6">
      <c r="A3782">
        <v>3781</v>
      </c>
      <c r="B3782" t="s">
        <v>12592</v>
      </c>
      <c r="C3782">
        <v>10000</v>
      </c>
      <c r="D3782">
        <v>0</v>
      </c>
      <c r="E3782">
        <v>500</v>
      </c>
      <c r="F3782" s="64" t="s">
        <v>16841</v>
      </c>
    </row>
    <row r="3783" spans="1:6">
      <c r="A3783">
        <v>3782</v>
      </c>
      <c r="B3783" t="s">
        <v>12596</v>
      </c>
      <c r="C3783">
        <v>10000</v>
      </c>
      <c r="D3783">
        <v>0</v>
      </c>
      <c r="E3783">
        <v>500</v>
      </c>
      <c r="F3783" s="64" t="s">
        <v>16841</v>
      </c>
    </row>
    <row r="3784" spans="1:6">
      <c r="A3784">
        <v>3783</v>
      </c>
      <c r="B3784" t="s">
        <v>12600</v>
      </c>
      <c r="C3784">
        <v>250</v>
      </c>
      <c r="D3784">
        <v>750</v>
      </c>
      <c r="E3784">
        <v>50</v>
      </c>
      <c r="F3784" s="73">
        <v>45001</v>
      </c>
    </row>
    <row r="3785" spans="1:6">
      <c r="A3785">
        <v>3784</v>
      </c>
      <c r="B3785" t="s">
        <v>12604</v>
      </c>
      <c r="C3785">
        <v>1000</v>
      </c>
      <c r="D3785">
        <v>0</v>
      </c>
      <c r="E3785">
        <v>50</v>
      </c>
      <c r="F3785" s="72">
        <v>44887</v>
      </c>
    </row>
    <row r="3786" spans="1:6">
      <c r="A3786">
        <v>3785</v>
      </c>
      <c r="B3786" t="s">
        <v>12607</v>
      </c>
      <c r="C3786">
        <v>250</v>
      </c>
      <c r="D3786">
        <v>750</v>
      </c>
      <c r="E3786">
        <v>50</v>
      </c>
      <c r="F3786" s="61">
        <v>44845</v>
      </c>
    </row>
    <row r="3787" spans="1:6">
      <c r="A3787">
        <v>3786</v>
      </c>
      <c r="B3787" t="s">
        <v>12611</v>
      </c>
      <c r="C3787">
        <v>100000</v>
      </c>
      <c r="D3787">
        <v>0</v>
      </c>
      <c r="E3787" t="s">
        <v>16642</v>
      </c>
      <c r="F3787" s="66"/>
    </row>
    <row r="3788" spans="1:6">
      <c r="A3788">
        <v>3787</v>
      </c>
      <c r="B3788" t="s">
        <v>12615</v>
      </c>
      <c r="C3788">
        <v>1000</v>
      </c>
      <c r="D3788">
        <v>0</v>
      </c>
      <c r="E3788">
        <v>50</v>
      </c>
      <c r="F3788" s="64" t="s">
        <v>16677</v>
      </c>
    </row>
    <row r="3789" spans="1:6">
      <c r="A3789">
        <v>3788</v>
      </c>
      <c r="B3789" t="s">
        <v>12619</v>
      </c>
      <c r="C3789">
        <v>100000</v>
      </c>
      <c r="D3789">
        <v>0</v>
      </c>
      <c r="E3789" t="s">
        <v>16642</v>
      </c>
      <c r="F3789" s="84"/>
    </row>
    <row r="3790" spans="1:6">
      <c r="A3790">
        <v>3789</v>
      </c>
      <c r="B3790" t="s">
        <v>12619</v>
      </c>
      <c r="C3790">
        <v>200000</v>
      </c>
      <c r="D3790">
        <v>0</v>
      </c>
      <c r="E3790">
        <v>10000</v>
      </c>
      <c r="F3790" s="83">
        <v>44516</v>
      </c>
    </row>
    <row r="3791" spans="1:6">
      <c r="A3791">
        <v>3790</v>
      </c>
      <c r="B3791" t="s">
        <v>12619</v>
      </c>
      <c r="C3791">
        <v>100000</v>
      </c>
      <c r="D3791">
        <v>0</v>
      </c>
      <c r="E3791" t="s">
        <v>16642</v>
      </c>
      <c r="F3791" s="85"/>
    </row>
    <row r="3792" spans="1:6">
      <c r="A3792">
        <v>3791</v>
      </c>
      <c r="B3792" t="s">
        <v>12624</v>
      </c>
      <c r="C3792">
        <v>10000</v>
      </c>
      <c r="D3792">
        <v>0</v>
      </c>
      <c r="E3792">
        <v>500</v>
      </c>
      <c r="F3792" s="64" t="s">
        <v>16641</v>
      </c>
    </row>
    <row r="3793" spans="1:6">
      <c r="A3793">
        <v>3792</v>
      </c>
      <c r="B3793" t="s">
        <v>12628</v>
      </c>
      <c r="C3793">
        <v>12500</v>
      </c>
      <c r="D3793">
        <v>37500</v>
      </c>
      <c r="E3793">
        <v>2500</v>
      </c>
      <c r="F3793" s="64" t="s">
        <v>16842</v>
      </c>
    </row>
    <row r="3794" spans="1:6">
      <c r="A3794">
        <v>3793</v>
      </c>
      <c r="B3794" t="s">
        <v>12632</v>
      </c>
      <c r="C3794">
        <v>10000</v>
      </c>
      <c r="D3794">
        <v>0</v>
      </c>
      <c r="E3794">
        <v>500</v>
      </c>
      <c r="F3794" s="79">
        <v>44958</v>
      </c>
    </row>
    <row r="3795" spans="1:6">
      <c r="A3795">
        <v>3794</v>
      </c>
      <c r="B3795" t="s">
        <v>12635</v>
      </c>
      <c r="C3795">
        <v>2500</v>
      </c>
      <c r="D3795">
        <v>7500</v>
      </c>
      <c r="E3795">
        <v>500</v>
      </c>
      <c r="F3795" s="65">
        <v>44427</v>
      </c>
    </row>
    <row r="3796" spans="1:6">
      <c r="A3796">
        <v>3795</v>
      </c>
      <c r="B3796" t="s">
        <v>12639</v>
      </c>
      <c r="C3796">
        <v>750</v>
      </c>
      <c r="D3796">
        <v>250</v>
      </c>
      <c r="E3796">
        <v>50</v>
      </c>
      <c r="F3796" s="69">
        <v>44936</v>
      </c>
    </row>
    <row r="3797" spans="1:6">
      <c r="A3797">
        <v>3796</v>
      </c>
      <c r="B3797" t="s">
        <v>12642</v>
      </c>
      <c r="C3797">
        <v>250</v>
      </c>
      <c r="D3797">
        <v>750</v>
      </c>
      <c r="E3797">
        <v>50</v>
      </c>
      <c r="F3797" s="73">
        <v>45090</v>
      </c>
    </row>
    <row r="3798" spans="1:6">
      <c r="A3798">
        <v>3797</v>
      </c>
      <c r="B3798" t="s">
        <v>12646</v>
      </c>
      <c r="C3798">
        <v>100000</v>
      </c>
      <c r="D3798">
        <v>0</v>
      </c>
      <c r="E3798" t="s">
        <v>16642</v>
      </c>
      <c r="F3798" s="96">
        <v>45055</v>
      </c>
    </row>
    <row r="3799" spans="1:6">
      <c r="A3799">
        <v>3798</v>
      </c>
      <c r="B3799" t="s">
        <v>12646</v>
      </c>
      <c r="C3799">
        <v>100000</v>
      </c>
      <c r="D3799">
        <v>0</v>
      </c>
      <c r="E3799" t="s">
        <v>16642</v>
      </c>
      <c r="F3799" s="85"/>
    </row>
    <row r="3800" spans="1:6">
      <c r="A3800">
        <v>3799</v>
      </c>
      <c r="B3800" t="s">
        <v>12651</v>
      </c>
      <c r="C3800">
        <v>1000</v>
      </c>
      <c r="D3800">
        <v>0</v>
      </c>
      <c r="E3800">
        <v>50</v>
      </c>
      <c r="F3800" s="69">
        <v>44888</v>
      </c>
    </row>
    <row r="3801" spans="1:6">
      <c r="A3801">
        <v>3800</v>
      </c>
      <c r="B3801" t="s">
        <v>12655</v>
      </c>
      <c r="C3801">
        <v>10000</v>
      </c>
      <c r="D3801">
        <v>0</v>
      </c>
      <c r="E3801">
        <v>500</v>
      </c>
      <c r="F3801" s="67">
        <v>44540</v>
      </c>
    </row>
    <row r="3802" spans="1:6">
      <c r="A3802">
        <v>3801</v>
      </c>
      <c r="B3802" t="s">
        <v>12658</v>
      </c>
      <c r="C3802">
        <v>250</v>
      </c>
      <c r="D3802">
        <v>750</v>
      </c>
      <c r="E3802">
        <v>50</v>
      </c>
      <c r="F3802" s="61">
        <v>44872</v>
      </c>
    </row>
    <row r="3803" spans="1:6">
      <c r="A3803">
        <v>3802</v>
      </c>
      <c r="B3803" t="s">
        <v>12662</v>
      </c>
      <c r="C3803">
        <v>250</v>
      </c>
      <c r="D3803">
        <v>750</v>
      </c>
      <c r="E3803">
        <v>50</v>
      </c>
      <c r="F3803" s="72">
        <v>44881</v>
      </c>
    </row>
    <row r="3804" spans="1:6">
      <c r="A3804">
        <v>3803</v>
      </c>
      <c r="B3804" t="s">
        <v>12666</v>
      </c>
      <c r="C3804">
        <v>250</v>
      </c>
      <c r="D3804">
        <v>750</v>
      </c>
      <c r="E3804">
        <v>50</v>
      </c>
      <c r="F3804" s="61">
        <v>44873</v>
      </c>
    </row>
    <row r="3805" spans="1:6">
      <c r="A3805">
        <v>3804</v>
      </c>
      <c r="B3805" t="s">
        <v>12669</v>
      </c>
      <c r="C3805">
        <v>50000</v>
      </c>
      <c r="D3805">
        <v>0</v>
      </c>
      <c r="E3805">
        <v>2500</v>
      </c>
      <c r="F3805" s="64" t="s">
        <v>16686</v>
      </c>
    </row>
    <row r="3806" spans="1:6">
      <c r="A3806">
        <v>3805</v>
      </c>
      <c r="B3806" t="s">
        <v>12673</v>
      </c>
      <c r="C3806">
        <v>16250</v>
      </c>
      <c r="D3806">
        <v>13750</v>
      </c>
      <c r="E3806">
        <v>250</v>
      </c>
      <c r="F3806" s="77">
        <v>44790</v>
      </c>
    </row>
    <row r="3807" spans="1:6">
      <c r="A3807">
        <v>3806</v>
      </c>
      <c r="B3807" t="s">
        <v>12676</v>
      </c>
      <c r="C3807">
        <v>250</v>
      </c>
      <c r="D3807">
        <v>750</v>
      </c>
      <c r="E3807">
        <v>50</v>
      </c>
      <c r="F3807" s="77">
        <v>44915</v>
      </c>
    </row>
    <row r="3808" spans="1:6">
      <c r="A3808">
        <v>3807</v>
      </c>
      <c r="B3808" t="s">
        <v>12679</v>
      </c>
      <c r="C3808">
        <v>5000</v>
      </c>
      <c r="D3808">
        <v>0</v>
      </c>
      <c r="E3808">
        <v>250</v>
      </c>
      <c r="F3808" s="64" t="s">
        <v>16686</v>
      </c>
    </row>
    <row r="3809" spans="1:6">
      <c r="A3809">
        <v>3808</v>
      </c>
      <c r="B3809" t="s">
        <v>12683</v>
      </c>
      <c r="C3809">
        <v>1000</v>
      </c>
      <c r="D3809">
        <v>0</v>
      </c>
      <c r="E3809">
        <v>50</v>
      </c>
      <c r="F3809" s="101">
        <v>44756</v>
      </c>
    </row>
    <row r="3810" spans="1:6">
      <c r="A3810">
        <v>3809</v>
      </c>
      <c r="B3810" t="s">
        <v>12687</v>
      </c>
      <c r="C3810">
        <v>1000</v>
      </c>
      <c r="D3810">
        <v>0</v>
      </c>
      <c r="E3810">
        <v>50</v>
      </c>
      <c r="F3810" s="101">
        <v>44756</v>
      </c>
    </row>
    <row r="3811" spans="1:6">
      <c r="A3811">
        <v>3810</v>
      </c>
      <c r="B3811" t="s">
        <v>12691</v>
      </c>
      <c r="C3811">
        <v>10000</v>
      </c>
      <c r="D3811">
        <v>0</v>
      </c>
      <c r="E3811">
        <v>500</v>
      </c>
      <c r="F3811" s="77">
        <v>44869</v>
      </c>
    </row>
    <row r="3812" spans="1:6">
      <c r="A3812">
        <v>3811</v>
      </c>
      <c r="B3812" t="s">
        <v>12694</v>
      </c>
      <c r="C3812">
        <v>2500</v>
      </c>
      <c r="D3812">
        <v>7500</v>
      </c>
      <c r="E3812">
        <v>500</v>
      </c>
      <c r="F3812" s="64" t="s">
        <v>16694</v>
      </c>
    </row>
    <row r="3813" spans="1:6">
      <c r="A3813">
        <v>3812</v>
      </c>
      <c r="B3813" t="s">
        <v>12698</v>
      </c>
      <c r="C3813">
        <v>1250</v>
      </c>
      <c r="D3813">
        <v>3750</v>
      </c>
      <c r="E3813">
        <v>250</v>
      </c>
      <c r="F3813" s="95">
        <v>44767</v>
      </c>
    </row>
    <row r="3814" spans="1:6">
      <c r="A3814">
        <v>3813</v>
      </c>
      <c r="B3814" t="s">
        <v>12701</v>
      </c>
      <c r="C3814">
        <v>250</v>
      </c>
      <c r="D3814">
        <v>750</v>
      </c>
      <c r="E3814">
        <v>50</v>
      </c>
      <c r="F3814" s="69">
        <v>44926</v>
      </c>
    </row>
    <row r="3815" spans="1:6">
      <c r="A3815">
        <v>3814</v>
      </c>
      <c r="B3815" t="s">
        <v>12705</v>
      </c>
      <c r="C3815">
        <v>100000</v>
      </c>
      <c r="D3815">
        <v>0</v>
      </c>
      <c r="E3815" t="s">
        <v>16642</v>
      </c>
      <c r="F3815" s="66"/>
    </row>
    <row r="3816" spans="1:6">
      <c r="A3816">
        <v>3815</v>
      </c>
      <c r="B3816" t="s">
        <v>12710</v>
      </c>
      <c r="C3816">
        <v>250</v>
      </c>
      <c r="D3816">
        <v>750</v>
      </c>
      <c r="E3816">
        <v>50</v>
      </c>
      <c r="F3816" s="77">
        <v>44895</v>
      </c>
    </row>
    <row r="3817" spans="1:6">
      <c r="A3817">
        <v>3816</v>
      </c>
      <c r="B3817" t="s">
        <v>12713</v>
      </c>
      <c r="C3817">
        <v>250</v>
      </c>
      <c r="D3817">
        <v>750</v>
      </c>
      <c r="E3817">
        <v>50</v>
      </c>
      <c r="F3817" s="60">
        <v>44836</v>
      </c>
    </row>
    <row r="3818" spans="1:6">
      <c r="A3818">
        <v>3817</v>
      </c>
      <c r="B3818" t="s">
        <v>12716</v>
      </c>
      <c r="C3818">
        <v>200000</v>
      </c>
      <c r="D3818">
        <v>0</v>
      </c>
      <c r="E3818" t="s">
        <v>16642</v>
      </c>
      <c r="F3818" s="76">
        <v>44909</v>
      </c>
    </row>
    <row r="3819" spans="1:6">
      <c r="A3819">
        <v>3818</v>
      </c>
      <c r="B3819" t="s">
        <v>12721</v>
      </c>
      <c r="C3819">
        <v>1000</v>
      </c>
      <c r="D3819">
        <v>0</v>
      </c>
      <c r="E3819">
        <v>50</v>
      </c>
      <c r="F3819" s="64" t="s">
        <v>16843</v>
      </c>
    </row>
    <row r="3820" spans="1:6">
      <c r="A3820">
        <v>3819</v>
      </c>
      <c r="B3820" t="s">
        <v>12726</v>
      </c>
      <c r="C3820">
        <v>200000</v>
      </c>
      <c r="D3820">
        <v>0</v>
      </c>
      <c r="E3820" t="s">
        <v>16642</v>
      </c>
      <c r="F3820" s="66"/>
    </row>
    <row r="3821" spans="1:6">
      <c r="A3821">
        <v>3820</v>
      </c>
      <c r="B3821" t="s">
        <v>12731</v>
      </c>
      <c r="C3821">
        <v>5000</v>
      </c>
      <c r="D3821">
        <v>15000</v>
      </c>
      <c r="E3821">
        <v>1000</v>
      </c>
      <c r="F3821" s="77">
        <v>44803</v>
      </c>
    </row>
    <row r="3822" spans="1:6">
      <c r="A3822">
        <v>3821</v>
      </c>
      <c r="B3822" t="s">
        <v>12734</v>
      </c>
      <c r="C3822">
        <v>5000</v>
      </c>
      <c r="D3822">
        <v>15000</v>
      </c>
      <c r="E3822">
        <v>1000</v>
      </c>
      <c r="F3822" s="77">
        <v>44803</v>
      </c>
    </row>
    <row r="3823" spans="1:6">
      <c r="A3823">
        <v>3822</v>
      </c>
      <c r="B3823" t="s">
        <v>12737</v>
      </c>
      <c r="C3823">
        <v>200000</v>
      </c>
      <c r="D3823">
        <v>0</v>
      </c>
      <c r="E3823" t="s">
        <v>16642</v>
      </c>
      <c r="F3823" s="66"/>
    </row>
    <row r="3824" spans="1:6">
      <c r="A3824">
        <v>3823</v>
      </c>
      <c r="B3824" t="s">
        <v>12742</v>
      </c>
      <c r="C3824">
        <v>10000</v>
      </c>
      <c r="D3824">
        <v>0</v>
      </c>
      <c r="E3824">
        <v>500</v>
      </c>
      <c r="F3824" s="64" t="s">
        <v>16679</v>
      </c>
    </row>
    <row r="3825" spans="1:6">
      <c r="A3825">
        <v>3824</v>
      </c>
      <c r="B3825" t="s">
        <v>12746</v>
      </c>
      <c r="C3825">
        <v>2500</v>
      </c>
      <c r="D3825">
        <v>7500</v>
      </c>
      <c r="E3825">
        <v>500</v>
      </c>
      <c r="F3825" s="65">
        <v>44601</v>
      </c>
    </row>
    <row r="3826" ht="15" spans="1:6">
      <c r="A3826">
        <v>3825</v>
      </c>
      <c r="B3826" t="s">
        <v>12750</v>
      </c>
      <c r="C3826">
        <v>1500000</v>
      </c>
      <c r="D3826">
        <v>0</v>
      </c>
      <c r="E3826" t="s">
        <v>16642</v>
      </c>
      <c r="F3826" s="88">
        <f>IFERROR(__xludf.DUMMYFUNCTION("""COMPUTED_VALUE"""),45082)</f>
        <v>45082</v>
      </c>
    </row>
    <row r="3827" ht="15" spans="1:6">
      <c r="A3827">
        <v>3826</v>
      </c>
      <c r="B3827" t="s">
        <v>12751</v>
      </c>
      <c r="C3827">
        <v>1000000</v>
      </c>
      <c r="D3827">
        <v>500000</v>
      </c>
      <c r="E3827" t="s">
        <v>16642</v>
      </c>
      <c r="F3827" s="98">
        <f>IFERROR(__xludf.DUMMYFUNCTION("""COMPUTED_VALUE"""),45082)</f>
        <v>45082</v>
      </c>
    </row>
    <row r="3828" ht="15" spans="1:6">
      <c r="A3828">
        <v>3827</v>
      </c>
      <c r="B3828" t="s">
        <v>12751</v>
      </c>
      <c r="C3828">
        <v>1000000</v>
      </c>
      <c r="D3828">
        <v>500000</v>
      </c>
      <c r="E3828" t="s">
        <v>16642</v>
      </c>
      <c r="F3828" s="98">
        <f>IFERROR(__xludf.DUMMYFUNCTION("""COMPUTED_VALUE"""),45082)</f>
        <v>45082</v>
      </c>
    </row>
    <row r="3829" spans="1:6">
      <c r="A3829">
        <v>3828</v>
      </c>
      <c r="B3829" t="s">
        <v>12752</v>
      </c>
      <c r="C3829">
        <v>50000</v>
      </c>
      <c r="D3829">
        <v>0</v>
      </c>
      <c r="F3829" s="65"/>
    </row>
    <row r="3830" spans="1:6">
      <c r="A3830">
        <v>3829</v>
      </c>
      <c r="B3830" t="s">
        <v>12756</v>
      </c>
      <c r="C3830">
        <v>2500</v>
      </c>
      <c r="D3830">
        <v>0</v>
      </c>
      <c r="E3830">
        <v>125</v>
      </c>
      <c r="F3830" s="65">
        <v>44699</v>
      </c>
    </row>
    <row r="3831" spans="1:6">
      <c r="A3831">
        <v>3830</v>
      </c>
      <c r="B3831" t="s">
        <v>12759</v>
      </c>
      <c r="C3831">
        <v>4000</v>
      </c>
      <c r="D3831">
        <v>0</v>
      </c>
      <c r="E3831">
        <v>100</v>
      </c>
      <c r="F3831" s="64" t="s">
        <v>16715</v>
      </c>
    </row>
    <row r="3832" spans="1:6">
      <c r="A3832">
        <v>3831</v>
      </c>
      <c r="B3832" t="s">
        <v>12764</v>
      </c>
      <c r="C3832">
        <v>250</v>
      </c>
      <c r="D3832">
        <v>750</v>
      </c>
      <c r="E3832">
        <v>50</v>
      </c>
      <c r="F3832" s="71">
        <v>44875</v>
      </c>
    </row>
    <row r="3833" spans="1:6">
      <c r="A3833">
        <v>3832</v>
      </c>
      <c r="B3833" t="s">
        <v>12767</v>
      </c>
      <c r="C3833">
        <v>250</v>
      </c>
      <c r="D3833">
        <v>750</v>
      </c>
      <c r="E3833">
        <v>50</v>
      </c>
      <c r="F3833" s="72">
        <v>44872</v>
      </c>
    </row>
    <row r="3834" spans="1:6">
      <c r="A3834">
        <v>3833</v>
      </c>
      <c r="B3834" t="s">
        <v>12770</v>
      </c>
      <c r="C3834">
        <v>250</v>
      </c>
      <c r="D3834">
        <v>750</v>
      </c>
      <c r="E3834">
        <v>50</v>
      </c>
      <c r="F3834" s="69">
        <v>44980</v>
      </c>
    </row>
    <row r="3835" spans="1:6">
      <c r="A3835">
        <v>3834</v>
      </c>
      <c r="B3835" t="s">
        <v>12774</v>
      </c>
      <c r="C3835">
        <v>250</v>
      </c>
      <c r="D3835">
        <v>750</v>
      </c>
      <c r="E3835">
        <v>50</v>
      </c>
      <c r="F3835" s="60">
        <v>44858</v>
      </c>
    </row>
    <row r="3836" spans="1:6">
      <c r="A3836">
        <v>3835</v>
      </c>
      <c r="B3836" t="s">
        <v>12777</v>
      </c>
      <c r="C3836">
        <v>250</v>
      </c>
      <c r="D3836">
        <v>750</v>
      </c>
      <c r="E3836">
        <v>50</v>
      </c>
      <c r="F3836" s="61">
        <v>44870</v>
      </c>
    </row>
    <row r="3837" spans="1:6">
      <c r="A3837">
        <v>3836</v>
      </c>
      <c r="B3837" t="s">
        <v>12781</v>
      </c>
      <c r="C3837">
        <v>25000</v>
      </c>
      <c r="D3837">
        <v>25000</v>
      </c>
      <c r="E3837">
        <v>2500</v>
      </c>
      <c r="F3837" s="77">
        <v>44887</v>
      </c>
    </row>
    <row r="3838" spans="1:6">
      <c r="A3838">
        <v>3837</v>
      </c>
      <c r="B3838" t="s">
        <v>12784</v>
      </c>
      <c r="C3838">
        <v>100000</v>
      </c>
      <c r="D3838">
        <v>0</v>
      </c>
      <c r="E3838" t="s">
        <v>16642</v>
      </c>
      <c r="F3838" s="76">
        <v>44873</v>
      </c>
    </row>
    <row r="3839" spans="1:6">
      <c r="A3839">
        <v>3838</v>
      </c>
      <c r="B3839" t="s">
        <v>12789</v>
      </c>
      <c r="C3839">
        <v>250</v>
      </c>
      <c r="D3839">
        <v>750</v>
      </c>
      <c r="E3839">
        <v>50</v>
      </c>
      <c r="F3839" s="60">
        <v>44875</v>
      </c>
    </row>
    <row r="3840" spans="1:6">
      <c r="A3840">
        <v>3839</v>
      </c>
      <c r="B3840" t="s">
        <v>12792</v>
      </c>
      <c r="C3840">
        <v>1000</v>
      </c>
      <c r="D3840">
        <v>0</v>
      </c>
      <c r="E3840">
        <v>50</v>
      </c>
      <c r="F3840" s="69">
        <v>44970</v>
      </c>
    </row>
    <row r="3841" spans="1:6">
      <c r="A3841">
        <v>3840</v>
      </c>
      <c r="B3841" t="s">
        <v>12796</v>
      </c>
      <c r="C3841">
        <v>250</v>
      </c>
      <c r="D3841">
        <v>750</v>
      </c>
      <c r="E3841">
        <v>50</v>
      </c>
      <c r="F3841" s="60">
        <v>44853</v>
      </c>
    </row>
    <row r="3842" spans="1:6">
      <c r="A3842">
        <v>3841</v>
      </c>
      <c r="B3842" t="s">
        <v>12799</v>
      </c>
      <c r="C3842">
        <v>1000</v>
      </c>
      <c r="D3842">
        <v>0</v>
      </c>
      <c r="E3842">
        <v>50</v>
      </c>
      <c r="F3842" s="61">
        <v>44930</v>
      </c>
    </row>
    <row r="3843" spans="1:6">
      <c r="A3843">
        <v>3842</v>
      </c>
      <c r="B3843" t="s">
        <v>12803</v>
      </c>
      <c r="C3843">
        <v>250</v>
      </c>
      <c r="D3843">
        <v>750</v>
      </c>
      <c r="E3843">
        <v>50</v>
      </c>
      <c r="F3843" s="60">
        <v>44897</v>
      </c>
    </row>
    <row r="3844" spans="1:6">
      <c r="A3844">
        <v>3843</v>
      </c>
      <c r="B3844" t="s">
        <v>12807</v>
      </c>
      <c r="C3844">
        <v>12500</v>
      </c>
      <c r="D3844">
        <v>37500</v>
      </c>
      <c r="E3844">
        <v>2500</v>
      </c>
      <c r="F3844" s="77">
        <v>44882</v>
      </c>
    </row>
    <row r="3845" spans="1:6">
      <c r="A3845">
        <v>3844</v>
      </c>
      <c r="B3845" t="s">
        <v>12810</v>
      </c>
      <c r="C3845">
        <v>1000</v>
      </c>
      <c r="D3845">
        <v>0</v>
      </c>
      <c r="E3845">
        <v>50</v>
      </c>
      <c r="F3845" s="69">
        <v>44977</v>
      </c>
    </row>
    <row r="3846" spans="1:6">
      <c r="A3846">
        <v>3845</v>
      </c>
      <c r="B3846" t="s">
        <v>12814</v>
      </c>
      <c r="C3846">
        <v>250</v>
      </c>
      <c r="D3846">
        <v>750</v>
      </c>
      <c r="E3846">
        <v>50</v>
      </c>
      <c r="F3846" s="73">
        <v>45013</v>
      </c>
    </row>
    <row r="3847" spans="1:6">
      <c r="A3847">
        <v>3846</v>
      </c>
      <c r="B3847" t="s">
        <v>12817</v>
      </c>
      <c r="C3847">
        <v>250</v>
      </c>
      <c r="D3847">
        <v>750</v>
      </c>
      <c r="E3847">
        <v>50</v>
      </c>
      <c r="F3847" s="61">
        <v>44840</v>
      </c>
    </row>
    <row r="3848" spans="1:6">
      <c r="A3848">
        <v>3847</v>
      </c>
      <c r="B3848" t="s">
        <v>12821</v>
      </c>
      <c r="C3848">
        <v>250</v>
      </c>
      <c r="D3848">
        <v>750</v>
      </c>
      <c r="E3848">
        <v>50</v>
      </c>
      <c r="F3848" s="75">
        <v>44925</v>
      </c>
    </row>
    <row r="3849" spans="1:6">
      <c r="A3849">
        <v>3848</v>
      </c>
      <c r="B3849" t="s">
        <v>12824</v>
      </c>
      <c r="C3849">
        <v>1000</v>
      </c>
      <c r="D3849">
        <v>0</v>
      </c>
      <c r="E3849">
        <v>50</v>
      </c>
      <c r="F3849" s="101">
        <v>44771</v>
      </c>
    </row>
    <row r="3850" spans="1:6">
      <c r="A3850">
        <v>3849</v>
      </c>
      <c r="B3850" t="s">
        <v>12827</v>
      </c>
      <c r="C3850">
        <v>10000</v>
      </c>
      <c r="D3850">
        <v>10000</v>
      </c>
      <c r="E3850">
        <v>1000</v>
      </c>
      <c r="F3850" s="77">
        <v>44789</v>
      </c>
    </row>
    <row r="3851" spans="1:6">
      <c r="A3851">
        <v>3850</v>
      </c>
      <c r="B3851" t="s">
        <v>12830</v>
      </c>
      <c r="C3851">
        <v>250</v>
      </c>
      <c r="D3851">
        <v>750</v>
      </c>
      <c r="E3851">
        <v>50</v>
      </c>
      <c r="F3851" s="71">
        <v>44907</v>
      </c>
    </row>
    <row r="3852" spans="1:6">
      <c r="A3852">
        <v>3851</v>
      </c>
      <c r="B3852" t="s">
        <v>12833</v>
      </c>
      <c r="C3852">
        <v>250</v>
      </c>
      <c r="D3852">
        <v>750</v>
      </c>
      <c r="E3852">
        <v>50</v>
      </c>
      <c r="F3852" s="69">
        <v>45024</v>
      </c>
    </row>
    <row r="3853" spans="1:6">
      <c r="A3853">
        <v>3852</v>
      </c>
      <c r="B3853" t="s">
        <v>12836</v>
      </c>
      <c r="C3853">
        <v>250</v>
      </c>
      <c r="D3853">
        <v>750</v>
      </c>
      <c r="E3853">
        <v>50</v>
      </c>
      <c r="F3853" s="60">
        <v>45212</v>
      </c>
    </row>
    <row r="3854" spans="1:6">
      <c r="A3854">
        <v>3853</v>
      </c>
      <c r="B3854" t="s">
        <v>12839</v>
      </c>
      <c r="C3854">
        <v>250</v>
      </c>
      <c r="D3854">
        <v>750</v>
      </c>
      <c r="E3854">
        <v>50</v>
      </c>
      <c r="F3854" s="60" t="s">
        <v>16844</v>
      </c>
    </row>
    <row r="3855" spans="1:6">
      <c r="A3855">
        <v>3854</v>
      </c>
      <c r="B3855" t="s">
        <v>12842</v>
      </c>
      <c r="C3855">
        <v>25000</v>
      </c>
      <c r="D3855">
        <v>0</v>
      </c>
      <c r="E3855">
        <v>1250</v>
      </c>
      <c r="F3855" s="74">
        <v>45055</v>
      </c>
    </row>
    <row r="3856" spans="1:6">
      <c r="A3856">
        <v>3855</v>
      </c>
      <c r="B3856" t="s">
        <v>12845</v>
      </c>
      <c r="C3856">
        <v>250</v>
      </c>
      <c r="D3856">
        <v>750</v>
      </c>
      <c r="E3856">
        <v>50</v>
      </c>
      <c r="F3856" s="60">
        <v>45057</v>
      </c>
    </row>
    <row r="3857" spans="1:6">
      <c r="A3857">
        <v>3856</v>
      </c>
      <c r="B3857" t="s">
        <v>12849</v>
      </c>
      <c r="C3857">
        <v>250</v>
      </c>
      <c r="D3857">
        <v>750</v>
      </c>
      <c r="E3857">
        <v>50</v>
      </c>
      <c r="F3857" s="61">
        <v>45042</v>
      </c>
    </row>
    <row r="3858" spans="1:6">
      <c r="A3858">
        <v>3857</v>
      </c>
      <c r="B3858" t="s">
        <v>12852</v>
      </c>
      <c r="C3858">
        <v>250</v>
      </c>
      <c r="D3858">
        <v>750</v>
      </c>
      <c r="E3858">
        <v>50</v>
      </c>
      <c r="F3858" s="75">
        <v>44874</v>
      </c>
    </row>
    <row r="3859" spans="1:6">
      <c r="A3859">
        <v>3858</v>
      </c>
      <c r="B3859" t="s">
        <v>12856</v>
      </c>
      <c r="C3859">
        <v>250</v>
      </c>
      <c r="D3859">
        <v>750</v>
      </c>
      <c r="E3859">
        <v>50</v>
      </c>
      <c r="F3859" s="69">
        <v>44971</v>
      </c>
    </row>
    <row r="3860" spans="1:6">
      <c r="A3860">
        <v>3859</v>
      </c>
      <c r="B3860" t="s">
        <v>12860</v>
      </c>
      <c r="C3860">
        <v>250</v>
      </c>
      <c r="D3860">
        <v>750</v>
      </c>
      <c r="E3860">
        <v>50</v>
      </c>
      <c r="F3860" s="60">
        <v>44813</v>
      </c>
    </row>
    <row r="3861" spans="1:6">
      <c r="A3861">
        <v>3860</v>
      </c>
      <c r="B3861" t="s">
        <v>12864</v>
      </c>
      <c r="C3861">
        <v>250</v>
      </c>
      <c r="D3861">
        <v>750</v>
      </c>
      <c r="E3861">
        <v>50</v>
      </c>
      <c r="F3861" s="61">
        <v>44873</v>
      </c>
    </row>
    <row r="3862" spans="1:6">
      <c r="A3862">
        <v>3861</v>
      </c>
      <c r="B3862" t="s">
        <v>12867</v>
      </c>
      <c r="C3862">
        <v>250</v>
      </c>
      <c r="D3862">
        <v>750</v>
      </c>
      <c r="E3862">
        <v>50</v>
      </c>
      <c r="F3862" s="69">
        <v>44901</v>
      </c>
    </row>
    <row r="3863" spans="1:6">
      <c r="A3863">
        <v>3862</v>
      </c>
      <c r="B3863" t="s">
        <v>12871</v>
      </c>
      <c r="C3863">
        <v>4000</v>
      </c>
      <c r="D3863">
        <v>0</v>
      </c>
      <c r="E3863">
        <v>200</v>
      </c>
      <c r="F3863" s="77">
        <v>44910</v>
      </c>
    </row>
    <row r="3864" spans="1:6">
      <c r="A3864">
        <v>3863</v>
      </c>
      <c r="B3864" t="s">
        <v>12874</v>
      </c>
      <c r="C3864">
        <v>250</v>
      </c>
      <c r="D3864">
        <v>750</v>
      </c>
      <c r="E3864">
        <v>50</v>
      </c>
      <c r="F3864" s="73">
        <v>45000</v>
      </c>
    </row>
    <row r="3865" spans="1:6">
      <c r="A3865">
        <v>3864</v>
      </c>
      <c r="B3865" t="s">
        <v>12877</v>
      </c>
      <c r="C3865">
        <v>250</v>
      </c>
      <c r="D3865">
        <v>750</v>
      </c>
      <c r="E3865">
        <v>50</v>
      </c>
      <c r="F3865" s="69">
        <v>45000</v>
      </c>
    </row>
    <row r="3866" spans="1:6">
      <c r="A3866">
        <v>3865</v>
      </c>
      <c r="B3866" t="s">
        <v>12880</v>
      </c>
      <c r="C3866">
        <v>100000</v>
      </c>
      <c r="D3866">
        <v>0</v>
      </c>
      <c r="E3866" t="s">
        <v>16642</v>
      </c>
      <c r="F3866" s="100"/>
    </row>
    <row r="3867" spans="1:6">
      <c r="A3867">
        <v>3866</v>
      </c>
      <c r="B3867" t="s">
        <v>12884</v>
      </c>
      <c r="C3867">
        <v>250</v>
      </c>
      <c r="D3867">
        <v>750</v>
      </c>
      <c r="E3867">
        <v>50</v>
      </c>
      <c r="F3867" s="69">
        <v>44923</v>
      </c>
    </row>
    <row r="3868" spans="1:6">
      <c r="A3868">
        <v>3867</v>
      </c>
      <c r="B3868" t="s">
        <v>12887</v>
      </c>
      <c r="C3868">
        <v>1000</v>
      </c>
      <c r="D3868">
        <v>0</v>
      </c>
      <c r="E3868">
        <v>50</v>
      </c>
      <c r="F3868" s="61">
        <v>45009</v>
      </c>
    </row>
    <row r="3869" spans="1:6">
      <c r="A3869">
        <v>3868</v>
      </c>
      <c r="B3869" t="s">
        <v>12891</v>
      </c>
      <c r="C3869">
        <v>250</v>
      </c>
      <c r="D3869">
        <v>750</v>
      </c>
      <c r="E3869">
        <v>50</v>
      </c>
      <c r="F3869" s="72">
        <v>44849</v>
      </c>
    </row>
    <row r="3870" spans="1:6">
      <c r="A3870">
        <v>3869</v>
      </c>
      <c r="B3870" t="s">
        <v>12894</v>
      </c>
      <c r="C3870">
        <v>250</v>
      </c>
      <c r="D3870">
        <v>750</v>
      </c>
      <c r="E3870">
        <v>50</v>
      </c>
      <c r="F3870" s="61">
        <v>44929</v>
      </c>
    </row>
    <row r="3871" spans="1:6">
      <c r="A3871">
        <v>3870</v>
      </c>
      <c r="B3871" t="s">
        <v>12898</v>
      </c>
      <c r="C3871">
        <v>250</v>
      </c>
      <c r="D3871">
        <v>750</v>
      </c>
      <c r="E3871">
        <v>50</v>
      </c>
      <c r="F3871" s="72">
        <v>37544</v>
      </c>
    </row>
    <row r="3872" spans="1:6">
      <c r="A3872">
        <v>3871</v>
      </c>
      <c r="B3872" t="s">
        <v>12901</v>
      </c>
      <c r="C3872">
        <v>100000</v>
      </c>
      <c r="D3872">
        <v>0</v>
      </c>
      <c r="E3872" t="s">
        <v>16642</v>
      </c>
      <c r="F3872" s="100"/>
    </row>
    <row r="3873" spans="1:6">
      <c r="A3873">
        <v>3872</v>
      </c>
      <c r="B3873" t="s">
        <v>12905</v>
      </c>
      <c r="C3873">
        <v>250</v>
      </c>
      <c r="D3873">
        <v>750</v>
      </c>
      <c r="E3873">
        <v>50</v>
      </c>
      <c r="F3873" s="77">
        <v>44776</v>
      </c>
    </row>
    <row r="3874" spans="1:6">
      <c r="A3874">
        <v>3873</v>
      </c>
      <c r="B3874" t="s">
        <v>12908</v>
      </c>
      <c r="C3874">
        <v>250</v>
      </c>
      <c r="D3874">
        <v>750</v>
      </c>
      <c r="E3874">
        <v>50</v>
      </c>
      <c r="F3874" s="61">
        <v>44950</v>
      </c>
    </row>
    <row r="3875" spans="1:6">
      <c r="A3875">
        <v>3874</v>
      </c>
      <c r="B3875" t="s">
        <v>12912</v>
      </c>
      <c r="C3875">
        <v>250</v>
      </c>
      <c r="D3875">
        <v>750</v>
      </c>
      <c r="E3875">
        <v>50</v>
      </c>
      <c r="F3875" s="61">
        <v>44904</v>
      </c>
    </row>
    <row r="3876" spans="1:6">
      <c r="A3876">
        <v>3875</v>
      </c>
      <c r="B3876" t="s">
        <v>12915</v>
      </c>
      <c r="C3876">
        <v>250</v>
      </c>
      <c r="D3876">
        <v>750</v>
      </c>
      <c r="E3876">
        <v>50</v>
      </c>
      <c r="F3876" s="73">
        <v>44986</v>
      </c>
    </row>
    <row r="3877" spans="1:6">
      <c r="A3877">
        <v>3876</v>
      </c>
      <c r="B3877" t="s">
        <v>12918</v>
      </c>
      <c r="C3877">
        <v>250</v>
      </c>
      <c r="D3877">
        <v>750</v>
      </c>
      <c r="E3877">
        <v>50</v>
      </c>
      <c r="F3877" s="61">
        <v>44880</v>
      </c>
    </row>
    <row r="3878" spans="1:6">
      <c r="A3878">
        <v>3877</v>
      </c>
      <c r="B3878" t="s">
        <v>12922</v>
      </c>
      <c r="C3878">
        <v>250</v>
      </c>
      <c r="D3878">
        <v>750</v>
      </c>
      <c r="E3878">
        <v>50</v>
      </c>
      <c r="F3878" s="60">
        <v>44904</v>
      </c>
    </row>
    <row r="3879" spans="1:6">
      <c r="A3879">
        <v>3878</v>
      </c>
      <c r="B3879" t="s">
        <v>12925</v>
      </c>
      <c r="C3879">
        <v>250</v>
      </c>
      <c r="D3879">
        <v>750</v>
      </c>
      <c r="E3879">
        <v>50</v>
      </c>
      <c r="F3879" s="61">
        <v>44889</v>
      </c>
    </row>
    <row r="3880" spans="1:6">
      <c r="A3880">
        <v>3879</v>
      </c>
      <c r="B3880" t="s">
        <v>12928</v>
      </c>
      <c r="C3880">
        <v>250</v>
      </c>
      <c r="D3880">
        <v>750</v>
      </c>
      <c r="E3880">
        <v>50</v>
      </c>
      <c r="F3880" s="60">
        <v>44868</v>
      </c>
    </row>
    <row r="3881" spans="1:6">
      <c r="A3881">
        <v>3880</v>
      </c>
      <c r="B3881" t="s">
        <v>12931</v>
      </c>
      <c r="C3881">
        <v>250</v>
      </c>
      <c r="D3881">
        <v>750</v>
      </c>
      <c r="E3881">
        <v>50</v>
      </c>
      <c r="F3881" s="60">
        <v>44965</v>
      </c>
    </row>
    <row r="3882" spans="1:6">
      <c r="A3882">
        <v>3881</v>
      </c>
      <c r="B3882" t="s">
        <v>12934</v>
      </c>
      <c r="C3882">
        <v>250</v>
      </c>
      <c r="D3882">
        <v>750</v>
      </c>
      <c r="E3882">
        <v>50</v>
      </c>
      <c r="F3882" s="60">
        <v>45007</v>
      </c>
    </row>
    <row r="3883" spans="1:6">
      <c r="A3883">
        <v>3882</v>
      </c>
      <c r="B3883" t="s">
        <v>12937</v>
      </c>
      <c r="C3883">
        <v>250</v>
      </c>
      <c r="D3883">
        <v>750</v>
      </c>
      <c r="E3883">
        <v>50</v>
      </c>
      <c r="F3883" s="60">
        <v>44908</v>
      </c>
    </row>
    <row r="3884" spans="1:6">
      <c r="A3884">
        <v>3883</v>
      </c>
      <c r="B3884" t="s">
        <v>12941</v>
      </c>
      <c r="C3884">
        <v>250</v>
      </c>
      <c r="D3884">
        <v>750</v>
      </c>
      <c r="E3884">
        <v>50</v>
      </c>
      <c r="F3884" s="72">
        <v>44889</v>
      </c>
    </row>
    <row r="3885" spans="1:6">
      <c r="A3885">
        <v>3884</v>
      </c>
      <c r="B3885" t="s">
        <v>12945</v>
      </c>
      <c r="C3885">
        <v>250</v>
      </c>
      <c r="D3885">
        <v>750</v>
      </c>
      <c r="E3885">
        <v>50</v>
      </c>
      <c r="F3885" s="60">
        <v>44807</v>
      </c>
    </row>
    <row r="3886" spans="1:6">
      <c r="A3886">
        <v>3885</v>
      </c>
      <c r="B3886" t="s">
        <v>12948</v>
      </c>
      <c r="C3886">
        <v>250</v>
      </c>
      <c r="D3886">
        <v>750</v>
      </c>
      <c r="E3886">
        <v>50</v>
      </c>
      <c r="F3886" s="61">
        <v>44887</v>
      </c>
    </row>
    <row r="3887" spans="1:6">
      <c r="A3887">
        <v>3886</v>
      </c>
      <c r="B3887" t="s">
        <v>12951</v>
      </c>
      <c r="C3887">
        <v>250</v>
      </c>
      <c r="D3887">
        <v>750</v>
      </c>
      <c r="E3887">
        <v>50</v>
      </c>
      <c r="F3887" s="60">
        <v>44919</v>
      </c>
    </row>
    <row r="3888" spans="1:6">
      <c r="A3888">
        <v>3887</v>
      </c>
      <c r="B3888" t="s">
        <v>12955</v>
      </c>
      <c r="C3888">
        <v>250</v>
      </c>
      <c r="D3888">
        <v>750</v>
      </c>
      <c r="E3888">
        <v>50</v>
      </c>
      <c r="F3888" s="61">
        <v>44930</v>
      </c>
    </row>
    <row r="3889" spans="1:6">
      <c r="A3889">
        <v>3888</v>
      </c>
      <c r="B3889" t="s">
        <v>12958</v>
      </c>
      <c r="C3889">
        <v>250</v>
      </c>
      <c r="D3889">
        <v>750</v>
      </c>
      <c r="E3889">
        <v>50</v>
      </c>
      <c r="F3889" s="60">
        <v>44875</v>
      </c>
    </row>
    <row r="3890" spans="1:6">
      <c r="A3890">
        <v>3889</v>
      </c>
      <c r="B3890" t="s">
        <v>12961</v>
      </c>
      <c r="C3890">
        <v>250</v>
      </c>
      <c r="D3890">
        <v>750</v>
      </c>
      <c r="E3890">
        <v>50</v>
      </c>
      <c r="F3890" s="72">
        <v>44849</v>
      </c>
    </row>
    <row r="3891" spans="1:6">
      <c r="A3891">
        <v>3890</v>
      </c>
      <c r="B3891" t="s">
        <v>12964</v>
      </c>
      <c r="C3891">
        <v>250</v>
      </c>
      <c r="D3891">
        <v>750</v>
      </c>
      <c r="E3891">
        <v>50</v>
      </c>
      <c r="F3891" s="61">
        <v>44845</v>
      </c>
    </row>
    <row r="3892" spans="1:6">
      <c r="A3892">
        <v>3891</v>
      </c>
      <c r="B3892" t="s">
        <v>12967</v>
      </c>
      <c r="C3892">
        <v>500</v>
      </c>
      <c r="D3892">
        <v>500</v>
      </c>
      <c r="E3892">
        <v>50</v>
      </c>
      <c r="F3892" s="61">
        <v>44840</v>
      </c>
    </row>
    <row r="3893" spans="1:6">
      <c r="A3893">
        <v>3892</v>
      </c>
      <c r="B3893" t="s">
        <v>12971</v>
      </c>
      <c r="C3893">
        <v>250</v>
      </c>
      <c r="D3893">
        <v>750</v>
      </c>
      <c r="E3893">
        <v>50</v>
      </c>
      <c r="F3893" s="60">
        <v>44883</v>
      </c>
    </row>
    <row r="3894" spans="1:6">
      <c r="A3894">
        <v>3893</v>
      </c>
      <c r="B3894" t="s">
        <v>12974</v>
      </c>
      <c r="C3894">
        <v>1000</v>
      </c>
      <c r="D3894">
        <v>0</v>
      </c>
      <c r="E3894">
        <v>50</v>
      </c>
      <c r="F3894" s="69">
        <v>45287</v>
      </c>
    </row>
    <row r="3895" spans="1:6">
      <c r="A3895">
        <v>3894</v>
      </c>
      <c r="B3895" t="s">
        <v>12977</v>
      </c>
      <c r="C3895">
        <v>250</v>
      </c>
      <c r="D3895">
        <v>750</v>
      </c>
      <c r="E3895">
        <v>50</v>
      </c>
      <c r="F3895" s="61">
        <v>44930</v>
      </c>
    </row>
    <row r="3896" spans="1:6">
      <c r="A3896">
        <v>3895</v>
      </c>
      <c r="B3896" t="s">
        <v>12980</v>
      </c>
      <c r="C3896">
        <v>250</v>
      </c>
      <c r="D3896">
        <v>750</v>
      </c>
      <c r="E3896">
        <v>50</v>
      </c>
      <c r="F3896" s="60">
        <v>44869</v>
      </c>
    </row>
    <row r="3897" spans="1:6">
      <c r="A3897">
        <v>3896</v>
      </c>
      <c r="B3897" t="s">
        <v>12984</v>
      </c>
      <c r="C3897">
        <v>250</v>
      </c>
      <c r="D3897">
        <v>750</v>
      </c>
      <c r="E3897">
        <v>50</v>
      </c>
      <c r="F3897" s="75">
        <v>44880</v>
      </c>
    </row>
    <row r="3898" spans="1:6">
      <c r="A3898">
        <v>3897</v>
      </c>
      <c r="B3898" t="s">
        <v>12988</v>
      </c>
      <c r="C3898">
        <v>250</v>
      </c>
      <c r="D3898">
        <v>750</v>
      </c>
      <c r="E3898">
        <v>50</v>
      </c>
      <c r="F3898" s="61">
        <v>44876</v>
      </c>
    </row>
    <row r="3899" spans="1:6">
      <c r="A3899">
        <v>3898</v>
      </c>
      <c r="B3899" t="s">
        <v>12991</v>
      </c>
      <c r="C3899">
        <v>10000</v>
      </c>
      <c r="D3899">
        <v>0</v>
      </c>
      <c r="E3899">
        <v>500</v>
      </c>
      <c r="F3899" s="65">
        <v>44820</v>
      </c>
    </row>
    <row r="3900" spans="1:6">
      <c r="A3900">
        <v>3899</v>
      </c>
      <c r="B3900" t="s">
        <v>12995</v>
      </c>
      <c r="C3900">
        <v>250</v>
      </c>
      <c r="D3900">
        <v>750</v>
      </c>
      <c r="E3900">
        <v>50</v>
      </c>
      <c r="F3900" s="69">
        <v>44994</v>
      </c>
    </row>
    <row r="3901" spans="1:6">
      <c r="A3901">
        <v>3900</v>
      </c>
      <c r="B3901" t="s">
        <v>12999</v>
      </c>
      <c r="C3901">
        <v>250</v>
      </c>
      <c r="D3901">
        <v>750</v>
      </c>
      <c r="E3901">
        <v>50</v>
      </c>
      <c r="F3901" s="61">
        <v>44932</v>
      </c>
    </row>
    <row r="3902" spans="1:6">
      <c r="A3902">
        <v>3901</v>
      </c>
      <c r="B3902" t="s">
        <v>13002</v>
      </c>
      <c r="C3902">
        <v>250</v>
      </c>
      <c r="D3902">
        <v>750</v>
      </c>
      <c r="E3902">
        <v>50</v>
      </c>
      <c r="F3902" s="61">
        <v>44930</v>
      </c>
    </row>
    <row r="3903" spans="1:6">
      <c r="A3903">
        <v>3902</v>
      </c>
      <c r="B3903" t="s">
        <v>13005</v>
      </c>
      <c r="C3903">
        <v>1250</v>
      </c>
      <c r="D3903">
        <v>3750</v>
      </c>
      <c r="E3903">
        <v>250</v>
      </c>
      <c r="F3903" s="65">
        <v>44537</v>
      </c>
    </row>
    <row r="3904" spans="1:6">
      <c r="A3904">
        <v>3903</v>
      </c>
      <c r="B3904" t="s">
        <v>13008</v>
      </c>
      <c r="C3904">
        <v>250</v>
      </c>
      <c r="D3904">
        <v>750</v>
      </c>
      <c r="E3904">
        <v>50</v>
      </c>
      <c r="F3904" s="70">
        <v>44925</v>
      </c>
    </row>
    <row r="3905" spans="1:6">
      <c r="A3905">
        <v>3904</v>
      </c>
      <c r="B3905" t="s">
        <v>13011</v>
      </c>
      <c r="C3905">
        <v>250</v>
      </c>
      <c r="D3905">
        <v>750</v>
      </c>
      <c r="E3905">
        <v>50</v>
      </c>
      <c r="F3905" s="69">
        <v>44845</v>
      </c>
    </row>
    <row r="3906" spans="1:6">
      <c r="A3906">
        <v>3905</v>
      </c>
      <c r="B3906" t="s">
        <v>13014</v>
      </c>
      <c r="C3906">
        <v>250</v>
      </c>
      <c r="D3906">
        <v>750</v>
      </c>
      <c r="E3906">
        <v>50</v>
      </c>
      <c r="F3906" s="69">
        <v>44957</v>
      </c>
    </row>
    <row r="3907" spans="1:6">
      <c r="A3907">
        <v>3906</v>
      </c>
      <c r="B3907" t="s">
        <v>13017</v>
      </c>
      <c r="C3907">
        <v>250</v>
      </c>
      <c r="D3907">
        <v>750</v>
      </c>
      <c r="E3907">
        <v>50</v>
      </c>
      <c r="F3907" s="70">
        <v>44929</v>
      </c>
    </row>
    <row r="3908" spans="1:6">
      <c r="A3908">
        <v>3907</v>
      </c>
      <c r="B3908" t="s">
        <v>13020</v>
      </c>
      <c r="C3908">
        <v>250</v>
      </c>
      <c r="D3908">
        <v>750</v>
      </c>
      <c r="E3908">
        <v>50</v>
      </c>
      <c r="F3908" s="61">
        <v>44986</v>
      </c>
    </row>
    <row r="3909" spans="1:6">
      <c r="A3909">
        <v>3908</v>
      </c>
      <c r="B3909" t="s">
        <v>13024</v>
      </c>
      <c r="C3909">
        <v>250</v>
      </c>
      <c r="D3909">
        <v>750</v>
      </c>
      <c r="E3909">
        <v>50</v>
      </c>
      <c r="F3909" s="61">
        <v>44863</v>
      </c>
    </row>
    <row r="3910" spans="1:6">
      <c r="A3910">
        <v>3909</v>
      </c>
      <c r="B3910" t="s">
        <v>13028</v>
      </c>
      <c r="C3910">
        <v>250</v>
      </c>
      <c r="D3910">
        <v>750</v>
      </c>
      <c r="E3910">
        <v>50</v>
      </c>
      <c r="F3910" s="61">
        <v>44886</v>
      </c>
    </row>
    <row r="3911" ht="31.5" spans="1:6">
      <c r="A3911">
        <v>3910</v>
      </c>
      <c r="B3911" t="s">
        <v>13031</v>
      </c>
      <c r="C3911">
        <v>5000</v>
      </c>
      <c r="D3911">
        <v>0</v>
      </c>
      <c r="E3911">
        <v>250</v>
      </c>
      <c r="F3911" s="77" t="s">
        <v>16845</v>
      </c>
    </row>
    <row r="3912" spans="1:6">
      <c r="A3912">
        <v>3911</v>
      </c>
      <c r="B3912" t="s">
        <v>13035</v>
      </c>
      <c r="C3912">
        <v>250</v>
      </c>
      <c r="D3912">
        <v>750</v>
      </c>
      <c r="E3912">
        <v>50</v>
      </c>
      <c r="F3912" s="60">
        <v>44835</v>
      </c>
    </row>
    <row r="3913" spans="1:6">
      <c r="A3913">
        <v>3912</v>
      </c>
      <c r="B3913" t="s">
        <v>13039</v>
      </c>
      <c r="C3913">
        <v>250</v>
      </c>
      <c r="D3913">
        <v>750</v>
      </c>
      <c r="E3913">
        <v>50</v>
      </c>
      <c r="F3913" s="73">
        <v>44944</v>
      </c>
    </row>
    <row r="3914" spans="1:6">
      <c r="A3914">
        <v>3913</v>
      </c>
      <c r="B3914" t="s">
        <v>13042</v>
      </c>
      <c r="C3914">
        <v>250</v>
      </c>
      <c r="D3914">
        <v>750</v>
      </c>
      <c r="E3914">
        <v>50</v>
      </c>
      <c r="F3914" s="75" t="s">
        <v>16846</v>
      </c>
    </row>
    <row r="3915" spans="1:6">
      <c r="A3915">
        <v>3914</v>
      </c>
      <c r="B3915" t="s">
        <v>13045</v>
      </c>
      <c r="C3915">
        <v>250</v>
      </c>
      <c r="D3915">
        <v>750</v>
      </c>
      <c r="E3915">
        <v>50</v>
      </c>
      <c r="F3915" s="61">
        <v>44916</v>
      </c>
    </row>
    <row r="3916" spans="1:6">
      <c r="A3916">
        <v>3915</v>
      </c>
      <c r="B3916" t="s">
        <v>13048</v>
      </c>
      <c r="C3916">
        <v>250</v>
      </c>
      <c r="D3916">
        <v>750</v>
      </c>
      <c r="E3916">
        <v>50</v>
      </c>
      <c r="F3916" s="61">
        <v>44887</v>
      </c>
    </row>
    <row r="3917" spans="1:6">
      <c r="A3917">
        <v>3916</v>
      </c>
      <c r="B3917" t="s">
        <v>13051</v>
      </c>
      <c r="C3917">
        <v>2500</v>
      </c>
      <c r="D3917">
        <v>0</v>
      </c>
      <c r="E3917">
        <v>125</v>
      </c>
      <c r="F3917" s="64" t="s">
        <v>16819</v>
      </c>
    </row>
    <row r="3918" spans="1:6">
      <c r="A3918">
        <v>3917</v>
      </c>
      <c r="B3918" t="s">
        <v>13055</v>
      </c>
      <c r="C3918">
        <v>250</v>
      </c>
      <c r="D3918">
        <v>750</v>
      </c>
      <c r="E3918">
        <v>50</v>
      </c>
      <c r="F3918" s="60">
        <v>44917</v>
      </c>
    </row>
    <row r="3919" spans="1:6">
      <c r="A3919">
        <v>3918</v>
      </c>
      <c r="B3919" t="s">
        <v>13058</v>
      </c>
      <c r="C3919">
        <v>250</v>
      </c>
      <c r="D3919">
        <v>750</v>
      </c>
      <c r="E3919">
        <v>50</v>
      </c>
      <c r="F3919" s="73">
        <v>45212</v>
      </c>
    </row>
    <row r="3920" spans="1:6">
      <c r="A3920">
        <v>3919</v>
      </c>
      <c r="B3920" t="s">
        <v>13061</v>
      </c>
      <c r="C3920">
        <v>250</v>
      </c>
      <c r="D3920">
        <v>750</v>
      </c>
      <c r="E3920">
        <v>50</v>
      </c>
      <c r="F3920" s="60" t="s">
        <v>16847</v>
      </c>
    </row>
    <row r="3921" spans="1:6">
      <c r="A3921">
        <v>3920</v>
      </c>
      <c r="B3921" t="s">
        <v>13064</v>
      </c>
      <c r="C3921">
        <v>250</v>
      </c>
      <c r="D3921">
        <v>750</v>
      </c>
      <c r="E3921">
        <v>50</v>
      </c>
      <c r="F3921" s="60">
        <v>44896</v>
      </c>
    </row>
    <row r="3922" spans="1:6">
      <c r="A3922">
        <v>3921</v>
      </c>
      <c r="B3922" t="s">
        <v>13068</v>
      </c>
      <c r="C3922">
        <v>250</v>
      </c>
      <c r="D3922">
        <v>750</v>
      </c>
      <c r="E3922">
        <v>50</v>
      </c>
      <c r="F3922" s="69">
        <v>44978</v>
      </c>
    </row>
    <row r="3923" spans="1:6">
      <c r="A3923">
        <v>3922</v>
      </c>
      <c r="B3923" t="s">
        <v>13071</v>
      </c>
      <c r="C3923">
        <v>250</v>
      </c>
      <c r="D3923">
        <v>750</v>
      </c>
      <c r="E3923">
        <v>50</v>
      </c>
      <c r="F3923" s="70">
        <v>44902</v>
      </c>
    </row>
    <row r="3924" spans="1:6">
      <c r="A3924">
        <v>3923</v>
      </c>
      <c r="B3924" t="s">
        <v>13075</v>
      </c>
      <c r="C3924">
        <v>250</v>
      </c>
      <c r="D3924">
        <v>750</v>
      </c>
      <c r="E3924">
        <v>50</v>
      </c>
      <c r="F3924" s="73">
        <v>44993</v>
      </c>
    </row>
    <row r="3925" spans="1:6">
      <c r="A3925">
        <v>3924</v>
      </c>
      <c r="B3925" t="s">
        <v>13079</v>
      </c>
      <c r="C3925">
        <v>250</v>
      </c>
      <c r="D3925">
        <v>750</v>
      </c>
      <c r="E3925">
        <v>50</v>
      </c>
      <c r="F3925" s="61">
        <v>44896</v>
      </c>
    </row>
    <row r="3926" spans="1:6">
      <c r="A3926">
        <v>3925</v>
      </c>
      <c r="B3926" t="s">
        <v>13082</v>
      </c>
      <c r="C3926">
        <v>250</v>
      </c>
      <c r="D3926">
        <v>750</v>
      </c>
      <c r="E3926">
        <v>50</v>
      </c>
      <c r="F3926" s="72">
        <v>44890</v>
      </c>
    </row>
    <row r="3927" spans="1:6">
      <c r="A3927">
        <v>3926</v>
      </c>
      <c r="B3927" t="s">
        <v>13085</v>
      </c>
      <c r="C3927">
        <v>250</v>
      </c>
      <c r="D3927">
        <v>750</v>
      </c>
      <c r="E3927">
        <v>50</v>
      </c>
      <c r="F3927" s="60">
        <v>44898</v>
      </c>
    </row>
    <row r="3928" spans="1:6">
      <c r="A3928">
        <v>3927</v>
      </c>
      <c r="B3928" t="s">
        <v>13088</v>
      </c>
      <c r="C3928">
        <v>250</v>
      </c>
      <c r="D3928">
        <v>750</v>
      </c>
      <c r="E3928">
        <v>50</v>
      </c>
      <c r="F3928" s="61">
        <v>44849</v>
      </c>
    </row>
    <row r="3929" spans="1:6">
      <c r="A3929">
        <v>3928</v>
      </c>
      <c r="B3929" t="s">
        <v>13092</v>
      </c>
      <c r="C3929">
        <v>200000</v>
      </c>
      <c r="D3929">
        <v>0</v>
      </c>
      <c r="E3929" t="s">
        <v>16642</v>
      </c>
      <c r="F3929" s="113">
        <v>44952</v>
      </c>
    </row>
    <row r="3930" spans="1:6">
      <c r="A3930">
        <v>3929</v>
      </c>
      <c r="B3930" t="s">
        <v>13097</v>
      </c>
      <c r="C3930">
        <v>50000</v>
      </c>
      <c r="D3930">
        <v>0</v>
      </c>
      <c r="E3930">
        <v>2500</v>
      </c>
      <c r="F3930" s="77">
        <v>44897</v>
      </c>
    </row>
    <row r="3931" ht="15" spans="1:6">
      <c r="A3931">
        <v>3930</v>
      </c>
      <c r="B3931" t="s">
        <v>13099</v>
      </c>
      <c r="C3931">
        <v>1000000</v>
      </c>
      <c r="D3931">
        <v>500000</v>
      </c>
      <c r="E3931" t="s">
        <v>16642</v>
      </c>
      <c r="F3931" s="88">
        <f>IFERROR(__xludf.DUMMYFUNCTION("""COMPUTED_VALUE"""),45082)</f>
        <v>45082</v>
      </c>
    </row>
    <row r="3932" spans="1:6">
      <c r="A3932">
        <v>3931</v>
      </c>
      <c r="B3932" t="s">
        <v>13100</v>
      </c>
      <c r="C3932">
        <v>5000</v>
      </c>
      <c r="D3932">
        <v>5000</v>
      </c>
      <c r="E3932">
        <v>500</v>
      </c>
      <c r="F3932" s="74">
        <v>44971</v>
      </c>
    </row>
    <row r="3933" spans="1:6">
      <c r="A3933">
        <v>3932</v>
      </c>
      <c r="B3933" t="s">
        <v>13103</v>
      </c>
      <c r="C3933">
        <v>250</v>
      </c>
      <c r="D3933">
        <v>750</v>
      </c>
      <c r="E3933">
        <v>50</v>
      </c>
      <c r="F3933" s="61">
        <v>44810</v>
      </c>
    </row>
    <row r="3934" spans="1:6">
      <c r="A3934">
        <v>3933</v>
      </c>
      <c r="B3934" t="s">
        <v>13106</v>
      </c>
      <c r="C3934">
        <v>10000</v>
      </c>
      <c r="D3934">
        <v>0</v>
      </c>
      <c r="E3934">
        <v>500</v>
      </c>
      <c r="F3934" s="67">
        <v>44972</v>
      </c>
    </row>
    <row r="3935" spans="1:6">
      <c r="A3935">
        <v>3934</v>
      </c>
      <c r="B3935" t="s">
        <v>13109</v>
      </c>
      <c r="C3935">
        <v>1000</v>
      </c>
      <c r="D3935">
        <v>0</v>
      </c>
      <c r="E3935">
        <v>50</v>
      </c>
      <c r="F3935" s="64" t="s">
        <v>16687</v>
      </c>
    </row>
    <row r="3936" spans="1:6">
      <c r="A3936">
        <v>3935</v>
      </c>
      <c r="B3936" t="s">
        <v>13113</v>
      </c>
      <c r="C3936">
        <v>700000</v>
      </c>
      <c r="D3936">
        <v>0</v>
      </c>
      <c r="E3936" t="s">
        <v>16642</v>
      </c>
      <c r="F3936" s="66"/>
    </row>
    <row r="3937" spans="1:6">
      <c r="A3937">
        <v>3936</v>
      </c>
      <c r="B3937" t="s">
        <v>13118</v>
      </c>
      <c r="C3937">
        <v>250</v>
      </c>
      <c r="D3937">
        <v>750</v>
      </c>
      <c r="E3937">
        <v>50</v>
      </c>
      <c r="F3937" s="61">
        <v>44855</v>
      </c>
    </row>
    <row r="3938" ht="15" spans="1:6">
      <c r="A3938">
        <v>3937</v>
      </c>
      <c r="B3938" t="s">
        <v>13121</v>
      </c>
      <c r="C3938">
        <v>1000000</v>
      </c>
      <c r="D3938">
        <v>500000</v>
      </c>
      <c r="E3938" t="s">
        <v>16642</v>
      </c>
      <c r="F3938" s="81">
        <f>IFERROR(__xludf.DUMMYFUNCTION("""COMPUTED_VALUE"""),45082)</f>
        <v>45082</v>
      </c>
    </row>
    <row r="3939" spans="1:6">
      <c r="A3939">
        <v>3938</v>
      </c>
      <c r="B3939" t="s">
        <v>13122</v>
      </c>
      <c r="C3939">
        <v>2000</v>
      </c>
      <c r="D3939">
        <v>0</v>
      </c>
      <c r="E3939">
        <v>100</v>
      </c>
      <c r="F3939" s="77">
        <v>44811</v>
      </c>
    </row>
    <row r="3940" spans="1:6">
      <c r="A3940">
        <v>3939</v>
      </c>
      <c r="B3940" t="s">
        <v>13125</v>
      </c>
      <c r="C3940">
        <v>250</v>
      </c>
      <c r="D3940">
        <v>750</v>
      </c>
      <c r="E3940">
        <v>50</v>
      </c>
      <c r="F3940" s="61">
        <v>44898</v>
      </c>
    </row>
    <row r="3941" spans="1:6">
      <c r="A3941">
        <v>3940</v>
      </c>
      <c r="B3941" t="s">
        <v>13128</v>
      </c>
      <c r="C3941">
        <v>250</v>
      </c>
      <c r="D3941">
        <v>750</v>
      </c>
      <c r="E3941">
        <v>50</v>
      </c>
      <c r="F3941" s="61">
        <v>44852</v>
      </c>
    </row>
    <row r="3942" spans="1:6">
      <c r="A3942">
        <v>3941</v>
      </c>
      <c r="B3942" t="s">
        <v>13132</v>
      </c>
      <c r="C3942">
        <v>250</v>
      </c>
      <c r="D3942">
        <v>750</v>
      </c>
      <c r="E3942">
        <v>50</v>
      </c>
      <c r="F3942" s="72">
        <v>44846</v>
      </c>
    </row>
    <row r="3943" spans="1:6">
      <c r="A3943">
        <v>3942</v>
      </c>
      <c r="B3943" t="s">
        <v>13136</v>
      </c>
      <c r="C3943">
        <v>250</v>
      </c>
      <c r="D3943">
        <v>750</v>
      </c>
      <c r="E3943">
        <v>50</v>
      </c>
      <c r="F3943" s="60">
        <v>44868</v>
      </c>
    </row>
    <row r="3944" spans="1:6">
      <c r="A3944">
        <v>3943</v>
      </c>
      <c r="B3944" t="s">
        <v>13139</v>
      </c>
      <c r="C3944">
        <v>1250</v>
      </c>
      <c r="D3944">
        <v>3750</v>
      </c>
      <c r="E3944">
        <v>250</v>
      </c>
      <c r="F3944" s="65">
        <v>44614</v>
      </c>
    </row>
    <row r="3945" spans="1:6">
      <c r="A3945">
        <v>3944</v>
      </c>
      <c r="B3945" t="s">
        <v>13143</v>
      </c>
      <c r="C3945">
        <v>250</v>
      </c>
      <c r="D3945">
        <v>750</v>
      </c>
      <c r="E3945">
        <v>50</v>
      </c>
      <c r="F3945" s="73">
        <v>44967</v>
      </c>
    </row>
    <row r="3946" spans="1:6">
      <c r="A3946">
        <v>3945</v>
      </c>
      <c r="B3946" t="s">
        <v>13146</v>
      </c>
      <c r="C3946">
        <v>250</v>
      </c>
      <c r="D3946">
        <v>750</v>
      </c>
      <c r="E3946">
        <v>50</v>
      </c>
      <c r="F3946" s="72">
        <v>44887</v>
      </c>
    </row>
    <row r="3947" ht="15" spans="1:6">
      <c r="A3947">
        <v>3946</v>
      </c>
      <c r="B3947" t="s">
        <v>13149</v>
      </c>
      <c r="C3947">
        <v>3000000</v>
      </c>
      <c r="D3947">
        <v>500000</v>
      </c>
      <c r="E3947" t="s">
        <v>16642</v>
      </c>
      <c r="F3947" s="92">
        <v>45093</v>
      </c>
    </row>
    <row r="3948" spans="1:6">
      <c r="A3948">
        <v>3947</v>
      </c>
      <c r="B3948" t="s">
        <v>13154</v>
      </c>
      <c r="C3948">
        <v>250</v>
      </c>
      <c r="D3948">
        <v>750</v>
      </c>
      <c r="E3948">
        <v>50</v>
      </c>
      <c r="F3948" s="60">
        <v>45015</v>
      </c>
    </row>
    <row r="3949" spans="1:6">
      <c r="A3949">
        <v>3948</v>
      </c>
      <c r="B3949" t="s">
        <v>13157</v>
      </c>
      <c r="C3949">
        <v>250</v>
      </c>
      <c r="D3949">
        <v>750</v>
      </c>
      <c r="E3949">
        <v>50</v>
      </c>
      <c r="F3949" s="60">
        <v>44836</v>
      </c>
    </row>
    <row r="3950" spans="1:6">
      <c r="A3950">
        <v>3949</v>
      </c>
      <c r="B3950" t="s">
        <v>13160</v>
      </c>
      <c r="C3950">
        <v>250</v>
      </c>
      <c r="D3950">
        <v>750</v>
      </c>
      <c r="E3950">
        <v>50</v>
      </c>
      <c r="F3950" s="60">
        <v>44981</v>
      </c>
    </row>
    <row r="3951" spans="1:6">
      <c r="A3951">
        <v>3950</v>
      </c>
      <c r="B3951" t="s">
        <v>13163</v>
      </c>
      <c r="C3951">
        <v>250</v>
      </c>
      <c r="D3951">
        <v>750</v>
      </c>
      <c r="E3951">
        <v>50</v>
      </c>
      <c r="F3951" s="60">
        <v>44903</v>
      </c>
    </row>
    <row r="3952" spans="1:6">
      <c r="A3952">
        <v>3951</v>
      </c>
      <c r="B3952" t="s">
        <v>13167</v>
      </c>
      <c r="C3952">
        <v>250</v>
      </c>
      <c r="D3952">
        <v>750</v>
      </c>
      <c r="E3952">
        <v>50</v>
      </c>
      <c r="F3952" s="60">
        <v>44872</v>
      </c>
    </row>
    <row r="3953" spans="1:6">
      <c r="A3953">
        <v>3952</v>
      </c>
      <c r="B3953" t="s">
        <v>13171</v>
      </c>
      <c r="C3953">
        <v>250</v>
      </c>
      <c r="D3953">
        <v>750</v>
      </c>
      <c r="E3953">
        <v>50</v>
      </c>
      <c r="F3953" s="60">
        <v>44909</v>
      </c>
    </row>
    <row r="3954" spans="1:6">
      <c r="A3954">
        <v>3953</v>
      </c>
      <c r="B3954" t="s">
        <v>13174</v>
      </c>
      <c r="C3954">
        <v>1000</v>
      </c>
      <c r="D3954">
        <v>0</v>
      </c>
      <c r="E3954">
        <v>50</v>
      </c>
      <c r="F3954" s="65">
        <v>44474</v>
      </c>
    </row>
    <row r="3955" spans="1:6">
      <c r="A3955">
        <v>3954</v>
      </c>
      <c r="B3955" t="s">
        <v>13179</v>
      </c>
      <c r="C3955">
        <v>50000</v>
      </c>
      <c r="D3955">
        <v>0</v>
      </c>
      <c r="E3955">
        <v>2500</v>
      </c>
      <c r="F3955" s="77">
        <v>44757</v>
      </c>
    </row>
    <row r="3956" spans="1:6">
      <c r="A3956">
        <v>3955</v>
      </c>
      <c r="B3956" t="s">
        <v>13182</v>
      </c>
      <c r="C3956">
        <v>100000</v>
      </c>
      <c r="D3956">
        <v>0</v>
      </c>
      <c r="E3956" t="s">
        <v>16642</v>
      </c>
      <c r="F3956" s="107">
        <v>44817</v>
      </c>
    </row>
    <row r="3957" spans="1:6">
      <c r="A3957">
        <v>3956</v>
      </c>
      <c r="B3957" t="s">
        <v>13182</v>
      </c>
      <c r="C3957">
        <v>100000</v>
      </c>
      <c r="D3957">
        <v>0</v>
      </c>
      <c r="E3957" t="s">
        <v>16642</v>
      </c>
      <c r="F3957" s="85"/>
    </row>
    <row r="3958" spans="1:6">
      <c r="A3958">
        <v>3957</v>
      </c>
      <c r="B3958" t="s">
        <v>13187</v>
      </c>
      <c r="C3958">
        <v>1000</v>
      </c>
      <c r="D3958">
        <v>0</v>
      </c>
      <c r="E3958">
        <v>50</v>
      </c>
      <c r="F3958" s="69">
        <v>44943</v>
      </c>
    </row>
    <row r="3959" ht="15" spans="1:6">
      <c r="A3959">
        <v>3958</v>
      </c>
      <c r="B3959" t="s">
        <v>13191</v>
      </c>
      <c r="C3959">
        <v>1000000</v>
      </c>
      <c r="D3959">
        <v>500000</v>
      </c>
      <c r="E3959" t="s">
        <v>16642</v>
      </c>
      <c r="F3959" s="81">
        <f>IFERROR(__xludf.DUMMYFUNCTION("""COMPUTED_VALUE"""),45078)</f>
        <v>45078</v>
      </c>
    </row>
    <row r="3960" spans="1:6">
      <c r="A3960">
        <v>3959</v>
      </c>
      <c r="B3960" t="s">
        <v>13192</v>
      </c>
      <c r="C3960">
        <v>400000</v>
      </c>
      <c r="D3960">
        <v>0</v>
      </c>
      <c r="E3960" t="s">
        <v>16642</v>
      </c>
      <c r="F3960" s="76">
        <v>44968</v>
      </c>
    </row>
    <row r="3961" spans="1:6">
      <c r="A3961">
        <v>3960</v>
      </c>
      <c r="B3961" t="s">
        <v>13196</v>
      </c>
      <c r="C3961">
        <v>100000</v>
      </c>
      <c r="D3961">
        <v>0</v>
      </c>
      <c r="E3961">
        <v>5000</v>
      </c>
      <c r="F3961" s="74">
        <v>44968</v>
      </c>
    </row>
    <row r="3962" spans="1:6">
      <c r="A3962">
        <v>3961</v>
      </c>
      <c r="B3962" t="s">
        <v>13199</v>
      </c>
      <c r="C3962">
        <v>310</v>
      </c>
      <c r="D3962">
        <v>690</v>
      </c>
      <c r="E3962">
        <v>50</v>
      </c>
      <c r="F3962" s="61">
        <v>44825</v>
      </c>
    </row>
    <row r="3963" spans="1:6">
      <c r="A3963">
        <v>3962</v>
      </c>
      <c r="B3963" t="s">
        <v>13203</v>
      </c>
      <c r="C3963">
        <v>250</v>
      </c>
      <c r="D3963">
        <v>750</v>
      </c>
      <c r="E3963">
        <v>50</v>
      </c>
      <c r="F3963" s="61">
        <v>45009</v>
      </c>
    </row>
    <row r="3964" spans="1:6">
      <c r="A3964">
        <v>3963</v>
      </c>
      <c r="B3964" t="s">
        <v>13206</v>
      </c>
      <c r="C3964">
        <v>250</v>
      </c>
      <c r="D3964">
        <v>750</v>
      </c>
      <c r="E3964">
        <v>50</v>
      </c>
      <c r="F3964" s="69">
        <v>44930</v>
      </c>
    </row>
    <row r="3965" spans="1:6">
      <c r="A3965">
        <v>3964</v>
      </c>
      <c r="B3965" t="s">
        <v>13210</v>
      </c>
      <c r="C3965">
        <v>250</v>
      </c>
      <c r="D3965">
        <v>750</v>
      </c>
      <c r="E3965">
        <v>50</v>
      </c>
      <c r="F3965" s="99">
        <v>44909</v>
      </c>
    </row>
    <row r="3966" spans="1:6">
      <c r="A3966">
        <v>3965</v>
      </c>
      <c r="B3966" t="s">
        <v>13213</v>
      </c>
      <c r="C3966">
        <v>250</v>
      </c>
      <c r="D3966">
        <v>750</v>
      </c>
      <c r="E3966">
        <v>50</v>
      </c>
      <c r="F3966" s="71">
        <v>44875</v>
      </c>
    </row>
    <row r="3967" spans="1:6">
      <c r="A3967">
        <v>3966</v>
      </c>
      <c r="B3967" t="s">
        <v>13216</v>
      </c>
      <c r="C3967">
        <v>20000</v>
      </c>
      <c r="D3967">
        <v>0</v>
      </c>
      <c r="E3967">
        <v>1000</v>
      </c>
      <c r="F3967" s="65">
        <v>44611</v>
      </c>
    </row>
    <row r="3968" spans="1:6">
      <c r="A3968">
        <v>3967</v>
      </c>
      <c r="B3968" t="s">
        <v>13220</v>
      </c>
      <c r="C3968">
        <v>100000</v>
      </c>
      <c r="D3968">
        <v>0</v>
      </c>
      <c r="E3968" t="s">
        <v>16642</v>
      </c>
      <c r="F3968" s="76">
        <v>45056</v>
      </c>
    </row>
    <row r="3969" spans="1:6">
      <c r="A3969">
        <v>3968</v>
      </c>
      <c r="B3969" t="s">
        <v>13225</v>
      </c>
      <c r="C3969">
        <v>250</v>
      </c>
      <c r="D3969">
        <v>750</v>
      </c>
      <c r="E3969">
        <v>50</v>
      </c>
      <c r="F3969" s="61">
        <v>44872</v>
      </c>
    </row>
    <row r="3970" spans="1:6">
      <c r="A3970">
        <v>3969</v>
      </c>
      <c r="B3970" t="s">
        <v>13228</v>
      </c>
      <c r="C3970">
        <v>100000</v>
      </c>
      <c r="D3970">
        <v>0</v>
      </c>
      <c r="E3970" t="s">
        <v>16642</v>
      </c>
      <c r="F3970" s="66"/>
    </row>
    <row r="3971" spans="1:6">
      <c r="A3971">
        <v>3970</v>
      </c>
      <c r="B3971" t="s">
        <v>13233</v>
      </c>
      <c r="C3971">
        <v>1000000</v>
      </c>
      <c r="D3971">
        <v>500000</v>
      </c>
      <c r="E3971" t="s">
        <v>16642</v>
      </c>
      <c r="F3971" s="80">
        <f>IFERROR(__xludf.DUMMYFUNCTION("""COMPUTED_VALUE"""),45080)</f>
        <v>45080</v>
      </c>
    </row>
    <row r="3972" spans="1:6">
      <c r="A3972">
        <v>3971</v>
      </c>
      <c r="B3972" t="s">
        <v>13234</v>
      </c>
      <c r="C3972">
        <v>500</v>
      </c>
      <c r="D3972">
        <v>1500</v>
      </c>
      <c r="E3972">
        <v>100</v>
      </c>
      <c r="F3972" s="75">
        <v>44855</v>
      </c>
    </row>
    <row r="3973" spans="1:6">
      <c r="A3973">
        <v>3972</v>
      </c>
      <c r="B3973" t="s">
        <v>13237</v>
      </c>
      <c r="C3973">
        <v>250</v>
      </c>
      <c r="D3973">
        <v>750</v>
      </c>
      <c r="E3973">
        <v>50</v>
      </c>
      <c r="F3973" s="61">
        <v>44849</v>
      </c>
    </row>
    <row r="3974" spans="1:6">
      <c r="A3974">
        <v>3973</v>
      </c>
      <c r="B3974" t="s">
        <v>13241</v>
      </c>
      <c r="C3974">
        <v>1000</v>
      </c>
      <c r="D3974">
        <v>0</v>
      </c>
      <c r="E3974">
        <v>50</v>
      </c>
      <c r="F3974" s="60">
        <v>45062</v>
      </c>
    </row>
    <row r="3975" spans="1:6">
      <c r="A3975">
        <v>3974</v>
      </c>
      <c r="B3975" t="s">
        <v>13244</v>
      </c>
      <c r="C3975">
        <v>250</v>
      </c>
      <c r="D3975">
        <v>750</v>
      </c>
      <c r="E3975">
        <v>50</v>
      </c>
      <c r="F3975" s="60">
        <v>44984</v>
      </c>
    </row>
    <row r="3976" spans="1:6">
      <c r="A3976">
        <v>3975</v>
      </c>
      <c r="B3976" t="s">
        <v>13248</v>
      </c>
      <c r="C3976">
        <v>250</v>
      </c>
      <c r="D3976">
        <v>750</v>
      </c>
      <c r="E3976">
        <v>50</v>
      </c>
      <c r="F3976" s="60">
        <v>44853</v>
      </c>
    </row>
    <row r="3977" spans="1:6">
      <c r="A3977">
        <v>3976</v>
      </c>
      <c r="B3977" t="s">
        <v>13252</v>
      </c>
      <c r="C3977">
        <v>1000</v>
      </c>
      <c r="D3977">
        <v>0</v>
      </c>
      <c r="E3977">
        <v>50</v>
      </c>
      <c r="F3977" s="69">
        <v>44957</v>
      </c>
    </row>
    <row r="3978" spans="1:6">
      <c r="A3978">
        <v>3977</v>
      </c>
      <c r="B3978" t="s">
        <v>13256</v>
      </c>
      <c r="C3978">
        <v>1000</v>
      </c>
      <c r="D3978">
        <v>0</v>
      </c>
      <c r="E3978">
        <v>50</v>
      </c>
      <c r="F3978" s="60">
        <v>44859</v>
      </c>
    </row>
    <row r="3979" spans="1:6">
      <c r="A3979">
        <v>3978</v>
      </c>
      <c r="B3979" t="s">
        <v>13259</v>
      </c>
      <c r="C3979">
        <v>250</v>
      </c>
      <c r="D3979">
        <v>750</v>
      </c>
      <c r="E3979">
        <v>50</v>
      </c>
      <c r="F3979" s="60">
        <v>45035</v>
      </c>
    </row>
    <row r="3980" spans="1:6">
      <c r="A3980">
        <v>3979</v>
      </c>
      <c r="B3980" t="s">
        <v>13262</v>
      </c>
      <c r="C3980">
        <v>1000</v>
      </c>
      <c r="D3980">
        <v>0</v>
      </c>
      <c r="E3980">
        <v>50</v>
      </c>
      <c r="F3980" s="64" t="s">
        <v>16665</v>
      </c>
    </row>
    <row r="3981" ht="31.5" spans="1:6">
      <c r="A3981">
        <v>3980</v>
      </c>
      <c r="B3981" t="s">
        <v>13266</v>
      </c>
      <c r="C3981">
        <v>40000</v>
      </c>
      <c r="D3981">
        <v>75000</v>
      </c>
      <c r="E3981">
        <v>750</v>
      </c>
      <c r="F3981" s="77" t="s">
        <v>16848</v>
      </c>
    </row>
    <row r="3982" spans="1:6">
      <c r="A3982">
        <v>3981</v>
      </c>
      <c r="B3982" t="s">
        <v>13269</v>
      </c>
      <c r="C3982">
        <v>250</v>
      </c>
      <c r="D3982">
        <v>750</v>
      </c>
      <c r="E3982">
        <v>50</v>
      </c>
      <c r="F3982" s="69">
        <v>44980</v>
      </c>
    </row>
    <row r="3983" spans="1:6">
      <c r="A3983">
        <v>3982</v>
      </c>
      <c r="B3983" t="s">
        <v>13273</v>
      </c>
      <c r="C3983">
        <v>250</v>
      </c>
      <c r="D3983">
        <v>750</v>
      </c>
      <c r="E3983">
        <v>50</v>
      </c>
      <c r="F3983" s="60">
        <v>44925</v>
      </c>
    </row>
    <row r="3984" spans="1:6">
      <c r="A3984">
        <v>3983</v>
      </c>
      <c r="B3984" t="s">
        <v>13276</v>
      </c>
      <c r="C3984">
        <v>250</v>
      </c>
      <c r="D3984">
        <v>750</v>
      </c>
      <c r="E3984">
        <v>50</v>
      </c>
      <c r="F3984" s="70">
        <v>44872</v>
      </c>
    </row>
    <row r="3985" spans="1:6">
      <c r="A3985">
        <v>3984</v>
      </c>
      <c r="B3985" t="s">
        <v>13279</v>
      </c>
      <c r="C3985">
        <v>1000</v>
      </c>
      <c r="D3985">
        <v>0</v>
      </c>
      <c r="E3985">
        <v>50</v>
      </c>
      <c r="F3985" s="65">
        <v>44545</v>
      </c>
    </row>
    <row r="3986" spans="1:6">
      <c r="A3986">
        <v>3985</v>
      </c>
      <c r="B3986" t="s">
        <v>13283</v>
      </c>
      <c r="C3986">
        <v>250</v>
      </c>
      <c r="D3986">
        <v>750</v>
      </c>
      <c r="E3986">
        <v>50</v>
      </c>
      <c r="F3986" s="61">
        <v>44915</v>
      </c>
    </row>
    <row r="3987" spans="1:6">
      <c r="A3987">
        <v>3986</v>
      </c>
      <c r="B3987" t="s">
        <v>13286</v>
      </c>
      <c r="C3987">
        <v>1000</v>
      </c>
      <c r="D3987">
        <v>0</v>
      </c>
      <c r="E3987">
        <v>50</v>
      </c>
      <c r="F3987" s="69">
        <v>44895</v>
      </c>
    </row>
    <row r="3988" spans="1:6">
      <c r="A3988">
        <v>3987</v>
      </c>
      <c r="B3988" t="s">
        <v>13290</v>
      </c>
      <c r="C3988">
        <v>200000</v>
      </c>
      <c r="D3988">
        <v>0</v>
      </c>
      <c r="E3988" t="s">
        <v>16642</v>
      </c>
      <c r="F3988" s="104"/>
    </row>
    <row r="3989" spans="1:6">
      <c r="A3989">
        <v>3988</v>
      </c>
      <c r="B3989" t="s">
        <v>13294</v>
      </c>
      <c r="C3989">
        <v>250</v>
      </c>
      <c r="D3989">
        <v>750</v>
      </c>
      <c r="E3989">
        <v>50</v>
      </c>
      <c r="F3989" s="60">
        <v>45024</v>
      </c>
    </row>
    <row r="3990" spans="1:6">
      <c r="A3990">
        <v>3989</v>
      </c>
      <c r="B3990" t="s">
        <v>13297</v>
      </c>
      <c r="C3990">
        <v>250</v>
      </c>
      <c r="D3990">
        <v>750</v>
      </c>
      <c r="E3990">
        <v>50</v>
      </c>
      <c r="F3990" s="71">
        <v>44887</v>
      </c>
    </row>
    <row r="3991" spans="1:6">
      <c r="A3991">
        <v>3990</v>
      </c>
      <c r="B3991" t="s">
        <v>13300</v>
      </c>
      <c r="C3991">
        <v>1000</v>
      </c>
      <c r="D3991">
        <v>0</v>
      </c>
      <c r="E3991">
        <v>50</v>
      </c>
      <c r="F3991" s="60">
        <v>45021</v>
      </c>
    </row>
    <row r="3992" spans="1:6">
      <c r="A3992">
        <v>3991</v>
      </c>
      <c r="B3992" t="s">
        <v>13303</v>
      </c>
      <c r="C3992">
        <v>250</v>
      </c>
      <c r="D3992">
        <v>750</v>
      </c>
      <c r="E3992">
        <v>50</v>
      </c>
      <c r="F3992" s="73">
        <v>44988</v>
      </c>
    </row>
    <row r="3993" spans="1:6">
      <c r="A3993">
        <v>3992</v>
      </c>
      <c r="B3993" t="s">
        <v>13306</v>
      </c>
      <c r="C3993">
        <v>250</v>
      </c>
      <c r="D3993">
        <v>750</v>
      </c>
      <c r="E3993">
        <v>50</v>
      </c>
      <c r="F3993" s="64" t="s">
        <v>16849</v>
      </c>
    </row>
    <row r="3994" spans="1:6">
      <c r="A3994">
        <v>3993</v>
      </c>
      <c r="B3994" t="s">
        <v>13310</v>
      </c>
      <c r="C3994">
        <v>100000</v>
      </c>
      <c r="D3994">
        <v>0</v>
      </c>
      <c r="E3994" t="s">
        <v>16642</v>
      </c>
      <c r="F3994" s="76">
        <v>44938</v>
      </c>
    </row>
    <row r="3995" spans="1:6">
      <c r="A3995">
        <v>3994</v>
      </c>
      <c r="B3995" t="s">
        <v>13314</v>
      </c>
      <c r="C3995">
        <v>250</v>
      </c>
      <c r="D3995">
        <v>750</v>
      </c>
      <c r="E3995">
        <v>50</v>
      </c>
      <c r="F3995" s="60">
        <v>44839</v>
      </c>
    </row>
    <row r="3996" spans="1:6">
      <c r="A3996">
        <v>3995</v>
      </c>
      <c r="B3996" t="s">
        <v>13317</v>
      </c>
      <c r="C3996">
        <v>250</v>
      </c>
      <c r="D3996">
        <v>750</v>
      </c>
      <c r="E3996">
        <v>50</v>
      </c>
      <c r="F3996" s="69">
        <v>44966</v>
      </c>
    </row>
    <row r="3997" spans="1:6">
      <c r="A3997">
        <v>3996</v>
      </c>
      <c r="B3997" t="s">
        <v>13320</v>
      </c>
      <c r="C3997">
        <v>1000</v>
      </c>
      <c r="D3997">
        <v>0</v>
      </c>
      <c r="E3997">
        <v>50</v>
      </c>
      <c r="F3997" s="71">
        <v>44925</v>
      </c>
    </row>
    <row r="3998" spans="1:6">
      <c r="A3998">
        <v>3997</v>
      </c>
      <c r="B3998" t="s">
        <v>13323</v>
      </c>
      <c r="C3998">
        <v>400000</v>
      </c>
      <c r="D3998">
        <v>0</v>
      </c>
      <c r="E3998" t="s">
        <v>16642</v>
      </c>
      <c r="F3998" s="104"/>
    </row>
    <row r="3999" spans="1:6">
      <c r="A3999">
        <v>3998</v>
      </c>
      <c r="B3999" t="s">
        <v>13328</v>
      </c>
      <c r="C3999">
        <v>25000</v>
      </c>
      <c r="D3999">
        <v>0</v>
      </c>
      <c r="E3999">
        <v>1250</v>
      </c>
      <c r="F3999" s="77">
        <v>44880</v>
      </c>
    </row>
    <row r="4000" spans="1:6">
      <c r="A4000">
        <v>3999</v>
      </c>
      <c r="B4000" t="s">
        <v>13331</v>
      </c>
      <c r="C4000">
        <v>100000</v>
      </c>
      <c r="D4000">
        <v>0</v>
      </c>
      <c r="E4000" t="s">
        <v>16642</v>
      </c>
      <c r="F4000" s="76">
        <v>44992</v>
      </c>
    </row>
    <row r="4001" spans="1:6">
      <c r="A4001">
        <v>4000</v>
      </c>
      <c r="B4001" t="s">
        <v>13335</v>
      </c>
      <c r="C4001">
        <v>250</v>
      </c>
      <c r="D4001">
        <v>750</v>
      </c>
      <c r="E4001">
        <v>50</v>
      </c>
      <c r="F4001" s="61">
        <v>44849</v>
      </c>
    </row>
    <row r="4002" spans="1:6">
      <c r="A4002">
        <v>4001</v>
      </c>
      <c r="B4002" t="s">
        <v>13338</v>
      </c>
      <c r="C4002">
        <v>250</v>
      </c>
      <c r="D4002">
        <v>750</v>
      </c>
      <c r="E4002">
        <v>50</v>
      </c>
      <c r="F4002" s="61" t="s">
        <v>16850</v>
      </c>
    </row>
    <row r="4003" spans="1:6">
      <c r="A4003">
        <v>4002</v>
      </c>
      <c r="B4003" t="s">
        <v>13342</v>
      </c>
      <c r="C4003">
        <v>1250</v>
      </c>
      <c r="D4003">
        <v>3750</v>
      </c>
      <c r="E4003">
        <v>250</v>
      </c>
      <c r="F4003" s="69">
        <v>44944</v>
      </c>
    </row>
    <row r="4004" spans="1:6">
      <c r="A4004">
        <v>4003</v>
      </c>
      <c r="B4004" t="s">
        <v>13346</v>
      </c>
      <c r="C4004">
        <v>250</v>
      </c>
      <c r="D4004">
        <v>750</v>
      </c>
      <c r="E4004">
        <v>50</v>
      </c>
      <c r="F4004" s="60">
        <v>44919</v>
      </c>
    </row>
    <row r="4005" ht="15" spans="1:6">
      <c r="A4005">
        <v>4004</v>
      </c>
      <c r="B4005" t="s">
        <v>13350</v>
      </c>
      <c r="C4005">
        <v>1000000</v>
      </c>
      <c r="D4005">
        <v>500000</v>
      </c>
      <c r="E4005" t="s">
        <v>16642</v>
      </c>
      <c r="F4005" s="81">
        <f>IFERROR(__xludf.DUMMYFUNCTION("""COMPUTED_VALUE"""),45084)</f>
        <v>45084</v>
      </c>
    </row>
    <row r="4006" spans="1:6">
      <c r="A4006">
        <v>4005</v>
      </c>
      <c r="B4006" t="s">
        <v>13351</v>
      </c>
      <c r="C4006">
        <v>250</v>
      </c>
      <c r="D4006">
        <v>750</v>
      </c>
      <c r="E4006">
        <v>50</v>
      </c>
      <c r="F4006" s="75">
        <v>44886</v>
      </c>
    </row>
    <row r="4007" spans="1:6">
      <c r="A4007">
        <v>4006</v>
      </c>
      <c r="B4007" t="s">
        <v>13354</v>
      </c>
      <c r="C4007">
        <v>250</v>
      </c>
      <c r="D4007">
        <v>750</v>
      </c>
      <c r="E4007">
        <v>50</v>
      </c>
      <c r="F4007" s="61">
        <v>44986</v>
      </c>
    </row>
    <row r="4008" spans="1:6">
      <c r="A4008">
        <v>4007</v>
      </c>
      <c r="B4008" t="s">
        <v>13358</v>
      </c>
      <c r="C4008">
        <v>250</v>
      </c>
      <c r="D4008">
        <v>750</v>
      </c>
      <c r="E4008">
        <v>50</v>
      </c>
      <c r="F4008" s="60">
        <v>44998</v>
      </c>
    </row>
    <row r="4009" spans="1:6">
      <c r="A4009">
        <v>4008</v>
      </c>
      <c r="B4009" t="s">
        <v>13361</v>
      </c>
      <c r="C4009">
        <v>250</v>
      </c>
      <c r="D4009">
        <v>750</v>
      </c>
      <c r="E4009">
        <v>50</v>
      </c>
      <c r="F4009" s="69">
        <v>44943</v>
      </c>
    </row>
    <row r="4010" spans="1:6">
      <c r="A4010">
        <v>4009</v>
      </c>
      <c r="B4010" t="s">
        <v>13364</v>
      </c>
      <c r="C4010">
        <v>250</v>
      </c>
      <c r="D4010">
        <v>750</v>
      </c>
      <c r="E4010">
        <v>50</v>
      </c>
      <c r="F4010" s="69">
        <v>44930</v>
      </c>
    </row>
    <row r="4011" spans="1:6">
      <c r="A4011">
        <v>4010</v>
      </c>
      <c r="B4011" t="s">
        <v>13367</v>
      </c>
      <c r="C4011">
        <v>250</v>
      </c>
      <c r="D4011">
        <v>750</v>
      </c>
      <c r="E4011">
        <v>50</v>
      </c>
      <c r="F4011" s="73">
        <v>44961</v>
      </c>
    </row>
    <row r="4012" spans="1:6">
      <c r="A4012">
        <v>4011</v>
      </c>
      <c r="B4012" t="s">
        <v>13370</v>
      </c>
      <c r="C4012">
        <v>250</v>
      </c>
      <c r="D4012">
        <v>750</v>
      </c>
      <c r="E4012">
        <v>50</v>
      </c>
      <c r="F4012" s="61">
        <v>45076</v>
      </c>
    </row>
    <row r="4013" spans="1:6">
      <c r="A4013">
        <v>4012</v>
      </c>
      <c r="B4013" t="s">
        <v>13373</v>
      </c>
      <c r="C4013">
        <v>100000</v>
      </c>
      <c r="D4013">
        <v>0</v>
      </c>
      <c r="E4013">
        <v>5000</v>
      </c>
      <c r="F4013" s="65">
        <v>44490</v>
      </c>
    </row>
    <row r="4014" spans="1:6">
      <c r="A4014">
        <v>4013</v>
      </c>
      <c r="B4014" t="s">
        <v>13377</v>
      </c>
      <c r="C4014">
        <v>250</v>
      </c>
      <c r="D4014">
        <v>750</v>
      </c>
      <c r="E4014">
        <v>50</v>
      </c>
      <c r="F4014" s="73">
        <v>44947</v>
      </c>
    </row>
    <row r="4015" spans="1:6">
      <c r="A4015">
        <v>4014</v>
      </c>
      <c r="B4015" t="s">
        <v>13381</v>
      </c>
      <c r="C4015">
        <v>250</v>
      </c>
      <c r="D4015">
        <v>750</v>
      </c>
      <c r="E4015">
        <v>50</v>
      </c>
      <c r="F4015" s="60">
        <v>44858</v>
      </c>
    </row>
    <row r="4016" spans="1:6">
      <c r="A4016">
        <v>4015</v>
      </c>
      <c r="B4016" t="s">
        <v>13384</v>
      </c>
      <c r="C4016">
        <v>250</v>
      </c>
      <c r="D4016">
        <v>750</v>
      </c>
      <c r="E4016">
        <v>50</v>
      </c>
      <c r="F4016" s="70">
        <v>44893</v>
      </c>
    </row>
    <row r="4017" spans="1:6">
      <c r="A4017">
        <v>4016</v>
      </c>
      <c r="B4017" t="s">
        <v>13388</v>
      </c>
      <c r="C4017">
        <v>250</v>
      </c>
      <c r="D4017">
        <v>750</v>
      </c>
      <c r="E4017">
        <v>50</v>
      </c>
      <c r="F4017" s="72">
        <v>44874</v>
      </c>
    </row>
    <row r="4018" spans="1:6">
      <c r="A4018">
        <v>4017</v>
      </c>
      <c r="B4018" t="s">
        <v>13391</v>
      </c>
      <c r="C4018">
        <v>1000</v>
      </c>
      <c r="D4018">
        <v>0</v>
      </c>
      <c r="E4018">
        <v>50</v>
      </c>
      <c r="F4018" s="60">
        <v>44849</v>
      </c>
    </row>
    <row r="4019" spans="1:6">
      <c r="A4019">
        <v>4018</v>
      </c>
      <c r="B4019" t="s">
        <v>13394</v>
      </c>
      <c r="C4019">
        <v>250</v>
      </c>
      <c r="D4019">
        <v>750</v>
      </c>
      <c r="E4019">
        <v>50</v>
      </c>
      <c r="F4019" s="61">
        <v>44856</v>
      </c>
    </row>
    <row r="4020" spans="1:6">
      <c r="A4020">
        <v>4019</v>
      </c>
      <c r="B4020" t="s">
        <v>13397</v>
      </c>
      <c r="C4020">
        <v>250</v>
      </c>
      <c r="D4020">
        <v>750</v>
      </c>
      <c r="E4020">
        <v>50</v>
      </c>
      <c r="F4020" s="60">
        <v>44925</v>
      </c>
    </row>
    <row r="4021" spans="1:6">
      <c r="A4021">
        <v>4020</v>
      </c>
      <c r="B4021" t="s">
        <v>13400</v>
      </c>
      <c r="C4021">
        <v>1000</v>
      </c>
      <c r="D4021">
        <v>0</v>
      </c>
      <c r="E4021">
        <v>50</v>
      </c>
      <c r="F4021" s="60">
        <v>44872</v>
      </c>
    </row>
    <row r="4022" spans="1:6">
      <c r="A4022">
        <v>4021</v>
      </c>
      <c r="B4022" t="s">
        <v>13403</v>
      </c>
      <c r="C4022">
        <v>250</v>
      </c>
      <c r="D4022">
        <v>750</v>
      </c>
      <c r="E4022">
        <v>50</v>
      </c>
      <c r="F4022" s="61">
        <v>44865</v>
      </c>
    </row>
    <row r="4023" spans="1:6">
      <c r="A4023">
        <v>4022</v>
      </c>
      <c r="B4023" t="s">
        <v>13406</v>
      </c>
      <c r="C4023">
        <v>250</v>
      </c>
      <c r="D4023">
        <v>750</v>
      </c>
      <c r="E4023">
        <v>50</v>
      </c>
      <c r="F4023" s="61">
        <v>44929</v>
      </c>
    </row>
    <row r="4024" spans="1:6">
      <c r="A4024">
        <v>4023</v>
      </c>
      <c r="B4024" t="s">
        <v>13409</v>
      </c>
      <c r="C4024">
        <v>250</v>
      </c>
      <c r="D4024">
        <v>750</v>
      </c>
      <c r="E4024">
        <v>50</v>
      </c>
      <c r="F4024" s="61">
        <v>44950</v>
      </c>
    </row>
    <row r="4025" spans="1:6">
      <c r="A4025">
        <v>4024</v>
      </c>
      <c r="B4025" t="s">
        <v>13412</v>
      </c>
      <c r="C4025">
        <v>250</v>
      </c>
      <c r="D4025">
        <v>750</v>
      </c>
      <c r="E4025">
        <v>50</v>
      </c>
      <c r="F4025" s="60">
        <v>44929</v>
      </c>
    </row>
    <row r="4026" spans="1:6">
      <c r="A4026">
        <v>4025</v>
      </c>
      <c r="B4026" t="s">
        <v>13415</v>
      </c>
      <c r="C4026">
        <v>100000</v>
      </c>
      <c r="D4026">
        <v>0</v>
      </c>
      <c r="E4026" t="s">
        <v>16642</v>
      </c>
      <c r="F4026" s="100"/>
    </row>
    <row r="4027" spans="1:6">
      <c r="A4027">
        <v>4026</v>
      </c>
      <c r="B4027" t="s">
        <v>13420</v>
      </c>
      <c r="C4027">
        <v>250</v>
      </c>
      <c r="D4027">
        <v>750</v>
      </c>
      <c r="E4027">
        <v>50</v>
      </c>
      <c r="F4027" s="61">
        <v>44853</v>
      </c>
    </row>
    <row r="4028" spans="1:6">
      <c r="A4028">
        <v>4027</v>
      </c>
      <c r="B4028" t="s">
        <v>13423</v>
      </c>
      <c r="C4028">
        <v>250</v>
      </c>
      <c r="D4028">
        <v>750</v>
      </c>
      <c r="E4028">
        <v>50</v>
      </c>
      <c r="F4028" s="61">
        <v>44860</v>
      </c>
    </row>
    <row r="4029" spans="1:6">
      <c r="A4029">
        <v>4028</v>
      </c>
      <c r="B4029" t="s">
        <v>13427</v>
      </c>
      <c r="C4029">
        <v>5000</v>
      </c>
      <c r="D4029">
        <v>0</v>
      </c>
      <c r="E4029">
        <v>250</v>
      </c>
      <c r="F4029" s="118">
        <v>44729</v>
      </c>
    </row>
    <row r="4030" spans="1:6">
      <c r="A4030">
        <v>4029</v>
      </c>
      <c r="B4030" t="s">
        <v>13430</v>
      </c>
      <c r="C4030">
        <v>250</v>
      </c>
      <c r="D4030">
        <v>750</v>
      </c>
      <c r="E4030">
        <v>50</v>
      </c>
      <c r="F4030" s="61">
        <v>44901</v>
      </c>
    </row>
    <row r="4031" spans="1:6">
      <c r="A4031">
        <v>4030</v>
      </c>
      <c r="B4031" t="s">
        <v>13433</v>
      </c>
      <c r="C4031">
        <v>250</v>
      </c>
      <c r="D4031">
        <v>750</v>
      </c>
      <c r="E4031">
        <v>50</v>
      </c>
      <c r="F4031" s="60">
        <v>44852</v>
      </c>
    </row>
    <row r="4032" spans="1:6">
      <c r="A4032">
        <v>4031</v>
      </c>
      <c r="B4032" t="s">
        <v>13436</v>
      </c>
      <c r="C4032">
        <v>1000</v>
      </c>
      <c r="D4032">
        <v>0</v>
      </c>
      <c r="E4032">
        <v>50</v>
      </c>
      <c r="F4032" s="73">
        <v>44975</v>
      </c>
    </row>
    <row r="4033" spans="1:6">
      <c r="A4033">
        <v>4032</v>
      </c>
      <c r="B4033" t="s">
        <v>13440</v>
      </c>
      <c r="C4033">
        <v>250</v>
      </c>
      <c r="D4033">
        <v>750</v>
      </c>
      <c r="E4033">
        <v>50</v>
      </c>
      <c r="F4033" s="61">
        <v>44836</v>
      </c>
    </row>
    <row r="4034" spans="1:6">
      <c r="A4034">
        <v>4033</v>
      </c>
      <c r="B4034" t="s">
        <v>13443</v>
      </c>
      <c r="C4034">
        <v>250</v>
      </c>
      <c r="D4034">
        <v>750</v>
      </c>
      <c r="E4034">
        <v>50</v>
      </c>
      <c r="F4034" s="68" t="s">
        <v>16838</v>
      </c>
    </row>
    <row r="4035" spans="1:6">
      <c r="A4035">
        <v>4034</v>
      </c>
      <c r="B4035" t="s">
        <v>13446</v>
      </c>
      <c r="C4035">
        <v>1000</v>
      </c>
      <c r="D4035">
        <v>0</v>
      </c>
      <c r="E4035">
        <v>50</v>
      </c>
      <c r="F4035" s="61">
        <v>44888</v>
      </c>
    </row>
    <row r="4036" spans="1:6">
      <c r="A4036">
        <v>4035</v>
      </c>
      <c r="B4036" t="s">
        <v>13449</v>
      </c>
      <c r="C4036">
        <v>10000</v>
      </c>
      <c r="D4036">
        <v>0</v>
      </c>
      <c r="E4036">
        <v>50</v>
      </c>
      <c r="F4036" s="77">
        <v>44795</v>
      </c>
    </row>
    <row r="4037" spans="1:6">
      <c r="A4037">
        <v>4036</v>
      </c>
      <c r="B4037" t="s">
        <v>13452</v>
      </c>
      <c r="C4037">
        <v>250</v>
      </c>
      <c r="D4037">
        <v>750</v>
      </c>
      <c r="E4037">
        <v>50</v>
      </c>
      <c r="F4037" s="60">
        <v>44869</v>
      </c>
    </row>
    <row r="4038" spans="1:6">
      <c r="A4038">
        <v>4037</v>
      </c>
      <c r="B4038" t="s">
        <v>13455</v>
      </c>
      <c r="C4038">
        <v>250</v>
      </c>
      <c r="D4038">
        <v>750</v>
      </c>
      <c r="E4038">
        <v>50</v>
      </c>
      <c r="F4038" s="60">
        <v>44856</v>
      </c>
    </row>
    <row r="4039" spans="1:6">
      <c r="A4039">
        <v>4038</v>
      </c>
      <c r="B4039" t="s">
        <v>13458</v>
      </c>
      <c r="C4039">
        <v>250</v>
      </c>
      <c r="D4039">
        <v>750</v>
      </c>
      <c r="E4039">
        <v>50</v>
      </c>
      <c r="F4039" s="60">
        <v>44980</v>
      </c>
    </row>
    <row r="4040" spans="1:6">
      <c r="A4040">
        <v>4039</v>
      </c>
      <c r="B4040" t="s">
        <v>13461</v>
      </c>
      <c r="C4040">
        <v>250</v>
      </c>
      <c r="D4040">
        <v>750</v>
      </c>
      <c r="E4040">
        <v>50</v>
      </c>
      <c r="F4040" s="61">
        <v>44861</v>
      </c>
    </row>
    <row r="4041" spans="1:6">
      <c r="A4041">
        <v>4040</v>
      </c>
      <c r="B4041" t="s">
        <v>13464</v>
      </c>
      <c r="C4041">
        <v>250</v>
      </c>
      <c r="D4041">
        <v>750</v>
      </c>
      <c r="E4041">
        <v>50</v>
      </c>
      <c r="F4041" s="60">
        <v>44870</v>
      </c>
    </row>
    <row r="4042" spans="1:6">
      <c r="A4042">
        <v>4041</v>
      </c>
      <c r="B4042" t="s">
        <v>13467</v>
      </c>
      <c r="C4042">
        <v>250</v>
      </c>
      <c r="D4042">
        <v>750</v>
      </c>
      <c r="E4042">
        <v>50</v>
      </c>
      <c r="F4042" s="72">
        <v>44894</v>
      </c>
    </row>
    <row r="4043" spans="1:6">
      <c r="A4043">
        <v>4042</v>
      </c>
      <c r="B4043" t="s">
        <v>13471</v>
      </c>
      <c r="C4043">
        <v>250</v>
      </c>
      <c r="D4043">
        <v>750</v>
      </c>
      <c r="E4043">
        <v>50</v>
      </c>
      <c r="F4043" s="69">
        <v>44929</v>
      </c>
    </row>
    <row r="4044" ht="15" spans="1:6">
      <c r="A4044">
        <v>4043</v>
      </c>
      <c r="B4044" t="s">
        <v>13474</v>
      </c>
      <c r="C4044">
        <v>1000000</v>
      </c>
      <c r="D4044">
        <v>500000</v>
      </c>
      <c r="E4044" t="s">
        <v>16642</v>
      </c>
      <c r="F4044" s="81">
        <f>IFERROR(__xludf.DUMMYFUNCTION("""COMPUTED_VALUE"""),45084)</f>
        <v>45084</v>
      </c>
    </row>
    <row r="4045" spans="1:6">
      <c r="A4045">
        <v>4044</v>
      </c>
      <c r="B4045" t="s">
        <v>13475</v>
      </c>
      <c r="C4045">
        <v>2500</v>
      </c>
      <c r="D4045">
        <v>7500</v>
      </c>
      <c r="E4045">
        <v>500</v>
      </c>
      <c r="F4045" s="64" t="s">
        <v>16851</v>
      </c>
    </row>
    <row r="4046" spans="1:6">
      <c r="A4046">
        <v>4045</v>
      </c>
      <c r="B4046" t="s">
        <v>13479</v>
      </c>
      <c r="C4046">
        <v>250</v>
      </c>
      <c r="D4046">
        <v>750</v>
      </c>
      <c r="E4046">
        <v>50</v>
      </c>
      <c r="F4046" s="61">
        <v>44926</v>
      </c>
    </row>
    <row r="4047" spans="1:6">
      <c r="A4047">
        <v>4046</v>
      </c>
      <c r="B4047" t="s">
        <v>13483</v>
      </c>
      <c r="C4047">
        <v>500000</v>
      </c>
      <c r="D4047">
        <v>0</v>
      </c>
      <c r="E4047" t="s">
        <v>16642</v>
      </c>
      <c r="F4047" s="100"/>
    </row>
    <row r="4048" spans="1:6">
      <c r="A4048">
        <v>4047</v>
      </c>
      <c r="B4048" t="s">
        <v>13487</v>
      </c>
      <c r="C4048">
        <v>250</v>
      </c>
      <c r="D4048">
        <v>750</v>
      </c>
      <c r="E4048">
        <v>50</v>
      </c>
      <c r="F4048" s="60">
        <v>44858</v>
      </c>
    </row>
    <row r="4049" spans="1:6">
      <c r="A4049">
        <v>4048</v>
      </c>
      <c r="B4049" t="s">
        <v>13490</v>
      </c>
      <c r="C4049">
        <v>10000</v>
      </c>
      <c r="D4049">
        <v>0</v>
      </c>
      <c r="E4049">
        <v>500</v>
      </c>
      <c r="F4049" s="67">
        <v>44474</v>
      </c>
    </row>
    <row r="4050" spans="1:6">
      <c r="A4050">
        <v>4049</v>
      </c>
      <c r="B4050" t="s">
        <v>13493</v>
      </c>
      <c r="C4050">
        <v>250</v>
      </c>
      <c r="D4050">
        <v>750</v>
      </c>
      <c r="E4050">
        <v>50</v>
      </c>
      <c r="F4050" s="60">
        <v>44879</v>
      </c>
    </row>
    <row r="4051" spans="1:6">
      <c r="A4051">
        <v>4050</v>
      </c>
      <c r="B4051" t="s">
        <v>13496</v>
      </c>
      <c r="C4051">
        <v>250</v>
      </c>
      <c r="D4051">
        <v>750</v>
      </c>
      <c r="E4051">
        <v>50</v>
      </c>
      <c r="F4051" s="61">
        <v>44836</v>
      </c>
    </row>
    <row r="4052" spans="1:6">
      <c r="A4052">
        <v>4051</v>
      </c>
      <c r="B4052" t="s">
        <v>13499</v>
      </c>
      <c r="C4052">
        <v>250</v>
      </c>
      <c r="D4052">
        <v>750</v>
      </c>
      <c r="E4052">
        <v>50</v>
      </c>
      <c r="F4052" s="71">
        <v>44887</v>
      </c>
    </row>
    <row r="4053" spans="1:6">
      <c r="A4053">
        <v>4052</v>
      </c>
      <c r="B4053" t="s">
        <v>13502</v>
      </c>
      <c r="C4053">
        <v>10000</v>
      </c>
      <c r="D4053">
        <v>0</v>
      </c>
      <c r="E4053">
        <v>500</v>
      </c>
      <c r="F4053" s="64" t="s">
        <v>16693</v>
      </c>
    </row>
    <row r="4054" spans="1:6">
      <c r="A4054">
        <v>4053</v>
      </c>
      <c r="B4054" t="s">
        <v>13506</v>
      </c>
      <c r="C4054">
        <v>250</v>
      </c>
      <c r="D4054">
        <v>750</v>
      </c>
      <c r="E4054">
        <v>50</v>
      </c>
      <c r="F4054" s="60">
        <v>44866</v>
      </c>
    </row>
    <row r="4055" spans="1:6">
      <c r="A4055">
        <v>4054</v>
      </c>
      <c r="B4055" t="s">
        <v>13509</v>
      </c>
      <c r="C4055">
        <v>7000</v>
      </c>
      <c r="D4055">
        <v>15000</v>
      </c>
      <c r="E4055">
        <v>100</v>
      </c>
      <c r="F4055" s="65">
        <v>44776</v>
      </c>
    </row>
    <row r="4056" spans="1:6">
      <c r="A4056">
        <v>4055</v>
      </c>
      <c r="B4056" t="s">
        <v>13513</v>
      </c>
      <c r="C4056">
        <v>250</v>
      </c>
      <c r="D4056">
        <v>750</v>
      </c>
      <c r="E4056">
        <v>50</v>
      </c>
      <c r="F4056" s="61">
        <v>44930</v>
      </c>
    </row>
    <row r="4057" spans="1:6">
      <c r="A4057">
        <v>4056</v>
      </c>
      <c r="B4057" t="s">
        <v>13516</v>
      </c>
      <c r="C4057">
        <v>10000</v>
      </c>
      <c r="D4057">
        <v>0</v>
      </c>
      <c r="E4057">
        <v>500</v>
      </c>
      <c r="F4057" s="77">
        <v>44804</v>
      </c>
    </row>
    <row r="4058" spans="1:6">
      <c r="A4058">
        <v>4057</v>
      </c>
      <c r="B4058" t="s">
        <v>13519</v>
      </c>
      <c r="C4058">
        <v>2500</v>
      </c>
      <c r="D4058">
        <v>0</v>
      </c>
      <c r="E4058">
        <v>125</v>
      </c>
      <c r="F4058" s="65">
        <v>44670</v>
      </c>
    </row>
    <row r="4059" spans="1:6">
      <c r="A4059">
        <v>4058</v>
      </c>
      <c r="B4059" t="s">
        <v>13523</v>
      </c>
      <c r="C4059">
        <v>2500</v>
      </c>
      <c r="D4059">
        <v>0</v>
      </c>
      <c r="E4059">
        <v>125</v>
      </c>
      <c r="F4059" s="64" t="s">
        <v>16852</v>
      </c>
    </row>
    <row r="4060" spans="1:6">
      <c r="A4060">
        <v>4059</v>
      </c>
      <c r="B4060" t="s">
        <v>13527</v>
      </c>
      <c r="C4060">
        <v>2500</v>
      </c>
      <c r="D4060">
        <v>0</v>
      </c>
      <c r="E4060">
        <v>125</v>
      </c>
      <c r="F4060" s="64" t="s">
        <v>16852</v>
      </c>
    </row>
    <row r="4061" spans="1:6">
      <c r="A4061">
        <v>4060</v>
      </c>
      <c r="B4061" t="s">
        <v>13531</v>
      </c>
      <c r="C4061">
        <v>2500</v>
      </c>
      <c r="D4061">
        <v>0</v>
      </c>
      <c r="E4061">
        <v>125</v>
      </c>
      <c r="F4061" s="65">
        <v>44670</v>
      </c>
    </row>
    <row r="4062" spans="1:6">
      <c r="A4062">
        <v>4061</v>
      </c>
      <c r="B4062" t="s">
        <v>13535</v>
      </c>
      <c r="C4062">
        <v>250</v>
      </c>
      <c r="D4062">
        <v>750</v>
      </c>
      <c r="E4062">
        <v>50</v>
      </c>
      <c r="F4062" s="60">
        <v>44870</v>
      </c>
    </row>
    <row r="4063" spans="1:6">
      <c r="A4063">
        <v>4062</v>
      </c>
      <c r="B4063" t="s">
        <v>13538</v>
      </c>
      <c r="C4063">
        <v>250</v>
      </c>
      <c r="D4063">
        <v>750</v>
      </c>
      <c r="E4063">
        <v>50</v>
      </c>
      <c r="F4063" s="65">
        <v>44510</v>
      </c>
    </row>
    <row r="4064" spans="1:6">
      <c r="A4064">
        <v>4063</v>
      </c>
      <c r="B4064" t="s">
        <v>13542</v>
      </c>
      <c r="C4064">
        <v>100000</v>
      </c>
      <c r="D4064">
        <v>0</v>
      </c>
      <c r="E4064" t="s">
        <v>16642</v>
      </c>
      <c r="F4064" s="66"/>
    </row>
    <row r="4065" spans="1:6">
      <c r="A4065">
        <v>4064</v>
      </c>
      <c r="B4065" t="s">
        <v>13547</v>
      </c>
      <c r="C4065">
        <v>2500</v>
      </c>
      <c r="D4065">
        <v>7500</v>
      </c>
      <c r="E4065">
        <v>500</v>
      </c>
      <c r="F4065" s="64" t="s">
        <v>16853</v>
      </c>
    </row>
    <row r="4066" spans="1:6">
      <c r="A4066">
        <v>4065</v>
      </c>
      <c r="B4066" t="s">
        <v>13551</v>
      </c>
      <c r="C4066">
        <v>10000</v>
      </c>
      <c r="D4066">
        <v>0</v>
      </c>
      <c r="E4066">
        <v>500</v>
      </c>
      <c r="F4066" s="79">
        <v>44935</v>
      </c>
    </row>
    <row r="4067" spans="1:6">
      <c r="A4067">
        <v>4066</v>
      </c>
      <c r="B4067" t="s">
        <v>13554</v>
      </c>
      <c r="C4067">
        <v>100000</v>
      </c>
      <c r="D4067">
        <v>0</v>
      </c>
      <c r="E4067" t="s">
        <v>16642</v>
      </c>
      <c r="F4067" s="76">
        <v>44938</v>
      </c>
    </row>
    <row r="4068" spans="1:6">
      <c r="A4068">
        <v>4067</v>
      </c>
      <c r="B4068" t="s">
        <v>13559</v>
      </c>
      <c r="C4068">
        <v>1650</v>
      </c>
      <c r="D4068">
        <v>1350</v>
      </c>
      <c r="E4068">
        <v>150</v>
      </c>
      <c r="F4068" s="67">
        <v>44967</v>
      </c>
    </row>
    <row r="4069" spans="1:6">
      <c r="A4069">
        <v>4068</v>
      </c>
      <c r="B4069" t="s">
        <v>13562</v>
      </c>
      <c r="C4069">
        <v>1650</v>
      </c>
      <c r="D4069">
        <v>1350</v>
      </c>
      <c r="E4069">
        <v>150</v>
      </c>
      <c r="F4069" s="67">
        <v>44967</v>
      </c>
    </row>
    <row r="4070" spans="1:6">
      <c r="A4070">
        <v>4069</v>
      </c>
      <c r="B4070" t="s">
        <v>13565</v>
      </c>
      <c r="C4070">
        <v>1650</v>
      </c>
      <c r="D4070">
        <v>1350</v>
      </c>
      <c r="E4070">
        <v>150</v>
      </c>
      <c r="F4070" s="67">
        <v>44967</v>
      </c>
    </row>
    <row r="4071" spans="1:6">
      <c r="A4071">
        <v>4070</v>
      </c>
      <c r="B4071" t="s">
        <v>13568</v>
      </c>
      <c r="C4071">
        <v>250</v>
      </c>
      <c r="D4071">
        <v>750</v>
      </c>
      <c r="E4071">
        <v>50</v>
      </c>
      <c r="F4071" s="73">
        <v>44936</v>
      </c>
    </row>
    <row r="4072" spans="1:6">
      <c r="A4072">
        <v>4071</v>
      </c>
      <c r="B4072" t="s">
        <v>13571</v>
      </c>
      <c r="C4072">
        <v>250</v>
      </c>
      <c r="D4072">
        <v>750</v>
      </c>
      <c r="E4072">
        <v>50</v>
      </c>
      <c r="F4072" s="60">
        <v>44905</v>
      </c>
    </row>
    <row r="4073" spans="1:6">
      <c r="A4073">
        <v>4072</v>
      </c>
      <c r="B4073" t="s">
        <v>13575</v>
      </c>
      <c r="C4073">
        <v>250</v>
      </c>
      <c r="D4073">
        <v>750</v>
      </c>
      <c r="E4073">
        <v>50</v>
      </c>
      <c r="F4073" s="69">
        <v>44930</v>
      </c>
    </row>
    <row r="4074" spans="1:6">
      <c r="A4074">
        <v>4073</v>
      </c>
      <c r="B4074" t="s">
        <v>13578</v>
      </c>
      <c r="C4074">
        <v>250</v>
      </c>
      <c r="D4074">
        <v>750</v>
      </c>
      <c r="E4074">
        <v>50</v>
      </c>
      <c r="F4074" s="75">
        <v>44925</v>
      </c>
    </row>
    <row r="4075" spans="1:6">
      <c r="A4075">
        <v>4074</v>
      </c>
      <c r="B4075" t="s">
        <v>13581</v>
      </c>
      <c r="C4075">
        <v>250</v>
      </c>
      <c r="D4075">
        <v>750</v>
      </c>
      <c r="E4075">
        <v>50</v>
      </c>
      <c r="F4075" s="61">
        <v>45001</v>
      </c>
    </row>
    <row r="4076" spans="1:6">
      <c r="A4076">
        <v>4075</v>
      </c>
      <c r="B4076" t="s">
        <v>13585</v>
      </c>
      <c r="C4076">
        <v>250</v>
      </c>
      <c r="D4076">
        <v>750</v>
      </c>
      <c r="E4076">
        <v>50</v>
      </c>
      <c r="F4076" s="70">
        <v>44901</v>
      </c>
    </row>
    <row r="4077" spans="1:6">
      <c r="A4077">
        <v>4076</v>
      </c>
      <c r="B4077" t="s">
        <v>13589</v>
      </c>
      <c r="C4077">
        <v>250</v>
      </c>
      <c r="D4077">
        <v>750</v>
      </c>
      <c r="E4077">
        <v>50</v>
      </c>
      <c r="F4077" s="61">
        <v>44910</v>
      </c>
    </row>
    <row r="4078" spans="1:6">
      <c r="A4078">
        <v>4077</v>
      </c>
      <c r="B4078" t="s">
        <v>13592</v>
      </c>
      <c r="C4078">
        <v>1000</v>
      </c>
      <c r="D4078">
        <v>0</v>
      </c>
      <c r="E4078">
        <v>50</v>
      </c>
      <c r="F4078" s="60">
        <v>44844</v>
      </c>
    </row>
    <row r="4079" spans="1:6">
      <c r="A4079">
        <v>4078</v>
      </c>
      <c r="B4079" t="s">
        <v>13596</v>
      </c>
      <c r="C4079">
        <v>250</v>
      </c>
      <c r="D4079">
        <v>750</v>
      </c>
      <c r="E4079">
        <v>50</v>
      </c>
      <c r="F4079" s="72">
        <v>44902</v>
      </c>
    </row>
    <row r="4080" spans="1:6">
      <c r="A4080">
        <v>4079</v>
      </c>
      <c r="B4080" t="s">
        <v>13599</v>
      </c>
      <c r="C4080">
        <v>250</v>
      </c>
      <c r="D4080">
        <v>750</v>
      </c>
      <c r="E4080">
        <v>50</v>
      </c>
      <c r="F4080" s="61">
        <v>44921</v>
      </c>
    </row>
    <row r="4081" spans="1:6">
      <c r="A4081">
        <v>4080</v>
      </c>
      <c r="B4081" t="s">
        <v>13603</v>
      </c>
      <c r="C4081">
        <v>250</v>
      </c>
      <c r="D4081">
        <v>750</v>
      </c>
      <c r="E4081">
        <v>50</v>
      </c>
      <c r="F4081" s="61">
        <v>45009</v>
      </c>
    </row>
    <row r="4082" spans="1:6">
      <c r="A4082">
        <v>4081</v>
      </c>
      <c r="B4082" t="s">
        <v>13606</v>
      </c>
      <c r="C4082">
        <v>1000</v>
      </c>
      <c r="D4082">
        <v>0</v>
      </c>
      <c r="E4082">
        <v>50</v>
      </c>
      <c r="F4082" s="69">
        <v>44963</v>
      </c>
    </row>
    <row r="4083" spans="1:6">
      <c r="A4083">
        <v>4082</v>
      </c>
      <c r="B4083" t="s">
        <v>13609</v>
      </c>
      <c r="C4083">
        <v>250</v>
      </c>
      <c r="D4083">
        <v>750</v>
      </c>
      <c r="E4083">
        <v>50</v>
      </c>
      <c r="F4083" s="117" t="s">
        <v>16669</v>
      </c>
    </row>
    <row r="4084" spans="1:6">
      <c r="A4084">
        <v>4083</v>
      </c>
      <c r="B4084" t="s">
        <v>13612</v>
      </c>
      <c r="C4084">
        <v>1000</v>
      </c>
      <c r="D4084">
        <v>0</v>
      </c>
      <c r="E4084">
        <v>50</v>
      </c>
      <c r="F4084" s="60">
        <v>44918</v>
      </c>
    </row>
    <row r="4085" spans="1:6">
      <c r="A4085">
        <v>4084</v>
      </c>
      <c r="B4085" t="s">
        <v>13616</v>
      </c>
      <c r="C4085">
        <v>250</v>
      </c>
      <c r="D4085">
        <v>750</v>
      </c>
      <c r="E4085">
        <v>50</v>
      </c>
      <c r="F4085" s="60">
        <v>44846</v>
      </c>
    </row>
    <row r="4086" spans="1:6">
      <c r="A4086">
        <v>4085</v>
      </c>
      <c r="B4086" t="s">
        <v>13619</v>
      </c>
      <c r="C4086">
        <v>250</v>
      </c>
      <c r="D4086">
        <v>750</v>
      </c>
      <c r="E4086">
        <v>50</v>
      </c>
      <c r="F4086" s="73">
        <v>45201</v>
      </c>
    </row>
    <row r="4087" spans="1:6">
      <c r="A4087">
        <v>4086</v>
      </c>
      <c r="B4087" t="s">
        <v>13622</v>
      </c>
      <c r="C4087">
        <v>250</v>
      </c>
      <c r="D4087">
        <v>750</v>
      </c>
      <c r="E4087">
        <v>50</v>
      </c>
      <c r="F4087" s="60">
        <v>44866</v>
      </c>
    </row>
    <row r="4088" spans="1:6">
      <c r="A4088">
        <v>4087</v>
      </c>
      <c r="B4088" t="s">
        <v>13626</v>
      </c>
      <c r="C4088">
        <v>250</v>
      </c>
      <c r="D4088">
        <v>750</v>
      </c>
      <c r="E4088">
        <v>50</v>
      </c>
      <c r="F4088" s="60">
        <v>44847</v>
      </c>
    </row>
    <row r="4089" spans="1:6">
      <c r="A4089">
        <v>4088</v>
      </c>
      <c r="B4089" t="s">
        <v>13629</v>
      </c>
      <c r="C4089">
        <v>500</v>
      </c>
      <c r="D4089">
        <v>500</v>
      </c>
      <c r="E4089">
        <v>50</v>
      </c>
      <c r="F4089" s="75">
        <v>44844</v>
      </c>
    </row>
    <row r="4090" spans="1:6">
      <c r="A4090">
        <v>4089</v>
      </c>
      <c r="B4090" t="s">
        <v>13633</v>
      </c>
      <c r="C4090">
        <v>250</v>
      </c>
      <c r="D4090">
        <v>750</v>
      </c>
      <c r="E4090">
        <v>50</v>
      </c>
      <c r="F4090" s="73">
        <v>45042</v>
      </c>
    </row>
    <row r="4091" spans="1:6">
      <c r="A4091">
        <v>4090</v>
      </c>
      <c r="B4091" t="s">
        <v>13637</v>
      </c>
      <c r="C4091">
        <v>250</v>
      </c>
      <c r="D4091">
        <v>750</v>
      </c>
      <c r="E4091">
        <v>50</v>
      </c>
      <c r="F4091" s="61">
        <v>44909</v>
      </c>
    </row>
    <row r="4092" spans="1:6">
      <c r="A4092">
        <v>4091</v>
      </c>
      <c r="B4092" t="s">
        <v>13641</v>
      </c>
      <c r="C4092">
        <v>250</v>
      </c>
      <c r="D4092">
        <v>750</v>
      </c>
      <c r="E4092">
        <v>50</v>
      </c>
      <c r="F4092" s="60">
        <v>44950</v>
      </c>
    </row>
    <row r="4093" spans="1:6">
      <c r="A4093">
        <v>4092</v>
      </c>
      <c r="B4093" t="s">
        <v>13644</v>
      </c>
      <c r="C4093">
        <v>250</v>
      </c>
      <c r="D4093">
        <v>750</v>
      </c>
      <c r="E4093">
        <v>50</v>
      </c>
      <c r="F4093" s="61">
        <v>44912</v>
      </c>
    </row>
    <row r="4094" spans="1:6">
      <c r="A4094">
        <v>4093</v>
      </c>
      <c r="B4094" t="s">
        <v>13647</v>
      </c>
      <c r="C4094">
        <v>250</v>
      </c>
      <c r="D4094">
        <v>750</v>
      </c>
      <c r="E4094">
        <v>50</v>
      </c>
      <c r="F4094" s="61">
        <v>44855</v>
      </c>
    </row>
    <row r="4095" spans="1:6">
      <c r="A4095">
        <v>4094</v>
      </c>
      <c r="B4095" t="s">
        <v>13651</v>
      </c>
      <c r="C4095">
        <v>250</v>
      </c>
      <c r="D4095">
        <v>750</v>
      </c>
      <c r="E4095">
        <v>50</v>
      </c>
      <c r="F4095" s="71">
        <v>44887</v>
      </c>
    </row>
    <row r="4096" spans="1:6">
      <c r="A4096">
        <v>4095</v>
      </c>
      <c r="B4096" t="s">
        <v>13654</v>
      </c>
      <c r="C4096">
        <v>250</v>
      </c>
      <c r="D4096">
        <v>750</v>
      </c>
      <c r="E4096">
        <v>50</v>
      </c>
      <c r="F4096" s="60">
        <v>44856</v>
      </c>
    </row>
    <row r="4097" spans="1:6">
      <c r="A4097">
        <v>4096</v>
      </c>
      <c r="B4097" t="s">
        <v>13657</v>
      </c>
      <c r="C4097">
        <v>100000</v>
      </c>
      <c r="D4097">
        <v>0</v>
      </c>
      <c r="E4097">
        <v>5000</v>
      </c>
      <c r="F4097" s="65">
        <v>44484</v>
      </c>
    </row>
    <row r="4098" spans="1:6">
      <c r="A4098">
        <v>4097</v>
      </c>
      <c r="B4098" t="s">
        <v>13662</v>
      </c>
      <c r="C4098">
        <v>250</v>
      </c>
      <c r="D4098">
        <v>750</v>
      </c>
      <c r="E4098">
        <v>50</v>
      </c>
      <c r="F4098" s="60">
        <v>44849</v>
      </c>
    </row>
    <row r="4099" spans="1:6">
      <c r="A4099">
        <v>4098</v>
      </c>
      <c r="B4099" t="s">
        <v>13665</v>
      </c>
      <c r="C4099">
        <v>250</v>
      </c>
      <c r="D4099">
        <v>750</v>
      </c>
      <c r="E4099">
        <v>50</v>
      </c>
      <c r="F4099" s="73">
        <v>44985</v>
      </c>
    </row>
    <row r="4100" spans="1:6">
      <c r="A4100">
        <v>4099</v>
      </c>
      <c r="B4100" t="s">
        <v>13668</v>
      </c>
      <c r="C4100">
        <v>5000</v>
      </c>
      <c r="D4100">
        <v>15000</v>
      </c>
      <c r="E4100">
        <v>1000</v>
      </c>
      <c r="F4100" s="67">
        <v>44960</v>
      </c>
    </row>
    <row r="4101" spans="1:6">
      <c r="A4101">
        <v>4100</v>
      </c>
      <c r="B4101" t="s">
        <v>13671</v>
      </c>
      <c r="C4101">
        <v>25000</v>
      </c>
      <c r="D4101">
        <v>75000</v>
      </c>
      <c r="E4101">
        <v>5000</v>
      </c>
      <c r="F4101" s="77">
        <v>44518</v>
      </c>
    </row>
    <row r="4102" spans="1:6">
      <c r="A4102">
        <v>4101</v>
      </c>
      <c r="B4102" t="s">
        <v>13674</v>
      </c>
      <c r="C4102">
        <v>500</v>
      </c>
      <c r="D4102">
        <v>500</v>
      </c>
      <c r="E4102">
        <v>50</v>
      </c>
      <c r="F4102" s="75">
        <v>44847</v>
      </c>
    </row>
    <row r="4103" spans="1:6">
      <c r="A4103">
        <v>4102</v>
      </c>
      <c r="B4103" t="s">
        <v>13677</v>
      </c>
      <c r="C4103">
        <v>250</v>
      </c>
      <c r="D4103">
        <v>750</v>
      </c>
      <c r="E4103">
        <v>50</v>
      </c>
      <c r="F4103" s="61">
        <v>44873</v>
      </c>
    </row>
    <row r="4104" spans="1:6">
      <c r="A4104">
        <v>4103</v>
      </c>
      <c r="B4104" t="s">
        <v>13680</v>
      </c>
      <c r="C4104">
        <v>250</v>
      </c>
      <c r="D4104">
        <v>750</v>
      </c>
      <c r="E4104">
        <v>50</v>
      </c>
      <c r="F4104" s="61">
        <v>44873</v>
      </c>
    </row>
    <row r="4105" spans="1:6">
      <c r="A4105">
        <v>4104</v>
      </c>
      <c r="B4105" t="s">
        <v>13683</v>
      </c>
      <c r="C4105">
        <v>12500</v>
      </c>
      <c r="D4105">
        <v>37500</v>
      </c>
      <c r="E4105">
        <v>2500</v>
      </c>
      <c r="F4105" s="65">
        <v>44441</v>
      </c>
    </row>
    <row r="4106" ht="15" spans="1:6">
      <c r="A4106">
        <v>4105</v>
      </c>
      <c r="B4106" t="s">
        <v>13688</v>
      </c>
      <c r="C4106">
        <v>1000000</v>
      </c>
      <c r="D4106">
        <v>500000</v>
      </c>
      <c r="E4106" t="s">
        <v>16642</v>
      </c>
      <c r="F4106" s="81">
        <f>IFERROR(__xludf.DUMMYFUNCTION("""COMPUTED_VALUE"""),45083)</f>
        <v>45083</v>
      </c>
    </row>
    <row r="4107" spans="1:6">
      <c r="A4107">
        <v>4106</v>
      </c>
      <c r="B4107" t="s">
        <v>13689</v>
      </c>
      <c r="C4107">
        <v>45000</v>
      </c>
      <c r="D4107">
        <v>0</v>
      </c>
      <c r="F4107" s="65">
        <v>44315</v>
      </c>
    </row>
    <row r="4108" spans="1:6">
      <c r="A4108">
        <v>4107</v>
      </c>
      <c r="B4108" t="s">
        <v>13693</v>
      </c>
      <c r="C4108">
        <v>12500</v>
      </c>
      <c r="D4108">
        <v>37500</v>
      </c>
      <c r="E4108">
        <v>2500</v>
      </c>
      <c r="F4108" s="77">
        <v>44882</v>
      </c>
    </row>
    <row r="4109" spans="1:6">
      <c r="A4109">
        <v>4108</v>
      </c>
      <c r="B4109" t="s">
        <v>13696</v>
      </c>
      <c r="C4109">
        <v>2100</v>
      </c>
      <c r="D4109">
        <v>0</v>
      </c>
      <c r="E4109">
        <v>105</v>
      </c>
      <c r="F4109" s="77" t="s">
        <v>16854</v>
      </c>
    </row>
    <row r="4110" spans="1:6">
      <c r="A4110">
        <v>4109</v>
      </c>
      <c r="B4110" t="s">
        <v>13699</v>
      </c>
      <c r="C4110">
        <v>1000</v>
      </c>
      <c r="D4110">
        <v>0</v>
      </c>
      <c r="E4110">
        <v>50</v>
      </c>
      <c r="F4110" s="75">
        <v>44881</v>
      </c>
    </row>
    <row r="4111" spans="1:6">
      <c r="A4111">
        <v>4110</v>
      </c>
      <c r="B4111" t="s">
        <v>13702</v>
      </c>
      <c r="C4111">
        <v>20000</v>
      </c>
      <c r="D4111">
        <v>0</v>
      </c>
      <c r="E4111">
        <v>1000</v>
      </c>
      <c r="F4111" s="61">
        <v>44880</v>
      </c>
    </row>
    <row r="4112" spans="1:6">
      <c r="A4112">
        <v>4111</v>
      </c>
      <c r="B4112" t="s">
        <v>13706</v>
      </c>
      <c r="C4112">
        <v>250</v>
      </c>
      <c r="D4112">
        <v>750</v>
      </c>
      <c r="E4112">
        <v>50</v>
      </c>
      <c r="F4112" s="60">
        <v>44935</v>
      </c>
    </row>
    <row r="4113" spans="1:6">
      <c r="A4113">
        <v>4112</v>
      </c>
      <c r="B4113" t="s">
        <v>13709</v>
      </c>
      <c r="C4113">
        <v>4000</v>
      </c>
      <c r="D4113">
        <v>0</v>
      </c>
      <c r="E4113">
        <v>200</v>
      </c>
      <c r="F4113" s="65">
        <v>44659</v>
      </c>
    </row>
    <row r="4114" spans="1:6">
      <c r="A4114">
        <v>4113</v>
      </c>
      <c r="B4114" t="s">
        <v>13713</v>
      </c>
      <c r="C4114">
        <v>250</v>
      </c>
      <c r="D4114">
        <v>750</v>
      </c>
      <c r="E4114">
        <v>50</v>
      </c>
      <c r="F4114" s="60">
        <v>44911</v>
      </c>
    </row>
    <row r="4115" spans="1:6">
      <c r="A4115">
        <v>4114</v>
      </c>
      <c r="B4115" t="s">
        <v>13716</v>
      </c>
      <c r="C4115">
        <v>100000</v>
      </c>
      <c r="D4115">
        <v>0</v>
      </c>
      <c r="E4115">
        <v>5000</v>
      </c>
      <c r="F4115" s="64" t="s">
        <v>16641</v>
      </c>
    </row>
    <row r="4116" spans="1:6">
      <c r="A4116">
        <v>4115</v>
      </c>
      <c r="B4116" t="s">
        <v>13720</v>
      </c>
      <c r="C4116">
        <v>100000</v>
      </c>
      <c r="D4116">
        <v>0</v>
      </c>
      <c r="E4116" t="s">
        <v>16642</v>
      </c>
      <c r="F4116" s="66"/>
    </row>
    <row r="4117" spans="1:6">
      <c r="A4117">
        <v>4116</v>
      </c>
      <c r="B4117" t="s">
        <v>13723</v>
      </c>
      <c r="C4117">
        <v>250</v>
      </c>
      <c r="D4117">
        <v>750</v>
      </c>
      <c r="E4117">
        <v>50</v>
      </c>
      <c r="F4117" s="61">
        <v>44938</v>
      </c>
    </row>
    <row r="4118" spans="1:6">
      <c r="A4118">
        <v>4117</v>
      </c>
      <c r="B4118" t="s">
        <v>13726</v>
      </c>
      <c r="C4118">
        <v>1000</v>
      </c>
      <c r="D4118">
        <v>0</v>
      </c>
      <c r="E4118">
        <v>50</v>
      </c>
      <c r="F4118" s="73">
        <v>45279</v>
      </c>
    </row>
    <row r="4119" spans="1:6">
      <c r="A4119">
        <v>4118</v>
      </c>
      <c r="B4119" t="s">
        <v>13729</v>
      </c>
      <c r="C4119">
        <v>10000</v>
      </c>
      <c r="D4119">
        <v>0</v>
      </c>
      <c r="E4119">
        <v>500</v>
      </c>
      <c r="F4119" s="77">
        <v>44865</v>
      </c>
    </row>
    <row r="4120" spans="1:6">
      <c r="A4120">
        <v>4119</v>
      </c>
      <c r="B4120" t="s">
        <v>13732</v>
      </c>
      <c r="C4120">
        <v>250</v>
      </c>
      <c r="D4120">
        <v>750</v>
      </c>
      <c r="E4120">
        <v>50</v>
      </c>
      <c r="F4120" s="60">
        <v>44851</v>
      </c>
    </row>
    <row r="4121" spans="1:6">
      <c r="A4121">
        <v>4120</v>
      </c>
      <c r="B4121" t="s">
        <v>13736</v>
      </c>
      <c r="C4121">
        <v>250</v>
      </c>
      <c r="D4121">
        <v>750</v>
      </c>
      <c r="E4121">
        <v>50</v>
      </c>
      <c r="F4121" s="60">
        <v>44910</v>
      </c>
    </row>
    <row r="4122" spans="1:6">
      <c r="A4122">
        <v>4121</v>
      </c>
      <c r="B4122" t="s">
        <v>13739</v>
      </c>
      <c r="C4122">
        <v>1000</v>
      </c>
      <c r="D4122">
        <v>0</v>
      </c>
      <c r="E4122">
        <v>50</v>
      </c>
      <c r="F4122" s="75">
        <v>44865</v>
      </c>
    </row>
    <row r="4123" spans="1:6">
      <c r="A4123">
        <v>4122</v>
      </c>
      <c r="B4123" t="s">
        <v>13742</v>
      </c>
      <c r="C4123">
        <v>500</v>
      </c>
      <c r="D4123">
        <v>500</v>
      </c>
      <c r="E4123">
        <v>50</v>
      </c>
      <c r="F4123" s="61">
        <v>45103</v>
      </c>
    </row>
    <row r="4124" spans="1:6">
      <c r="A4124">
        <v>4123</v>
      </c>
      <c r="B4124" t="s">
        <v>13745</v>
      </c>
      <c r="C4124">
        <v>250</v>
      </c>
      <c r="D4124">
        <v>750</v>
      </c>
      <c r="E4124">
        <v>50</v>
      </c>
      <c r="F4124" s="61">
        <v>44917</v>
      </c>
    </row>
    <row r="4125" spans="1:6">
      <c r="A4125">
        <v>4124</v>
      </c>
      <c r="B4125" t="s">
        <v>13748</v>
      </c>
      <c r="C4125">
        <v>1000</v>
      </c>
      <c r="D4125">
        <v>0</v>
      </c>
      <c r="E4125">
        <v>50</v>
      </c>
      <c r="F4125" s="69">
        <v>45279</v>
      </c>
    </row>
    <row r="4126" spans="1:6">
      <c r="A4126">
        <v>4125</v>
      </c>
      <c r="B4126" t="s">
        <v>13752</v>
      </c>
      <c r="C4126">
        <v>500</v>
      </c>
      <c r="D4126">
        <v>500</v>
      </c>
      <c r="E4126">
        <v>50</v>
      </c>
      <c r="F4126" s="99">
        <v>44563</v>
      </c>
    </row>
    <row r="4127" ht="15" spans="1:6">
      <c r="A4127">
        <v>4126</v>
      </c>
      <c r="B4127" t="s">
        <v>13755</v>
      </c>
      <c r="C4127">
        <v>20000</v>
      </c>
      <c r="D4127">
        <v>0</v>
      </c>
      <c r="E4127" t="s">
        <v>16642</v>
      </c>
      <c r="F4127" s="142">
        <v>45028</v>
      </c>
    </row>
    <row r="4128" spans="1:6">
      <c r="A4128">
        <v>4127</v>
      </c>
      <c r="B4128" t="s">
        <v>13758</v>
      </c>
      <c r="C4128">
        <v>2500</v>
      </c>
      <c r="D4128">
        <v>7500</v>
      </c>
      <c r="E4128">
        <v>500</v>
      </c>
      <c r="F4128" s="64" t="s">
        <v>16720</v>
      </c>
    </row>
    <row r="4129" spans="1:6">
      <c r="A4129">
        <v>4128</v>
      </c>
      <c r="B4129" t="s">
        <v>13762</v>
      </c>
      <c r="C4129">
        <v>10000</v>
      </c>
      <c r="D4129">
        <v>0</v>
      </c>
      <c r="E4129">
        <v>500</v>
      </c>
      <c r="F4129" s="74">
        <v>44931</v>
      </c>
    </row>
    <row r="4130" spans="1:6">
      <c r="A4130">
        <v>4129</v>
      </c>
      <c r="B4130" t="s">
        <v>13765</v>
      </c>
      <c r="C4130">
        <v>100000</v>
      </c>
      <c r="D4130">
        <v>0</v>
      </c>
      <c r="E4130" t="s">
        <v>16642</v>
      </c>
      <c r="F4130" s="96">
        <v>44938</v>
      </c>
    </row>
    <row r="4131" spans="1:6">
      <c r="A4131">
        <v>4130</v>
      </c>
      <c r="B4131" t="s">
        <v>13765</v>
      </c>
      <c r="C4131">
        <v>100000</v>
      </c>
      <c r="D4131">
        <v>0</v>
      </c>
      <c r="E4131" t="s">
        <v>16642</v>
      </c>
      <c r="F4131" s="85"/>
    </row>
    <row r="4132" spans="1:6">
      <c r="A4132">
        <v>4131</v>
      </c>
      <c r="B4132" t="s">
        <v>13770</v>
      </c>
      <c r="C4132">
        <v>3000</v>
      </c>
      <c r="D4132">
        <v>0</v>
      </c>
      <c r="E4132">
        <v>150</v>
      </c>
      <c r="F4132" s="91" t="s">
        <v>16715</v>
      </c>
    </row>
    <row r="4133" ht="15" spans="1:6">
      <c r="A4133">
        <v>4132</v>
      </c>
      <c r="B4133" t="s">
        <v>13770</v>
      </c>
      <c r="C4133">
        <v>1000000</v>
      </c>
      <c r="D4133">
        <v>500000</v>
      </c>
      <c r="E4133" t="s">
        <v>16642</v>
      </c>
      <c r="F4133" s="98">
        <f>IFERROR(__xludf.DUMMYFUNCTION("""COMPUTED_VALUE"""),45084)</f>
        <v>45084</v>
      </c>
    </row>
    <row r="4134" spans="1:6">
      <c r="A4134">
        <v>4133</v>
      </c>
      <c r="B4134" t="s">
        <v>13773</v>
      </c>
      <c r="C4134">
        <v>250</v>
      </c>
      <c r="D4134">
        <v>750</v>
      </c>
      <c r="E4134">
        <v>50</v>
      </c>
      <c r="F4134" s="61">
        <v>44928</v>
      </c>
    </row>
    <row r="4135" spans="1:6">
      <c r="A4135">
        <v>4134</v>
      </c>
      <c r="B4135" t="s">
        <v>13776</v>
      </c>
      <c r="C4135">
        <v>50000</v>
      </c>
      <c r="D4135">
        <v>0</v>
      </c>
      <c r="E4135">
        <v>2500</v>
      </c>
      <c r="F4135" s="65">
        <v>44441</v>
      </c>
    </row>
    <row r="4136" ht="15" spans="1:6">
      <c r="A4136">
        <v>4135</v>
      </c>
      <c r="B4136" t="s">
        <v>13781</v>
      </c>
      <c r="C4136">
        <v>1000000</v>
      </c>
      <c r="D4136">
        <v>500000</v>
      </c>
      <c r="E4136" t="s">
        <v>16642</v>
      </c>
      <c r="F4136" s="81">
        <f>IFERROR(__xludf.DUMMYFUNCTION("""COMPUTED_VALUE"""),45077)</f>
        <v>45077</v>
      </c>
    </row>
    <row r="4137" ht="15" spans="1:6">
      <c r="A4137">
        <v>4136</v>
      </c>
      <c r="B4137" t="s">
        <v>13782</v>
      </c>
      <c r="C4137">
        <v>1000000</v>
      </c>
      <c r="D4137">
        <v>500000</v>
      </c>
      <c r="E4137" t="s">
        <v>16642</v>
      </c>
      <c r="F4137" s="81">
        <f>IFERROR(__xludf.DUMMYFUNCTION("""COMPUTED_VALUE"""),45077)</f>
        <v>45077</v>
      </c>
    </row>
    <row r="4138" spans="1:6">
      <c r="A4138">
        <v>4137</v>
      </c>
      <c r="B4138" t="s">
        <v>13783</v>
      </c>
      <c r="C4138">
        <v>250</v>
      </c>
      <c r="D4138">
        <v>750</v>
      </c>
      <c r="E4138">
        <v>50</v>
      </c>
      <c r="F4138" s="60">
        <v>44834</v>
      </c>
    </row>
    <row r="4139" spans="1:6">
      <c r="A4139">
        <v>4138</v>
      </c>
      <c r="B4139" t="s">
        <v>13787</v>
      </c>
      <c r="C4139">
        <v>250</v>
      </c>
      <c r="D4139">
        <v>750</v>
      </c>
      <c r="E4139">
        <v>50</v>
      </c>
      <c r="F4139" s="72">
        <v>44853</v>
      </c>
    </row>
    <row r="4140" spans="1:6">
      <c r="A4140">
        <v>4139</v>
      </c>
      <c r="B4140" t="s">
        <v>13791</v>
      </c>
      <c r="C4140">
        <v>2000</v>
      </c>
      <c r="D4140">
        <v>0</v>
      </c>
      <c r="E4140">
        <v>100</v>
      </c>
      <c r="F4140" s="64" t="s">
        <v>16841</v>
      </c>
    </row>
    <row r="4141" spans="1:6">
      <c r="A4141">
        <v>4140</v>
      </c>
      <c r="B4141" t="s">
        <v>13795</v>
      </c>
      <c r="C4141">
        <v>250</v>
      </c>
      <c r="D4141">
        <v>750</v>
      </c>
      <c r="E4141">
        <v>50</v>
      </c>
      <c r="F4141" s="78">
        <v>44926</v>
      </c>
    </row>
    <row r="4142" spans="1:6">
      <c r="A4142">
        <v>4141</v>
      </c>
      <c r="B4142" t="s">
        <v>13798</v>
      </c>
      <c r="C4142">
        <v>1000</v>
      </c>
      <c r="D4142">
        <v>0</v>
      </c>
      <c r="E4142">
        <v>50</v>
      </c>
      <c r="F4142" s="60">
        <v>44866</v>
      </c>
    </row>
    <row r="4143" spans="1:6">
      <c r="A4143">
        <v>4142</v>
      </c>
      <c r="B4143" t="s">
        <v>13802</v>
      </c>
      <c r="C4143">
        <v>250</v>
      </c>
      <c r="D4143">
        <v>750</v>
      </c>
      <c r="E4143">
        <v>50</v>
      </c>
      <c r="F4143" s="61">
        <v>44866</v>
      </c>
    </row>
    <row r="4144" spans="1:6">
      <c r="A4144">
        <v>4143</v>
      </c>
      <c r="B4144" t="s">
        <v>13806</v>
      </c>
      <c r="C4144">
        <v>250</v>
      </c>
      <c r="D4144">
        <v>750</v>
      </c>
      <c r="E4144">
        <v>50</v>
      </c>
      <c r="F4144" s="69">
        <v>44932</v>
      </c>
    </row>
    <row r="4145" spans="1:6">
      <c r="A4145">
        <v>4144</v>
      </c>
      <c r="B4145" t="s">
        <v>13809</v>
      </c>
      <c r="C4145">
        <v>250</v>
      </c>
      <c r="D4145">
        <v>750</v>
      </c>
      <c r="E4145">
        <v>50</v>
      </c>
      <c r="F4145" s="73">
        <v>45277</v>
      </c>
    </row>
    <row r="4146" spans="1:6">
      <c r="A4146">
        <v>4145</v>
      </c>
      <c r="B4146" t="s">
        <v>13812</v>
      </c>
      <c r="C4146">
        <v>1000</v>
      </c>
      <c r="D4146">
        <v>0</v>
      </c>
      <c r="E4146">
        <v>50</v>
      </c>
      <c r="F4146" s="61">
        <v>44902</v>
      </c>
    </row>
    <row r="4147" spans="1:6">
      <c r="A4147">
        <v>4146</v>
      </c>
      <c r="B4147" t="s">
        <v>13816</v>
      </c>
      <c r="C4147">
        <v>250</v>
      </c>
      <c r="D4147">
        <v>750</v>
      </c>
      <c r="E4147">
        <v>50</v>
      </c>
      <c r="F4147" s="71">
        <v>44894</v>
      </c>
    </row>
    <row r="4148" spans="1:6">
      <c r="A4148">
        <v>4147</v>
      </c>
      <c r="B4148" t="s">
        <v>13819</v>
      </c>
      <c r="C4148">
        <v>250</v>
      </c>
      <c r="D4148">
        <v>750</v>
      </c>
      <c r="E4148">
        <v>50</v>
      </c>
      <c r="F4148" s="60">
        <v>44921</v>
      </c>
    </row>
    <row r="4149" spans="1:6">
      <c r="A4149">
        <v>4148</v>
      </c>
      <c r="B4149" t="s">
        <v>13822</v>
      </c>
      <c r="C4149">
        <v>1000</v>
      </c>
      <c r="D4149">
        <v>0</v>
      </c>
      <c r="E4149">
        <v>50</v>
      </c>
      <c r="F4149" s="60">
        <v>44921</v>
      </c>
    </row>
    <row r="4150" spans="1:6">
      <c r="A4150">
        <v>4149</v>
      </c>
      <c r="B4150" t="s">
        <v>13825</v>
      </c>
      <c r="C4150">
        <v>250</v>
      </c>
      <c r="D4150">
        <v>750</v>
      </c>
      <c r="E4150">
        <v>50</v>
      </c>
      <c r="F4150" s="71">
        <v>44907</v>
      </c>
    </row>
    <row r="4151" spans="1:6">
      <c r="A4151">
        <v>4150</v>
      </c>
      <c r="B4151" t="s">
        <v>13828</v>
      </c>
      <c r="C4151">
        <v>250</v>
      </c>
      <c r="D4151">
        <v>750</v>
      </c>
      <c r="E4151">
        <v>50</v>
      </c>
      <c r="F4151" s="70">
        <v>44924</v>
      </c>
    </row>
    <row r="4152" spans="1:6">
      <c r="A4152">
        <v>4151</v>
      </c>
      <c r="B4152" t="s">
        <v>13831</v>
      </c>
      <c r="C4152">
        <v>250</v>
      </c>
      <c r="D4152">
        <v>750</v>
      </c>
      <c r="E4152">
        <v>50</v>
      </c>
      <c r="F4152" s="60">
        <v>44866</v>
      </c>
    </row>
    <row r="4153" spans="1:6">
      <c r="A4153">
        <v>4152</v>
      </c>
      <c r="B4153" t="s">
        <v>13834</v>
      </c>
      <c r="C4153">
        <v>4000</v>
      </c>
      <c r="D4153">
        <v>0</v>
      </c>
      <c r="E4153">
        <v>200</v>
      </c>
      <c r="F4153" s="65">
        <v>44593</v>
      </c>
    </row>
    <row r="4154" spans="1:6">
      <c r="A4154">
        <v>4153</v>
      </c>
      <c r="B4154" t="s">
        <v>13839</v>
      </c>
      <c r="C4154">
        <v>1000</v>
      </c>
      <c r="D4154">
        <v>0</v>
      </c>
      <c r="E4154">
        <v>50</v>
      </c>
      <c r="F4154" s="69">
        <v>44986</v>
      </c>
    </row>
    <row r="4155" spans="1:6">
      <c r="A4155">
        <v>4154</v>
      </c>
      <c r="B4155" t="s">
        <v>13842</v>
      </c>
      <c r="C4155">
        <v>250</v>
      </c>
      <c r="D4155">
        <v>750</v>
      </c>
      <c r="E4155">
        <v>50</v>
      </c>
      <c r="F4155" s="70">
        <v>44847</v>
      </c>
    </row>
    <row r="4156" spans="1:6">
      <c r="A4156">
        <v>4155</v>
      </c>
      <c r="B4156" t="s">
        <v>13845</v>
      </c>
      <c r="C4156">
        <v>3000</v>
      </c>
      <c r="D4156">
        <v>0</v>
      </c>
      <c r="E4156">
        <v>150</v>
      </c>
      <c r="F4156" s="77">
        <v>44667</v>
      </c>
    </row>
    <row r="4157" spans="1:6">
      <c r="A4157">
        <v>4156</v>
      </c>
      <c r="B4157" t="s">
        <v>13848</v>
      </c>
      <c r="C4157">
        <v>200000</v>
      </c>
      <c r="D4157">
        <v>0</v>
      </c>
      <c r="E4157" t="s">
        <v>16642</v>
      </c>
      <c r="F4157" s="104"/>
    </row>
    <row r="4158" spans="1:6">
      <c r="A4158">
        <v>4157</v>
      </c>
      <c r="B4158" t="s">
        <v>13853</v>
      </c>
      <c r="C4158">
        <v>100000</v>
      </c>
      <c r="D4158">
        <v>0</v>
      </c>
      <c r="E4158">
        <v>5000</v>
      </c>
      <c r="F4158" s="91" t="s">
        <v>16767</v>
      </c>
    </row>
    <row r="4159" spans="1:6">
      <c r="A4159">
        <v>4158</v>
      </c>
      <c r="B4159" t="s">
        <v>13853</v>
      </c>
      <c r="C4159">
        <v>200000</v>
      </c>
      <c r="D4159">
        <v>0</v>
      </c>
      <c r="E4159" t="s">
        <v>16642</v>
      </c>
      <c r="F4159" s="84"/>
    </row>
    <row r="4160" spans="1:6">
      <c r="A4160">
        <v>4159</v>
      </c>
      <c r="B4160" t="s">
        <v>13857</v>
      </c>
      <c r="C4160">
        <v>250</v>
      </c>
      <c r="D4160">
        <v>750</v>
      </c>
      <c r="E4160">
        <v>50</v>
      </c>
      <c r="F4160" s="61">
        <v>44869</v>
      </c>
    </row>
    <row r="4161" spans="1:6">
      <c r="A4161">
        <v>4160</v>
      </c>
      <c r="B4161" t="s">
        <v>13860</v>
      </c>
      <c r="C4161">
        <v>250</v>
      </c>
      <c r="D4161">
        <v>750</v>
      </c>
      <c r="E4161">
        <v>50</v>
      </c>
      <c r="F4161" s="60">
        <v>44858</v>
      </c>
    </row>
    <row r="4162" spans="1:6">
      <c r="A4162">
        <v>4161</v>
      </c>
      <c r="B4162" t="s">
        <v>13863</v>
      </c>
      <c r="C4162">
        <v>250</v>
      </c>
      <c r="D4162">
        <v>750</v>
      </c>
      <c r="E4162">
        <v>50</v>
      </c>
      <c r="F4162" s="69">
        <v>45274</v>
      </c>
    </row>
    <row r="4163" ht="15" spans="1:6">
      <c r="A4163">
        <v>4162</v>
      </c>
      <c r="B4163" t="s">
        <v>13866</v>
      </c>
      <c r="C4163">
        <v>1000000</v>
      </c>
      <c r="D4163">
        <v>500000</v>
      </c>
      <c r="E4163" t="s">
        <v>16642</v>
      </c>
      <c r="F4163" s="81">
        <f>IFERROR(__xludf.DUMMYFUNCTION("""COMPUTED_VALUE"""),45082)</f>
        <v>45082</v>
      </c>
    </row>
    <row r="4164" spans="1:6">
      <c r="A4164">
        <v>4163</v>
      </c>
      <c r="B4164" t="s">
        <v>13867</v>
      </c>
      <c r="C4164">
        <v>50000</v>
      </c>
      <c r="D4164">
        <v>150000</v>
      </c>
      <c r="E4164">
        <v>10000</v>
      </c>
      <c r="F4164" s="83">
        <v>44623</v>
      </c>
    </row>
    <row r="4165" spans="1:6">
      <c r="A4165">
        <v>4164</v>
      </c>
      <c r="B4165" t="s">
        <v>13867</v>
      </c>
      <c r="C4165">
        <v>100000</v>
      </c>
      <c r="D4165">
        <v>0</v>
      </c>
      <c r="E4165" t="s">
        <v>16642</v>
      </c>
      <c r="F4165" s="84"/>
    </row>
    <row r="4166" ht="15" spans="1:6">
      <c r="A4166">
        <v>4165</v>
      </c>
      <c r="B4166" t="s">
        <v>13867</v>
      </c>
      <c r="C4166">
        <v>1000000</v>
      </c>
      <c r="D4166">
        <v>500000</v>
      </c>
      <c r="E4166" t="s">
        <v>16642</v>
      </c>
      <c r="F4166" s="98">
        <f>IFERROR(__xludf.DUMMYFUNCTION("""COMPUTED_VALUE"""),45079)</f>
        <v>45079</v>
      </c>
    </row>
    <row r="4167" spans="1:6">
      <c r="A4167">
        <v>4166</v>
      </c>
      <c r="B4167" t="s">
        <v>13868</v>
      </c>
      <c r="C4167">
        <v>2500</v>
      </c>
      <c r="D4167">
        <v>2500</v>
      </c>
      <c r="E4167">
        <v>250</v>
      </c>
      <c r="F4167" s="77">
        <v>44770</v>
      </c>
    </row>
    <row r="4168" ht="15" spans="1:6">
      <c r="A4168">
        <v>4167</v>
      </c>
      <c r="B4168" t="s">
        <v>13871</v>
      </c>
      <c r="C4168">
        <v>1500000</v>
      </c>
      <c r="E4168" t="s">
        <v>16642</v>
      </c>
      <c r="F4168" s="81">
        <f>IFERROR(__xludf.DUMMYFUNCTION("""COMPUTED_VALUE"""),45078)</f>
        <v>45078</v>
      </c>
    </row>
    <row r="4169" spans="1:6">
      <c r="A4169">
        <v>4168</v>
      </c>
      <c r="B4169" t="s">
        <v>13872</v>
      </c>
      <c r="C4169">
        <v>40000</v>
      </c>
      <c r="D4169">
        <v>0</v>
      </c>
      <c r="E4169">
        <v>2000</v>
      </c>
      <c r="F4169" s="79">
        <v>45130</v>
      </c>
    </row>
    <row r="4170" spans="1:6">
      <c r="A4170">
        <v>4169</v>
      </c>
      <c r="B4170" t="s">
        <v>13875</v>
      </c>
      <c r="C4170">
        <v>2000</v>
      </c>
      <c r="D4170">
        <v>0</v>
      </c>
      <c r="E4170">
        <v>100</v>
      </c>
      <c r="F4170" s="61">
        <v>44936</v>
      </c>
    </row>
    <row r="4171" spans="1:6">
      <c r="A4171">
        <v>4170</v>
      </c>
      <c r="B4171" t="s">
        <v>13878</v>
      </c>
      <c r="C4171">
        <v>7000</v>
      </c>
      <c r="D4171">
        <v>0</v>
      </c>
      <c r="E4171">
        <v>350</v>
      </c>
      <c r="F4171" s="77">
        <v>44876</v>
      </c>
    </row>
    <row r="4172" spans="1:6">
      <c r="A4172">
        <v>4171</v>
      </c>
      <c r="B4172" t="s">
        <v>13881</v>
      </c>
      <c r="C4172">
        <v>250</v>
      </c>
      <c r="D4172">
        <v>750</v>
      </c>
      <c r="E4172">
        <v>50</v>
      </c>
      <c r="F4172" s="60">
        <v>44931</v>
      </c>
    </row>
    <row r="4173" ht="31.5" spans="1:6">
      <c r="A4173">
        <v>4172</v>
      </c>
      <c r="B4173" t="s">
        <v>13884</v>
      </c>
      <c r="C4173">
        <v>500000</v>
      </c>
      <c r="D4173">
        <v>0</v>
      </c>
      <c r="E4173" t="s">
        <v>16642</v>
      </c>
      <c r="F4173" s="76" t="s">
        <v>16855</v>
      </c>
    </row>
    <row r="4174" spans="1:6">
      <c r="A4174">
        <v>4173</v>
      </c>
      <c r="B4174" t="s">
        <v>13888</v>
      </c>
      <c r="C4174">
        <v>25000</v>
      </c>
      <c r="D4174">
        <v>75000</v>
      </c>
      <c r="E4174">
        <v>5000</v>
      </c>
      <c r="F4174" s="83">
        <v>44716</v>
      </c>
    </row>
    <row r="4175" spans="1:6">
      <c r="A4175">
        <v>4174</v>
      </c>
      <c r="B4175" t="s">
        <v>13888</v>
      </c>
      <c r="C4175">
        <v>100000</v>
      </c>
      <c r="D4175">
        <v>0</v>
      </c>
      <c r="E4175" t="s">
        <v>16642</v>
      </c>
      <c r="F4175" s="89"/>
    </row>
    <row r="4176" spans="1:6">
      <c r="A4176">
        <v>4175</v>
      </c>
      <c r="B4176" t="s">
        <v>13892</v>
      </c>
      <c r="C4176">
        <v>30000</v>
      </c>
      <c r="D4176">
        <v>0</v>
      </c>
      <c r="E4176">
        <v>1500</v>
      </c>
      <c r="F4176" s="91" t="s">
        <v>16704</v>
      </c>
    </row>
    <row r="4177" spans="1:6">
      <c r="A4177">
        <v>4176</v>
      </c>
      <c r="B4177" t="s">
        <v>13892</v>
      </c>
      <c r="C4177">
        <v>100000</v>
      </c>
      <c r="D4177">
        <v>0</v>
      </c>
      <c r="E4177" t="s">
        <v>16642</v>
      </c>
      <c r="F4177" s="96">
        <v>44861</v>
      </c>
    </row>
    <row r="4178" ht="15" spans="1:6">
      <c r="A4178">
        <v>4177</v>
      </c>
      <c r="B4178" t="s">
        <v>13897</v>
      </c>
      <c r="C4178">
        <v>1500000</v>
      </c>
      <c r="D4178">
        <v>0</v>
      </c>
      <c r="E4178" t="s">
        <v>16642</v>
      </c>
      <c r="F4178" s="81">
        <f>IFERROR(__xludf.DUMMYFUNCTION("""COMPUTED_VALUE"""),45078)</f>
        <v>45078</v>
      </c>
    </row>
    <row r="4179" spans="1:6">
      <c r="A4179">
        <v>4178</v>
      </c>
      <c r="B4179" t="s">
        <v>13898</v>
      </c>
      <c r="C4179">
        <v>2500</v>
      </c>
      <c r="D4179">
        <v>0</v>
      </c>
      <c r="E4179">
        <v>125</v>
      </c>
      <c r="F4179" s="65">
        <v>44699</v>
      </c>
    </row>
    <row r="4180" spans="1:6">
      <c r="A4180">
        <v>4179</v>
      </c>
      <c r="B4180" t="s">
        <v>13902</v>
      </c>
      <c r="C4180">
        <v>100000</v>
      </c>
      <c r="D4180">
        <v>300000</v>
      </c>
      <c r="E4180">
        <v>20000</v>
      </c>
      <c r="F4180" s="64" t="s">
        <v>16856</v>
      </c>
    </row>
    <row r="4181" spans="1:6">
      <c r="A4181">
        <v>4180</v>
      </c>
      <c r="B4181" t="s">
        <v>13906</v>
      </c>
      <c r="C4181">
        <v>25000</v>
      </c>
      <c r="D4181">
        <v>25000</v>
      </c>
      <c r="E4181">
        <v>2500</v>
      </c>
      <c r="F4181" s="77">
        <v>44881</v>
      </c>
    </row>
    <row r="4182" spans="1:6">
      <c r="A4182">
        <v>4181</v>
      </c>
      <c r="B4182" t="s">
        <v>13909</v>
      </c>
      <c r="C4182">
        <v>100000</v>
      </c>
      <c r="D4182">
        <v>0</v>
      </c>
      <c r="E4182" t="s">
        <v>16642</v>
      </c>
      <c r="F4182" s="66"/>
    </row>
    <row r="4183" spans="1:6">
      <c r="A4183">
        <v>4182</v>
      </c>
      <c r="B4183" t="s">
        <v>13914</v>
      </c>
      <c r="C4183">
        <v>250</v>
      </c>
      <c r="D4183">
        <v>750</v>
      </c>
      <c r="E4183">
        <v>50</v>
      </c>
      <c r="F4183" s="71">
        <v>44925</v>
      </c>
    </row>
    <row r="4184" spans="1:6">
      <c r="A4184">
        <v>4183</v>
      </c>
      <c r="B4184" t="s">
        <v>13917</v>
      </c>
      <c r="C4184">
        <v>250</v>
      </c>
      <c r="D4184">
        <v>750</v>
      </c>
      <c r="E4184">
        <v>50</v>
      </c>
      <c r="F4184" s="60">
        <v>44896</v>
      </c>
    </row>
    <row r="4185" spans="1:6">
      <c r="A4185">
        <v>4184</v>
      </c>
      <c r="B4185" t="s">
        <v>13920</v>
      </c>
      <c r="C4185">
        <v>250</v>
      </c>
      <c r="D4185">
        <v>750</v>
      </c>
      <c r="E4185">
        <v>50</v>
      </c>
      <c r="F4185" s="73">
        <v>44858</v>
      </c>
    </row>
    <row r="4186" spans="1:6">
      <c r="A4186">
        <v>4185</v>
      </c>
      <c r="B4186" t="s">
        <v>13923</v>
      </c>
      <c r="C4186">
        <v>500</v>
      </c>
      <c r="D4186">
        <v>500</v>
      </c>
      <c r="E4186">
        <v>50</v>
      </c>
      <c r="F4186" s="61">
        <v>44928</v>
      </c>
    </row>
    <row r="4187" spans="1:6">
      <c r="A4187">
        <v>4186</v>
      </c>
      <c r="B4187" t="s">
        <v>13927</v>
      </c>
      <c r="C4187">
        <v>300</v>
      </c>
      <c r="D4187">
        <v>700</v>
      </c>
      <c r="E4187">
        <v>50</v>
      </c>
      <c r="F4187" s="60">
        <v>44873</v>
      </c>
    </row>
    <row r="4188" spans="1:6">
      <c r="A4188">
        <v>4187</v>
      </c>
      <c r="B4188" t="s">
        <v>13930</v>
      </c>
      <c r="C4188">
        <v>750</v>
      </c>
      <c r="D4188">
        <v>250</v>
      </c>
      <c r="E4188">
        <v>50</v>
      </c>
      <c r="F4188" s="69">
        <v>44957</v>
      </c>
    </row>
    <row r="4189" spans="1:6">
      <c r="A4189">
        <v>4188</v>
      </c>
      <c r="B4189" t="s">
        <v>13933</v>
      </c>
      <c r="C4189">
        <v>300</v>
      </c>
      <c r="D4189">
        <v>700</v>
      </c>
      <c r="E4189">
        <v>50</v>
      </c>
      <c r="F4189" s="60">
        <v>44873</v>
      </c>
    </row>
    <row r="4190" spans="1:6">
      <c r="A4190">
        <v>4189</v>
      </c>
      <c r="B4190" t="s">
        <v>13936</v>
      </c>
      <c r="C4190">
        <v>250</v>
      </c>
      <c r="D4190">
        <v>750</v>
      </c>
      <c r="E4190">
        <v>50</v>
      </c>
      <c r="F4190" s="60">
        <v>44946</v>
      </c>
    </row>
    <row r="4191" spans="1:6">
      <c r="A4191">
        <v>4190</v>
      </c>
      <c r="B4191" t="s">
        <v>13939</v>
      </c>
      <c r="C4191">
        <v>250</v>
      </c>
      <c r="D4191">
        <v>750</v>
      </c>
      <c r="E4191">
        <v>50</v>
      </c>
      <c r="F4191" s="73">
        <v>44867</v>
      </c>
    </row>
    <row r="4192" spans="1:6">
      <c r="A4192">
        <v>4191</v>
      </c>
      <c r="B4192" t="s">
        <v>13942</v>
      </c>
      <c r="C4192">
        <v>250</v>
      </c>
      <c r="D4192">
        <v>750</v>
      </c>
      <c r="E4192">
        <v>50</v>
      </c>
      <c r="F4192" s="61">
        <v>44951</v>
      </c>
    </row>
    <row r="4193" spans="1:6">
      <c r="A4193">
        <v>4192</v>
      </c>
      <c r="B4193" t="s">
        <v>13945</v>
      </c>
      <c r="C4193">
        <v>250</v>
      </c>
      <c r="D4193">
        <v>750</v>
      </c>
      <c r="E4193">
        <v>50</v>
      </c>
      <c r="F4193" s="60">
        <v>44938</v>
      </c>
    </row>
    <row r="4194" spans="1:6">
      <c r="A4194">
        <v>4193</v>
      </c>
      <c r="B4194" t="s">
        <v>13948</v>
      </c>
      <c r="C4194">
        <v>11000</v>
      </c>
      <c r="D4194">
        <v>0</v>
      </c>
      <c r="E4194">
        <v>50</v>
      </c>
      <c r="F4194" s="64" t="s">
        <v>16766</v>
      </c>
    </row>
    <row r="4195" spans="1:6">
      <c r="A4195">
        <v>4194</v>
      </c>
      <c r="B4195" t="s">
        <v>13951</v>
      </c>
      <c r="C4195">
        <v>250</v>
      </c>
      <c r="D4195">
        <v>750</v>
      </c>
      <c r="E4195">
        <v>50</v>
      </c>
      <c r="F4195" s="60">
        <v>44926</v>
      </c>
    </row>
    <row r="4196" ht="15" spans="1:6">
      <c r="A4196">
        <v>4195</v>
      </c>
      <c r="B4196" t="s">
        <v>13954</v>
      </c>
      <c r="C4196">
        <v>3000000</v>
      </c>
      <c r="D4196">
        <v>500000</v>
      </c>
      <c r="E4196" t="s">
        <v>16642</v>
      </c>
      <c r="F4196" s="97">
        <v>45143</v>
      </c>
    </row>
    <row r="4197" ht="15" spans="1:6">
      <c r="A4197">
        <v>4196</v>
      </c>
      <c r="B4197" t="s">
        <v>13954</v>
      </c>
      <c r="C4197">
        <v>3000000</v>
      </c>
      <c r="D4197">
        <v>500000</v>
      </c>
      <c r="E4197" t="s">
        <v>16642</v>
      </c>
      <c r="F4197" s="97">
        <v>45143</v>
      </c>
    </row>
    <row r="4198" spans="1:6">
      <c r="A4198">
        <v>4197</v>
      </c>
      <c r="B4198" t="s">
        <v>13959</v>
      </c>
      <c r="C4198">
        <v>250</v>
      </c>
      <c r="D4198">
        <v>750</v>
      </c>
      <c r="E4198">
        <v>50</v>
      </c>
      <c r="F4198" s="61">
        <v>44856</v>
      </c>
    </row>
    <row r="4199" ht="31.5" spans="1:6">
      <c r="A4199">
        <v>4198</v>
      </c>
      <c r="B4199" t="s">
        <v>13962</v>
      </c>
      <c r="C4199">
        <v>400000</v>
      </c>
      <c r="D4199">
        <v>0</v>
      </c>
      <c r="E4199" t="s">
        <v>16642</v>
      </c>
      <c r="F4199" s="96" t="s">
        <v>16857</v>
      </c>
    </row>
    <row r="4200" spans="1:6">
      <c r="A4200">
        <v>4199</v>
      </c>
      <c r="B4200" t="s">
        <v>13962</v>
      </c>
      <c r="C4200">
        <v>200000</v>
      </c>
      <c r="D4200">
        <v>0</v>
      </c>
      <c r="E4200" t="s">
        <v>16642</v>
      </c>
      <c r="F4200" s="85"/>
    </row>
    <row r="4201" spans="1:6">
      <c r="A4201">
        <v>4200</v>
      </c>
      <c r="B4201" t="s">
        <v>13967</v>
      </c>
      <c r="C4201">
        <v>30000</v>
      </c>
      <c r="D4201">
        <v>0</v>
      </c>
      <c r="E4201">
        <v>1500</v>
      </c>
      <c r="F4201" s="77">
        <v>44840</v>
      </c>
    </row>
    <row r="4202" spans="1:6">
      <c r="A4202">
        <v>4201</v>
      </c>
      <c r="B4202" t="s">
        <v>13970</v>
      </c>
      <c r="C4202">
        <v>250</v>
      </c>
      <c r="D4202">
        <v>750</v>
      </c>
      <c r="E4202">
        <v>50</v>
      </c>
      <c r="F4202" s="61">
        <v>44930</v>
      </c>
    </row>
    <row r="4203" spans="1:6">
      <c r="A4203">
        <v>4202</v>
      </c>
      <c r="B4203" t="s">
        <v>13973</v>
      </c>
      <c r="C4203">
        <v>250</v>
      </c>
      <c r="D4203">
        <v>750</v>
      </c>
      <c r="E4203">
        <v>50</v>
      </c>
      <c r="F4203" s="61">
        <v>44907</v>
      </c>
    </row>
    <row r="4204" spans="1:6">
      <c r="A4204">
        <v>4203</v>
      </c>
      <c r="B4204" t="s">
        <v>13976</v>
      </c>
      <c r="C4204">
        <v>1000</v>
      </c>
      <c r="D4204">
        <v>0</v>
      </c>
      <c r="E4204">
        <v>50</v>
      </c>
      <c r="F4204" s="64" t="s">
        <v>16748</v>
      </c>
    </row>
    <row r="4205" spans="1:6">
      <c r="A4205">
        <v>4204</v>
      </c>
      <c r="B4205" t="s">
        <v>13980</v>
      </c>
      <c r="C4205">
        <v>100000</v>
      </c>
      <c r="D4205">
        <v>0</v>
      </c>
      <c r="E4205" t="s">
        <v>16642</v>
      </c>
      <c r="F4205" s="66"/>
    </row>
    <row r="4206" spans="1:6">
      <c r="A4206">
        <v>4205</v>
      </c>
      <c r="B4206" t="s">
        <v>13985</v>
      </c>
      <c r="C4206">
        <v>10000</v>
      </c>
      <c r="D4206">
        <v>0</v>
      </c>
      <c r="E4206">
        <v>500</v>
      </c>
      <c r="F4206" s="65">
        <v>44734</v>
      </c>
    </row>
    <row r="4207" spans="1:6">
      <c r="A4207">
        <v>4206</v>
      </c>
      <c r="B4207" t="s">
        <v>13989</v>
      </c>
      <c r="C4207">
        <v>37500</v>
      </c>
      <c r="D4207">
        <v>12500</v>
      </c>
      <c r="E4207">
        <v>2500</v>
      </c>
      <c r="F4207" s="65">
        <v>44670</v>
      </c>
    </row>
    <row r="4208" ht="15" spans="1:6">
      <c r="A4208">
        <v>4207</v>
      </c>
      <c r="B4208" t="s">
        <v>13993</v>
      </c>
      <c r="C4208">
        <v>465000</v>
      </c>
      <c r="D4208">
        <v>3035000</v>
      </c>
      <c r="E4208" t="s">
        <v>16642</v>
      </c>
      <c r="F4208" s="92">
        <v>45148</v>
      </c>
    </row>
    <row r="4209" spans="1:6">
      <c r="A4209">
        <v>4208</v>
      </c>
      <c r="B4209" t="s">
        <v>13997</v>
      </c>
      <c r="C4209">
        <v>1250</v>
      </c>
      <c r="D4209">
        <v>3750</v>
      </c>
      <c r="E4209">
        <v>250</v>
      </c>
      <c r="F4209" s="77">
        <v>44748</v>
      </c>
    </row>
    <row r="4210" spans="1:6">
      <c r="A4210">
        <v>4209</v>
      </c>
      <c r="B4210" t="s">
        <v>14000</v>
      </c>
      <c r="C4210">
        <v>1000</v>
      </c>
      <c r="D4210">
        <v>0</v>
      </c>
      <c r="E4210">
        <v>50</v>
      </c>
      <c r="F4210" s="65">
        <v>44522</v>
      </c>
    </row>
    <row r="4211" spans="1:6">
      <c r="A4211">
        <v>4210</v>
      </c>
      <c r="B4211" t="s">
        <v>14004</v>
      </c>
      <c r="C4211">
        <v>2500</v>
      </c>
      <c r="D4211">
        <v>7500</v>
      </c>
      <c r="E4211">
        <v>500</v>
      </c>
      <c r="F4211" s="65">
        <v>44691</v>
      </c>
    </row>
    <row r="4212" spans="1:6">
      <c r="A4212">
        <v>4211</v>
      </c>
      <c r="B4212" t="s">
        <v>14008</v>
      </c>
      <c r="C4212">
        <v>25000</v>
      </c>
      <c r="D4212">
        <v>25000</v>
      </c>
      <c r="E4212">
        <v>2500</v>
      </c>
      <c r="F4212" s="64" t="s">
        <v>16858</v>
      </c>
    </row>
    <row r="4213" spans="1:6">
      <c r="A4213">
        <v>4212</v>
      </c>
      <c r="B4213" t="s">
        <v>14013</v>
      </c>
      <c r="C4213">
        <v>3500</v>
      </c>
      <c r="D4213">
        <v>0</v>
      </c>
      <c r="E4213">
        <v>175</v>
      </c>
      <c r="F4213" s="64" t="s">
        <v>16704</v>
      </c>
    </row>
    <row r="4214" spans="1:6">
      <c r="A4214">
        <v>4213</v>
      </c>
      <c r="B4214" t="s">
        <v>14017</v>
      </c>
      <c r="C4214">
        <v>5000</v>
      </c>
      <c r="D4214">
        <v>0</v>
      </c>
      <c r="E4214">
        <v>250</v>
      </c>
      <c r="F4214" s="67">
        <v>44967</v>
      </c>
    </row>
    <row r="4215" spans="1:6">
      <c r="A4215">
        <v>4214</v>
      </c>
      <c r="B4215" t="s">
        <v>14020</v>
      </c>
      <c r="C4215">
        <v>250</v>
      </c>
      <c r="D4215">
        <v>750</v>
      </c>
      <c r="E4215">
        <v>50</v>
      </c>
      <c r="F4215" s="61">
        <v>44947</v>
      </c>
    </row>
    <row r="4216" spans="1:6">
      <c r="A4216">
        <v>4215</v>
      </c>
      <c r="B4216" t="s">
        <v>14024</v>
      </c>
      <c r="C4216">
        <v>20000</v>
      </c>
      <c r="D4216">
        <v>0</v>
      </c>
      <c r="E4216">
        <v>1000</v>
      </c>
      <c r="F4216" s="77">
        <v>44488</v>
      </c>
    </row>
    <row r="4217" spans="1:6">
      <c r="A4217">
        <v>4216</v>
      </c>
      <c r="B4217" t="s">
        <v>14027</v>
      </c>
      <c r="C4217">
        <v>10000</v>
      </c>
      <c r="D4217">
        <v>0</v>
      </c>
      <c r="E4217">
        <v>500</v>
      </c>
      <c r="F4217" s="109">
        <v>44796</v>
      </c>
    </row>
    <row r="4218" spans="1:6">
      <c r="A4218">
        <v>4217</v>
      </c>
      <c r="B4218" t="s">
        <v>14030</v>
      </c>
      <c r="C4218">
        <v>10000</v>
      </c>
      <c r="D4218">
        <v>30000</v>
      </c>
      <c r="E4218">
        <v>2000</v>
      </c>
      <c r="F4218" s="64" t="s">
        <v>16755</v>
      </c>
    </row>
    <row r="4219" spans="1:6">
      <c r="A4219">
        <v>4218</v>
      </c>
      <c r="B4219" t="s">
        <v>14034</v>
      </c>
      <c r="C4219">
        <v>5000</v>
      </c>
      <c r="D4219">
        <v>0</v>
      </c>
      <c r="E4219">
        <v>250</v>
      </c>
      <c r="F4219" s="77">
        <v>44925</v>
      </c>
    </row>
    <row r="4220" spans="1:6">
      <c r="A4220">
        <v>4219</v>
      </c>
      <c r="B4220" t="s">
        <v>14037</v>
      </c>
      <c r="C4220">
        <v>5000</v>
      </c>
      <c r="D4220">
        <v>0</v>
      </c>
      <c r="E4220">
        <v>250</v>
      </c>
      <c r="F4220" s="65">
        <v>44401</v>
      </c>
    </row>
    <row r="4221" spans="1:6">
      <c r="A4221">
        <v>4220</v>
      </c>
      <c r="B4221" t="s">
        <v>14041</v>
      </c>
      <c r="C4221">
        <v>1000</v>
      </c>
      <c r="D4221">
        <v>0</v>
      </c>
      <c r="E4221">
        <v>50</v>
      </c>
      <c r="F4221" s="64" t="s">
        <v>16859</v>
      </c>
    </row>
    <row r="4222" spans="1:6">
      <c r="A4222">
        <v>4221</v>
      </c>
      <c r="B4222" t="s">
        <v>14044</v>
      </c>
      <c r="C4222">
        <v>1000</v>
      </c>
      <c r="D4222">
        <v>0</v>
      </c>
      <c r="E4222">
        <v>50</v>
      </c>
      <c r="F4222" s="67">
        <v>45086</v>
      </c>
    </row>
    <row r="4223" spans="1:6">
      <c r="A4223">
        <v>4222</v>
      </c>
      <c r="B4223" t="s">
        <v>14047</v>
      </c>
      <c r="C4223">
        <v>100000</v>
      </c>
      <c r="D4223">
        <v>0</v>
      </c>
      <c r="E4223" t="s">
        <v>16642</v>
      </c>
      <c r="F4223" s="89"/>
    </row>
    <row r="4224" spans="1:6">
      <c r="A4224">
        <v>4223</v>
      </c>
      <c r="B4224" t="s">
        <v>14047</v>
      </c>
      <c r="C4224">
        <v>100000</v>
      </c>
      <c r="D4224">
        <v>0</v>
      </c>
      <c r="E4224" t="s">
        <v>16642</v>
      </c>
      <c r="F4224" s="85"/>
    </row>
    <row r="4225" spans="1:6">
      <c r="A4225">
        <v>4224</v>
      </c>
      <c r="B4225" t="s">
        <v>14051</v>
      </c>
      <c r="C4225">
        <v>1000</v>
      </c>
      <c r="D4225">
        <v>0</v>
      </c>
      <c r="E4225">
        <v>50</v>
      </c>
      <c r="F4225" s="64" t="s">
        <v>16718</v>
      </c>
    </row>
    <row r="4226" spans="1:6">
      <c r="A4226">
        <v>4225</v>
      </c>
      <c r="B4226" t="s">
        <v>14055</v>
      </c>
      <c r="C4226">
        <v>100000</v>
      </c>
      <c r="D4226">
        <v>0</v>
      </c>
      <c r="E4226" t="s">
        <v>16642</v>
      </c>
      <c r="F4226" s="76">
        <v>45062</v>
      </c>
    </row>
    <row r="4227" spans="1:6">
      <c r="A4227">
        <v>4226</v>
      </c>
      <c r="B4227" t="s">
        <v>14060</v>
      </c>
      <c r="C4227">
        <v>1000</v>
      </c>
      <c r="D4227">
        <v>0</v>
      </c>
      <c r="E4227">
        <v>50</v>
      </c>
      <c r="F4227" s="77">
        <v>44867</v>
      </c>
    </row>
    <row r="4228" spans="1:6">
      <c r="A4228">
        <v>4227</v>
      </c>
      <c r="B4228" t="s">
        <v>14063</v>
      </c>
      <c r="C4228">
        <v>400000</v>
      </c>
      <c r="D4228">
        <v>0</v>
      </c>
      <c r="E4228">
        <v>20000</v>
      </c>
      <c r="F4228" s="91" t="s">
        <v>16660</v>
      </c>
    </row>
    <row r="4229" spans="1:6">
      <c r="A4229">
        <v>4228</v>
      </c>
      <c r="B4229" t="s">
        <v>14063</v>
      </c>
      <c r="C4229">
        <v>200000</v>
      </c>
      <c r="D4229">
        <v>0</v>
      </c>
      <c r="E4229" t="s">
        <v>16642</v>
      </c>
      <c r="F4229" s="96">
        <v>44551</v>
      </c>
    </row>
    <row r="4230" spans="1:6">
      <c r="A4230">
        <v>4229</v>
      </c>
      <c r="B4230" t="s">
        <v>14067</v>
      </c>
      <c r="C4230">
        <v>1000</v>
      </c>
      <c r="D4230">
        <v>0</v>
      </c>
      <c r="E4230">
        <v>50</v>
      </c>
      <c r="F4230" s="77">
        <v>44796</v>
      </c>
    </row>
    <row r="4231" spans="1:6">
      <c r="A4231">
        <v>4230</v>
      </c>
      <c r="B4231" t="s">
        <v>14070</v>
      </c>
      <c r="C4231">
        <v>2500</v>
      </c>
      <c r="D4231">
        <v>7500</v>
      </c>
      <c r="E4231">
        <v>500</v>
      </c>
      <c r="F4231" s="77">
        <v>44925</v>
      </c>
    </row>
    <row r="4232" spans="1:6">
      <c r="A4232">
        <v>4231</v>
      </c>
      <c r="B4232" t="s">
        <v>14073</v>
      </c>
      <c r="C4232">
        <v>1000</v>
      </c>
      <c r="D4232">
        <v>0</v>
      </c>
      <c r="E4232">
        <v>50</v>
      </c>
      <c r="F4232" s="64" t="s">
        <v>16834</v>
      </c>
    </row>
    <row r="4233" spans="1:6">
      <c r="A4233">
        <v>4232</v>
      </c>
      <c r="B4233" t="s">
        <v>14077</v>
      </c>
      <c r="C4233">
        <v>250</v>
      </c>
      <c r="D4233">
        <v>750</v>
      </c>
      <c r="E4233">
        <v>50</v>
      </c>
      <c r="F4233" s="61">
        <v>44821</v>
      </c>
    </row>
    <row r="4234" spans="1:6">
      <c r="A4234">
        <v>4233</v>
      </c>
      <c r="B4234" t="s">
        <v>14081</v>
      </c>
      <c r="C4234">
        <v>2000</v>
      </c>
      <c r="D4234">
        <v>0</v>
      </c>
      <c r="E4234">
        <v>100</v>
      </c>
      <c r="F4234" s="77">
        <v>44881</v>
      </c>
    </row>
    <row r="4235" spans="1:6">
      <c r="A4235">
        <v>4234</v>
      </c>
      <c r="B4235" t="s">
        <v>14084</v>
      </c>
      <c r="C4235">
        <v>250</v>
      </c>
      <c r="D4235">
        <v>750</v>
      </c>
      <c r="E4235">
        <v>50</v>
      </c>
      <c r="F4235" s="65">
        <v>44499</v>
      </c>
    </row>
    <row r="4236" spans="1:6">
      <c r="A4236">
        <v>4235</v>
      </c>
      <c r="B4236" t="s">
        <v>14088</v>
      </c>
      <c r="C4236">
        <v>250</v>
      </c>
      <c r="D4236">
        <v>750</v>
      </c>
      <c r="E4236">
        <v>50</v>
      </c>
      <c r="F4236" s="70">
        <v>44845</v>
      </c>
    </row>
    <row r="4237" spans="1:6">
      <c r="A4237">
        <v>4236</v>
      </c>
      <c r="B4237" t="s">
        <v>14091</v>
      </c>
      <c r="C4237">
        <v>20000</v>
      </c>
      <c r="D4237">
        <v>0</v>
      </c>
      <c r="E4237">
        <v>1000</v>
      </c>
      <c r="F4237" s="64" t="s">
        <v>16716</v>
      </c>
    </row>
    <row r="4238" spans="1:6">
      <c r="A4238">
        <v>4237</v>
      </c>
      <c r="B4238" t="s">
        <v>14095</v>
      </c>
      <c r="C4238">
        <v>750</v>
      </c>
      <c r="D4238">
        <v>2250</v>
      </c>
      <c r="E4238">
        <v>150</v>
      </c>
      <c r="F4238" s="74">
        <v>44967</v>
      </c>
    </row>
    <row r="4239" spans="1:6">
      <c r="A4239">
        <v>4238</v>
      </c>
      <c r="B4239" t="s">
        <v>14098</v>
      </c>
      <c r="C4239">
        <v>1500000</v>
      </c>
      <c r="D4239">
        <v>0</v>
      </c>
      <c r="E4239" t="s">
        <v>16642</v>
      </c>
      <c r="F4239" s="80">
        <v>45079</v>
      </c>
    </row>
    <row r="4240" spans="1:6">
      <c r="A4240">
        <v>4239</v>
      </c>
      <c r="B4240" t="s">
        <v>14101</v>
      </c>
      <c r="C4240">
        <v>100000</v>
      </c>
      <c r="D4240">
        <v>0</v>
      </c>
      <c r="E4240" t="s">
        <v>16642</v>
      </c>
      <c r="F4240" s="96">
        <v>44893</v>
      </c>
    </row>
    <row r="4241" spans="1:6">
      <c r="A4241">
        <v>4240</v>
      </c>
      <c r="B4241" t="s">
        <v>14101</v>
      </c>
      <c r="C4241">
        <v>100000</v>
      </c>
      <c r="D4241">
        <v>0</v>
      </c>
      <c r="E4241" t="s">
        <v>16642</v>
      </c>
      <c r="F4241" s="85"/>
    </row>
    <row r="4242" ht="15" spans="1:6">
      <c r="A4242">
        <v>4241</v>
      </c>
      <c r="B4242" t="s">
        <v>14101</v>
      </c>
      <c r="C4242">
        <v>1000000</v>
      </c>
      <c r="D4242">
        <v>500000</v>
      </c>
      <c r="E4242" t="s">
        <v>16642</v>
      </c>
      <c r="F4242" s="98">
        <f>IFERROR(__xludf.DUMMYFUNCTION("""COMPUTED_VALUE"""),45083)</f>
        <v>45083</v>
      </c>
    </row>
    <row r="4243" spans="1:6">
      <c r="A4243">
        <v>4242</v>
      </c>
      <c r="B4243" t="s">
        <v>14106</v>
      </c>
      <c r="C4243">
        <v>250</v>
      </c>
      <c r="D4243">
        <v>750</v>
      </c>
      <c r="E4243">
        <v>50</v>
      </c>
      <c r="F4243" s="72">
        <v>44849</v>
      </c>
    </row>
    <row r="4244" spans="1:6">
      <c r="A4244">
        <v>4243</v>
      </c>
      <c r="B4244" t="s">
        <v>14109</v>
      </c>
      <c r="C4244">
        <v>250</v>
      </c>
      <c r="D4244">
        <v>750</v>
      </c>
      <c r="E4244">
        <v>50</v>
      </c>
      <c r="F4244" s="61">
        <v>44854</v>
      </c>
    </row>
    <row r="4245" spans="1:6">
      <c r="A4245">
        <v>4244</v>
      </c>
      <c r="B4245" t="s">
        <v>14113</v>
      </c>
      <c r="C4245">
        <v>250</v>
      </c>
      <c r="D4245">
        <v>750</v>
      </c>
      <c r="E4245">
        <v>50</v>
      </c>
      <c r="F4245" s="61">
        <v>44820</v>
      </c>
    </row>
    <row r="4246" spans="1:6">
      <c r="A4246">
        <v>4245</v>
      </c>
      <c r="B4246" t="s">
        <v>14117</v>
      </c>
      <c r="C4246">
        <v>250</v>
      </c>
      <c r="D4246">
        <v>750</v>
      </c>
      <c r="E4246">
        <v>50</v>
      </c>
      <c r="F4246" s="60">
        <v>44807</v>
      </c>
    </row>
    <row r="4247" spans="1:6">
      <c r="A4247">
        <v>4246</v>
      </c>
      <c r="B4247" t="s">
        <v>14120</v>
      </c>
      <c r="C4247">
        <v>250</v>
      </c>
      <c r="D4247">
        <v>750</v>
      </c>
      <c r="E4247">
        <v>50</v>
      </c>
      <c r="F4247" s="61">
        <v>44950</v>
      </c>
    </row>
    <row r="4248" spans="1:6">
      <c r="A4248">
        <v>4247</v>
      </c>
      <c r="B4248" t="s">
        <v>14124</v>
      </c>
      <c r="C4248">
        <v>250</v>
      </c>
      <c r="D4248">
        <v>750</v>
      </c>
      <c r="E4248">
        <v>50</v>
      </c>
      <c r="F4248" s="60">
        <v>44849</v>
      </c>
    </row>
    <row r="4249" spans="1:6">
      <c r="A4249">
        <v>4248</v>
      </c>
      <c r="B4249" t="s">
        <v>14128</v>
      </c>
      <c r="C4249">
        <v>500</v>
      </c>
      <c r="D4249">
        <v>500</v>
      </c>
      <c r="E4249">
        <v>50</v>
      </c>
      <c r="F4249" s="60">
        <v>44807</v>
      </c>
    </row>
    <row r="4250" spans="1:6">
      <c r="A4250">
        <v>4249</v>
      </c>
      <c r="B4250" t="s">
        <v>14131</v>
      </c>
      <c r="C4250">
        <v>500</v>
      </c>
      <c r="D4250">
        <v>1500</v>
      </c>
      <c r="E4250">
        <v>100</v>
      </c>
      <c r="F4250" s="61">
        <v>44889</v>
      </c>
    </row>
    <row r="4251" ht="15" spans="1:6">
      <c r="A4251">
        <v>4250</v>
      </c>
      <c r="B4251" t="s">
        <v>14135</v>
      </c>
      <c r="C4251">
        <v>1000000</v>
      </c>
      <c r="D4251">
        <v>500000</v>
      </c>
      <c r="E4251" t="s">
        <v>16642</v>
      </c>
      <c r="F4251" s="81">
        <f>IFERROR(__xludf.DUMMYFUNCTION("""COMPUTED_VALUE"""),45078)</f>
        <v>45078</v>
      </c>
    </row>
    <row r="4252" spans="1:6">
      <c r="A4252">
        <v>4251</v>
      </c>
      <c r="B4252" t="s">
        <v>14136</v>
      </c>
      <c r="C4252">
        <v>250</v>
      </c>
      <c r="D4252">
        <v>750</v>
      </c>
      <c r="E4252">
        <v>50</v>
      </c>
      <c r="F4252" s="60">
        <v>44982</v>
      </c>
    </row>
    <row r="4253" spans="1:6">
      <c r="A4253">
        <v>4252</v>
      </c>
      <c r="B4253" t="s">
        <v>14139</v>
      </c>
      <c r="C4253">
        <v>1000</v>
      </c>
      <c r="D4253">
        <v>0</v>
      </c>
      <c r="E4253">
        <v>50</v>
      </c>
      <c r="F4253" s="64" t="s">
        <v>16860</v>
      </c>
    </row>
    <row r="4254" spans="1:6">
      <c r="A4254">
        <v>4253</v>
      </c>
      <c r="B4254" t="s">
        <v>14143</v>
      </c>
      <c r="C4254">
        <v>1300</v>
      </c>
      <c r="D4254">
        <v>3700</v>
      </c>
      <c r="E4254">
        <v>250</v>
      </c>
      <c r="F4254" s="83">
        <v>44729</v>
      </c>
    </row>
    <row r="4255" spans="1:6">
      <c r="A4255">
        <v>4254</v>
      </c>
      <c r="B4255" t="s">
        <v>14143</v>
      </c>
      <c r="C4255">
        <v>100000</v>
      </c>
      <c r="D4255">
        <v>0</v>
      </c>
      <c r="E4255" t="s">
        <v>16642</v>
      </c>
      <c r="F4255" s="89"/>
    </row>
    <row r="4256" spans="1:6">
      <c r="A4256">
        <v>4255</v>
      </c>
      <c r="B4256" t="s">
        <v>14147</v>
      </c>
      <c r="C4256">
        <v>250</v>
      </c>
      <c r="D4256">
        <v>750</v>
      </c>
      <c r="E4256">
        <v>50</v>
      </c>
      <c r="F4256" s="73">
        <v>45042</v>
      </c>
    </row>
    <row r="4257" spans="1:6">
      <c r="A4257">
        <v>4256</v>
      </c>
      <c r="B4257" t="s">
        <v>14151</v>
      </c>
      <c r="C4257">
        <v>50000</v>
      </c>
      <c r="D4257">
        <v>0</v>
      </c>
      <c r="F4257" s="65"/>
    </row>
    <row r="4258" spans="1:6">
      <c r="A4258">
        <v>4257</v>
      </c>
      <c r="B4258" t="s">
        <v>14155</v>
      </c>
      <c r="C4258">
        <v>3000</v>
      </c>
      <c r="D4258">
        <v>0</v>
      </c>
      <c r="E4258">
        <v>150</v>
      </c>
      <c r="F4258" s="77">
        <v>44783</v>
      </c>
    </row>
    <row r="4259" spans="1:6">
      <c r="A4259">
        <v>4258</v>
      </c>
      <c r="B4259" t="s">
        <v>14158</v>
      </c>
      <c r="C4259">
        <v>250</v>
      </c>
      <c r="D4259">
        <v>750</v>
      </c>
      <c r="E4259">
        <v>50</v>
      </c>
      <c r="F4259" s="73">
        <v>45263</v>
      </c>
    </row>
    <row r="4260" spans="1:6">
      <c r="A4260">
        <v>4259</v>
      </c>
      <c r="B4260" t="s">
        <v>14161</v>
      </c>
      <c r="C4260">
        <v>250</v>
      </c>
      <c r="D4260">
        <v>750</v>
      </c>
      <c r="E4260">
        <v>50</v>
      </c>
      <c r="F4260" s="64" t="s">
        <v>16849</v>
      </c>
    </row>
    <row r="4261" spans="1:6">
      <c r="A4261">
        <v>4260</v>
      </c>
      <c r="B4261" t="s">
        <v>14165</v>
      </c>
      <c r="C4261">
        <v>100000</v>
      </c>
      <c r="D4261">
        <v>0</v>
      </c>
      <c r="E4261" t="s">
        <v>16642</v>
      </c>
      <c r="F4261" s="66"/>
    </row>
    <row r="4262" spans="1:6">
      <c r="A4262">
        <v>4261</v>
      </c>
      <c r="B4262" t="s">
        <v>14169</v>
      </c>
      <c r="C4262">
        <v>100000</v>
      </c>
      <c r="D4262">
        <v>0</v>
      </c>
      <c r="E4262">
        <v>5000</v>
      </c>
      <c r="F4262" s="65">
        <v>44621</v>
      </c>
    </row>
    <row r="4263" spans="1:6">
      <c r="A4263">
        <v>4262</v>
      </c>
      <c r="B4263" t="s">
        <v>14173</v>
      </c>
      <c r="C4263">
        <v>12000</v>
      </c>
      <c r="D4263">
        <v>0</v>
      </c>
      <c r="E4263">
        <v>600</v>
      </c>
      <c r="F4263" s="64" t="s">
        <v>16861</v>
      </c>
    </row>
    <row r="4264" spans="1:6">
      <c r="A4264">
        <v>4263</v>
      </c>
      <c r="B4264" t="s">
        <v>14178</v>
      </c>
      <c r="C4264">
        <v>1000</v>
      </c>
      <c r="D4264">
        <v>3000</v>
      </c>
      <c r="E4264">
        <v>200</v>
      </c>
      <c r="F4264" s="65">
        <v>44510</v>
      </c>
    </row>
    <row r="4265" spans="1:6">
      <c r="A4265">
        <v>4264</v>
      </c>
      <c r="B4265" t="s">
        <v>14182</v>
      </c>
      <c r="C4265">
        <v>100000</v>
      </c>
      <c r="D4265">
        <v>0</v>
      </c>
      <c r="E4265">
        <v>5000</v>
      </c>
      <c r="F4265" s="67">
        <v>45167</v>
      </c>
    </row>
    <row r="4266" spans="1:6">
      <c r="A4266">
        <v>4265</v>
      </c>
      <c r="B4266" t="s">
        <v>14185</v>
      </c>
      <c r="C4266">
        <v>250</v>
      </c>
      <c r="D4266">
        <v>750</v>
      </c>
      <c r="E4266">
        <v>50</v>
      </c>
      <c r="F4266" s="61">
        <v>44889</v>
      </c>
    </row>
    <row r="4267" spans="1:6">
      <c r="A4267">
        <v>4266</v>
      </c>
      <c r="B4267" t="s">
        <v>14189</v>
      </c>
      <c r="C4267">
        <v>250</v>
      </c>
      <c r="D4267">
        <v>750</v>
      </c>
      <c r="E4267">
        <v>50</v>
      </c>
      <c r="F4267" s="61">
        <v>44883</v>
      </c>
    </row>
    <row r="4268" spans="1:6">
      <c r="A4268">
        <v>4267</v>
      </c>
      <c r="B4268" t="s">
        <v>14192</v>
      </c>
      <c r="C4268">
        <v>250</v>
      </c>
      <c r="D4268">
        <v>750</v>
      </c>
      <c r="E4268">
        <v>50</v>
      </c>
      <c r="F4268" s="61">
        <v>44921</v>
      </c>
    </row>
    <row r="4269" spans="1:6">
      <c r="A4269">
        <v>4268</v>
      </c>
      <c r="B4269" t="s">
        <v>14195</v>
      </c>
      <c r="C4269">
        <v>250</v>
      </c>
      <c r="D4269">
        <v>750</v>
      </c>
      <c r="E4269">
        <v>50</v>
      </c>
      <c r="F4269" s="60">
        <v>44937</v>
      </c>
    </row>
    <row r="4270" spans="1:6">
      <c r="A4270">
        <v>4269</v>
      </c>
      <c r="B4270" t="s">
        <v>14198</v>
      </c>
      <c r="C4270">
        <v>100000</v>
      </c>
      <c r="D4270">
        <v>0</v>
      </c>
      <c r="E4270" t="s">
        <v>16642</v>
      </c>
      <c r="F4270" s="100"/>
    </row>
    <row r="4271" spans="1:6">
      <c r="A4271">
        <v>4270</v>
      </c>
      <c r="B4271" t="s">
        <v>14202</v>
      </c>
      <c r="C4271">
        <v>250</v>
      </c>
      <c r="D4271">
        <v>750</v>
      </c>
      <c r="E4271">
        <v>50</v>
      </c>
      <c r="F4271" s="73">
        <v>45024</v>
      </c>
    </row>
    <row r="4272" spans="1:6">
      <c r="A4272">
        <v>4271</v>
      </c>
      <c r="B4272" t="s">
        <v>14205</v>
      </c>
      <c r="C4272">
        <v>250</v>
      </c>
      <c r="D4272">
        <v>750</v>
      </c>
      <c r="E4272">
        <v>50</v>
      </c>
      <c r="F4272" s="75">
        <v>44807</v>
      </c>
    </row>
    <row r="4273" spans="1:6">
      <c r="A4273">
        <v>4272</v>
      </c>
      <c r="B4273" t="s">
        <v>14208</v>
      </c>
      <c r="C4273">
        <v>250</v>
      </c>
      <c r="D4273">
        <v>750</v>
      </c>
      <c r="E4273">
        <v>50</v>
      </c>
      <c r="F4273" s="60">
        <v>44910</v>
      </c>
    </row>
    <row r="4274" spans="1:6">
      <c r="A4274">
        <v>4273</v>
      </c>
      <c r="B4274" t="s">
        <v>14211</v>
      </c>
      <c r="C4274">
        <v>750</v>
      </c>
      <c r="D4274">
        <v>250</v>
      </c>
      <c r="E4274">
        <v>50</v>
      </c>
      <c r="F4274" s="69">
        <v>44963</v>
      </c>
    </row>
    <row r="4275" spans="1:6">
      <c r="A4275">
        <v>4274</v>
      </c>
      <c r="B4275" t="s">
        <v>14214</v>
      </c>
      <c r="C4275">
        <v>250</v>
      </c>
      <c r="D4275">
        <v>750</v>
      </c>
      <c r="E4275">
        <v>50</v>
      </c>
      <c r="F4275" s="61">
        <v>44846</v>
      </c>
    </row>
    <row r="4276" spans="1:6">
      <c r="A4276">
        <v>4275</v>
      </c>
      <c r="B4276" t="s">
        <v>14218</v>
      </c>
      <c r="C4276">
        <v>250</v>
      </c>
      <c r="D4276">
        <v>750</v>
      </c>
      <c r="E4276">
        <v>50</v>
      </c>
      <c r="F4276" s="69">
        <v>44979</v>
      </c>
    </row>
    <row r="4277" spans="1:6">
      <c r="A4277">
        <v>4276</v>
      </c>
      <c r="B4277" t="s">
        <v>14221</v>
      </c>
      <c r="C4277">
        <v>110500</v>
      </c>
      <c r="D4277">
        <v>0</v>
      </c>
      <c r="E4277">
        <v>5000</v>
      </c>
      <c r="F4277" s="64" t="s">
        <v>16862</v>
      </c>
    </row>
    <row r="4278" spans="1:6">
      <c r="A4278">
        <v>4277</v>
      </c>
      <c r="B4278" t="s">
        <v>14225</v>
      </c>
      <c r="C4278">
        <v>50000</v>
      </c>
      <c r="D4278">
        <v>0</v>
      </c>
      <c r="E4278">
        <v>2500</v>
      </c>
      <c r="F4278" s="91" t="s">
        <v>16863</v>
      </c>
    </row>
    <row r="4279" spans="1:6">
      <c r="A4279">
        <v>4278</v>
      </c>
      <c r="B4279" t="s">
        <v>14225</v>
      </c>
      <c r="C4279">
        <v>100000</v>
      </c>
      <c r="D4279">
        <v>0</v>
      </c>
      <c r="E4279" t="s">
        <v>16642</v>
      </c>
      <c r="F4279" s="89"/>
    </row>
    <row r="4280" spans="1:6">
      <c r="A4280">
        <v>4279</v>
      </c>
      <c r="B4280" t="s">
        <v>14229</v>
      </c>
      <c r="C4280">
        <v>25000</v>
      </c>
      <c r="D4280">
        <v>75000</v>
      </c>
      <c r="E4280">
        <v>5000</v>
      </c>
      <c r="F4280" s="64" t="s">
        <v>16864</v>
      </c>
    </row>
    <row r="4281" spans="1:6">
      <c r="A4281">
        <v>4280</v>
      </c>
      <c r="B4281" t="s">
        <v>14233</v>
      </c>
      <c r="C4281">
        <v>500</v>
      </c>
      <c r="D4281">
        <v>500</v>
      </c>
      <c r="E4281">
        <v>50</v>
      </c>
      <c r="F4281" s="70">
        <v>44965</v>
      </c>
    </row>
    <row r="4282" ht="15" spans="1:6">
      <c r="A4282">
        <v>4281</v>
      </c>
      <c r="B4282" t="s">
        <v>14236</v>
      </c>
      <c r="C4282">
        <v>3000000</v>
      </c>
      <c r="D4282">
        <v>500000</v>
      </c>
      <c r="E4282" t="s">
        <v>16642</v>
      </c>
      <c r="F4282" s="97">
        <v>45126</v>
      </c>
    </row>
    <row r="4283" ht="15" spans="1:6">
      <c r="A4283">
        <v>4282</v>
      </c>
      <c r="B4283" t="s">
        <v>14236</v>
      </c>
      <c r="C4283">
        <v>3000000</v>
      </c>
      <c r="D4283">
        <v>500000</v>
      </c>
      <c r="E4283" t="s">
        <v>16642</v>
      </c>
      <c r="F4283" s="97">
        <v>45126</v>
      </c>
    </row>
    <row r="4284" spans="1:6">
      <c r="A4284">
        <v>4283</v>
      </c>
      <c r="B4284" t="s">
        <v>14240</v>
      </c>
      <c r="C4284">
        <v>250</v>
      </c>
      <c r="D4284">
        <v>750</v>
      </c>
      <c r="E4284">
        <v>50</v>
      </c>
      <c r="F4284" s="65">
        <v>44510</v>
      </c>
    </row>
    <row r="4285" spans="1:6">
      <c r="A4285">
        <v>4284</v>
      </c>
      <c r="B4285" t="s">
        <v>14244</v>
      </c>
      <c r="C4285">
        <v>250</v>
      </c>
      <c r="D4285">
        <v>750</v>
      </c>
      <c r="E4285">
        <v>50</v>
      </c>
      <c r="F4285" s="61">
        <v>44836</v>
      </c>
    </row>
    <row r="4286" spans="1:6">
      <c r="A4286">
        <v>4285</v>
      </c>
      <c r="B4286" t="s">
        <v>14248</v>
      </c>
      <c r="C4286">
        <v>2500</v>
      </c>
      <c r="D4286">
        <v>7500</v>
      </c>
      <c r="E4286">
        <v>500</v>
      </c>
      <c r="F4286" s="64" t="s">
        <v>16804</v>
      </c>
    </row>
    <row r="4287" spans="1:6">
      <c r="A4287">
        <v>4286</v>
      </c>
      <c r="B4287" t="s">
        <v>14252</v>
      </c>
      <c r="C4287">
        <v>100000</v>
      </c>
      <c r="D4287">
        <v>0</v>
      </c>
      <c r="E4287" t="s">
        <v>16642</v>
      </c>
      <c r="F4287" s="76">
        <v>44938</v>
      </c>
    </row>
    <row r="4288" spans="1:6">
      <c r="A4288">
        <v>4287</v>
      </c>
      <c r="B4288" t="s">
        <v>14257</v>
      </c>
      <c r="C4288">
        <v>250</v>
      </c>
      <c r="D4288">
        <v>750</v>
      </c>
      <c r="E4288">
        <v>50</v>
      </c>
      <c r="F4288" s="60">
        <v>44858</v>
      </c>
    </row>
    <row r="4289" ht="15" spans="1:6">
      <c r="A4289">
        <v>4288</v>
      </c>
      <c r="B4289" t="s">
        <v>14260</v>
      </c>
      <c r="C4289">
        <v>1000000</v>
      </c>
      <c r="D4289">
        <v>500000</v>
      </c>
      <c r="E4289" t="s">
        <v>16642</v>
      </c>
      <c r="F4289" s="81">
        <f>IFERROR(__xludf.DUMMYFUNCTION("""COMPUTED_VALUE"""),45078)</f>
        <v>45078</v>
      </c>
    </row>
    <row r="4290" spans="1:6">
      <c r="A4290">
        <v>4289</v>
      </c>
      <c r="B4290" t="s">
        <v>14261</v>
      </c>
      <c r="C4290">
        <v>200000</v>
      </c>
      <c r="D4290">
        <v>0</v>
      </c>
      <c r="E4290" t="s">
        <v>16642</v>
      </c>
      <c r="F4290" s="96">
        <v>44924</v>
      </c>
    </row>
    <row r="4291" spans="1:6">
      <c r="A4291">
        <v>4290</v>
      </c>
      <c r="B4291" t="s">
        <v>14261</v>
      </c>
      <c r="C4291">
        <v>200000</v>
      </c>
      <c r="D4291">
        <v>0</v>
      </c>
      <c r="E4291" t="s">
        <v>16642</v>
      </c>
      <c r="F4291" s="85"/>
    </row>
    <row r="4292" spans="1:6">
      <c r="A4292">
        <v>4291</v>
      </c>
      <c r="B4292" t="s">
        <v>14265</v>
      </c>
      <c r="C4292">
        <v>250</v>
      </c>
      <c r="D4292">
        <v>750</v>
      </c>
      <c r="E4292">
        <v>50</v>
      </c>
      <c r="F4292" s="67">
        <v>45215</v>
      </c>
    </row>
    <row r="4293" spans="1:6">
      <c r="A4293">
        <v>4292</v>
      </c>
      <c r="B4293" t="s">
        <v>14268</v>
      </c>
      <c r="C4293">
        <v>250</v>
      </c>
      <c r="D4293">
        <v>750</v>
      </c>
      <c r="E4293">
        <v>50</v>
      </c>
      <c r="F4293" s="75">
        <v>45000</v>
      </c>
    </row>
    <row r="4294" spans="1:6">
      <c r="A4294">
        <v>4293</v>
      </c>
      <c r="B4294" t="s">
        <v>14271</v>
      </c>
      <c r="C4294">
        <v>4000</v>
      </c>
      <c r="D4294">
        <v>0</v>
      </c>
      <c r="E4294">
        <v>200</v>
      </c>
      <c r="F4294" s="65">
        <v>44471</v>
      </c>
    </row>
    <row r="4295" spans="1:6">
      <c r="A4295">
        <v>4294</v>
      </c>
      <c r="B4295" t="s">
        <v>14276</v>
      </c>
      <c r="C4295">
        <v>400000</v>
      </c>
      <c r="D4295">
        <v>0</v>
      </c>
      <c r="E4295" t="s">
        <v>16642</v>
      </c>
      <c r="F4295" s="104"/>
    </row>
    <row r="4296" spans="1:6">
      <c r="A4296">
        <v>4295</v>
      </c>
      <c r="B4296" t="s">
        <v>14281</v>
      </c>
      <c r="C4296">
        <v>50000</v>
      </c>
      <c r="D4296">
        <v>150000</v>
      </c>
      <c r="E4296">
        <v>10000</v>
      </c>
      <c r="F4296" s="91" t="s">
        <v>16863</v>
      </c>
    </row>
    <row r="4297" ht="15" spans="1:6">
      <c r="A4297">
        <v>4296</v>
      </c>
      <c r="B4297" t="s">
        <v>14281</v>
      </c>
      <c r="C4297">
        <v>1000000</v>
      </c>
      <c r="D4297">
        <v>500000</v>
      </c>
      <c r="E4297" t="s">
        <v>16642</v>
      </c>
      <c r="F4297" s="98">
        <f>IFERROR(__xludf.DUMMYFUNCTION("""COMPUTED_VALUE"""),45082)</f>
        <v>45082</v>
      </c>
    </row>
    <row r="4298" spans="1:6">
      <c r="A4298">
        <v>4297</v>
      </c>
      <c r="B4298" t="s">
        <v>14284</v>
      </c>
      <c r="C4298">
        <v>100000</v>
      </c>
      <c r="D4298">
        <v>0</v>
      </c>
      <c r="E4298" t="s">
        <v>16642</v>
      </c>
      <c r="F4298" s="100"/>
    </row>
    <row r="4299" spans="1:6">
      <c r="A4299">
        <v>4298</v>
      </c>
      <c r="B4299" t="s">
        <v>14287</v>
      </c>
      <c r="C4299">
        <v>200000</v>
      </c>
      <c r="D4299">
        <v>0</v>
      </c>
      <c r="E4299" t="s">
        <v>16642</v>
      </c>
      <c r="F4299" s="76">
        <v>44930</v>
      </c>
    </row>
    <row r="4300" spans="1:6">
      <c r="A4300">
        <v>4299</v>
      </c>
      <c r="B4300" t="s">
        <v>14292</v>
      </c>
      <c r="C4300">
        <v>10000</v>
      </c>
      <c r="D4300">
        <v>0</v>
      </c>
      <c r="E4300">
        <v>500</v>
      </c>
      <c r="F4300" s="77">
        <v>44844</v>
      </c>
    </row>
    <row r="4301" spans="1:6">
      <c r="A4301">
        <v>4300</v>
      </c>
      <c r="B4301" t="s">
        <v>14295</v>
      </c>
      <c r="C4301">
        <v>1000</v>
      </c>
      <c r="D4301">
        <v>3000</v>
      </c>
      <c r="E4301">
        <v>200</v>
      </c>
      <c r="F4301" s="64" t="s">
        <v>16865</v>
      </c>
    </row>
    <row r="4302" spans="1:6">
      <c r="A4302">
        <v>4301</v>
      </c>
      <c r="B4302" t="s">
        <v>14299</v>
      </c>
      <c r="C4302">
        <v>200000</v>
      </c>
      <c r="D4302">
        <v>0</v>
      </c>
      <c r="E4302" t="s">
        <v>16642</v>
      </c>
      <c r="F4302" s="76">
        <v>44823</v>
      </c>
    </row>
    <row r="4303" spans="1:6">
      <c r="A4303">
        <v>4302</v>
      </c>
      <c r="B4303" t="s">
        <v>14303</v>
      </c>
      <c r="C4303">
        <v>20000</v>
      </c>
      <c r="D4303">
        <v>0</v>
      </c>
      <c r="F4303" s="65"/>
    </row>
    <row r="4304" spans="1:6">
      <c r="A4304">
        <v>4303</v>
      </c>
      <c r="B4304" t="s">
        <v>14308</v>
      </c>
      <c r="C4304">
        <v>1000</v>
      </c>
      <c r="D4304">
        <v>0</v>
      </c>
      <c r="E4304">
        <v>50</v>
      </c>
      <c r="F4304" s="67">
        <v>44958</v>
      </c>
    </row>
    <row r="4305" spans="1:6">
      <c r="A4305">
        <v>4304</v>
      </c>
      <c r="B4305" t="s">
        <v>14311</v>
      </c>
      <c r="C4305">
        <v>10000</v>
      </c>
      <c r="D4305">
        <v>10000</v>
      </c>
      <c r="E4305">
        <v>1000</v>
      </c>
      <c r="F4305" s="67">
        <v>44984</v>
      </c>
    </row>
    <row r="4306" spans="1:6">
      <c r="A4306">
        <v>4305</v>
      </c>
      <c r="B4306" t="s">
        <v>14314</v>
      </c>
      <c r="C4306">
        <v>250</v>
      </c>
      <c r="D4306">
        <v>750</v>
      </c>
      <c r="E4306">
        <v>50</v>
      </c>
      <c r="F4306" s="61">
        <v>44912</v>
      </c>
    </row>
    <row r="4307" spans="1:6">
      <c r="A4307">
        <v>4306</v>
      </c>
      <c r="B4307" t="s">
        <v>14317</v>
      </c>
      <c r="C4307">
        <v>1000</v>
      </c>
      <c r="D4307">
        <v>0</v>
      </c>
      <c r="E4307">
        <v>50</v>
      </c>
      <c r="F4307" s="61">
        <v>44924</v>
      </c>
    </row>
    <row r="4308" spans="1:6">
      <c r="A4308">
        <v>4307</v>
      </c>
      <c r="B4308" t="s">
        <v>14320</v>
      </c>
      <c r="C4308">
        <v>250</v>
      </c>
      <c r="D4308">
        <v>750</v>
      </c>
      <c r="E4308">
        <v>50</v>
      </c>
      <c r="F4308" s="61">
        <v>44872</v>
      </c>
    </row>
    <row r="4309" spans="1:6">
      <c r="A4309">
        <v>4308</v>
      </c>
      <c r="B4309" t="s">
        <v>14323</v>
      </c>
      <c r="C4309">
        <v>250</v>
      </c>
      <c r="D4309">
        <v>750</v>
      </c>
      <c r="E4309">
        <v>50</v>
      </c>
      <c r="F4309" s="73">
        <v>44929</v>
      </c>
    </row>
    <row r="4310" spans="1:6">
      <c r="A4310">
        <v>4309</v>
      </c>
      <c r="B4310" t="s">
        <v>14327</v>
      </c>
      <c r="C4310">
        <v>250</v>
      </c>
      <c r="D4310">
        <v>750</v>
      </c>
      <c r="E4310">
        <v>50</v>
      </c>
      <c r="F4310" s="61">
        <v>44840</v>
      </c>
    </row>
    <row r="4311" ht="15" spans="1:6">
      <c r="A4311">
        <v>4310</v>
      </c>
      <c r="B4311" t="s">
        <v>14331</v>
      </c>
      <c r="C4311">
        <v>1000000</v>
      </c>
      <c r="D4311">
        <v>500000</v>
      </c>
      <c r="E4311" t="s">
        <v>16642</v>
      </c>
      <c r="F4311" s="81">
        <f>IFERROR(__xludf.DUMMYFUNCTION("""COMPUTED_VALUE"""),45079)</f>
        <v>45079</v>
      </c>
    </row>
    <row r="4312" spans="1:6">
      <c r="A4312">
        <v>4311</v>
      </c>
      <c r="B4312" t="s">
        <v>14332</v>
      </c>
      <c r="C4312">
        <v>1000</v>
      </c>
      <c r="D4312">
        <v>0</v>
      </c>
      <c r="E4312">
        <v>50</v>
      </c>
      <c r="F4312" s="60">
        <v>44925</v>
      </c>
    </row>
    <row r="4313" spans="1:6">
      <c r="A4313">
        <v>4312</v>
      </c>
      <c r="B4313" t="s">
        <v>14335</v>
      </c>
      <c r="C4313">
        <v>250</v>
      </c>
      <c r="D4313">
        <v>750</v>
      </c>
      <c r="E4313">
        <v>50</v>
      </c>
      <c r="F4313" s="72">
        <v>44890</v>
      </c>
    </row>
    <row r="4314" ht="15" spans="1:6">
      <c r="A4314">
        <v>4313</v>
      </c>
      <c r="B4314" t="s">
        <v>14338</v>
      </c>
      <c r="C4314">
        <v>1000000</v>
      </c>
      <c r="D4314">
        <v>500000</v>
      </c>
      <c r="E4314" t="s">
        <v>16642</v>
      </c>
      <c r="F4314" s="81">
        <f>IFERROR(__xludf.DUMMYFUNCTION("""COMPUTED_VALUE"""),45078)</f>
        <v>45078</v>
      </c>
    </row>
    <row r="4315" spans="1:6">
      <c r="A4315">
        <v>4314</v>
      </c>
      <c r="B4315" t="s">
        <v>14339</v>
      </c>
      <c r="C4315">
        <v>250</v>
      </c>
      <c r="D4315">
        <v>750</v>
      </c>
      <c r="E4315">
        <v>50</v>
      </c>
      <c r="F4315" s="69">
        <v>45016</v>
      </c>
    </row>
    <row r="4316" spans="1:6">
      <c r="A4316">
        <v>4315</v>
      </c>
      <c r="B4316" t="s">
        <v>14342</v>
      </c>
      <c r="C4316">
        <v>250</v>
      </c>
      <c r="D4316">
        <v>750</v>
      </c>
      <c r="E4316">
        <v>50</v>
      </c>
      <c r="F4316" s="70">
        <v>45015</v>
      </c>
    </row>
    <row r="4317" spans="1:6">
      <c r="A4317">
        <v>4316</v>
      </c>
      <c r="B4317" t="s">
        <v>14345</v>
      </c>
      <c r="C4317">
        <v>250</v>
      </c>
      <c r="D4317">
        <v>750</v>
      </c>
      <c r="E4317">
        <v>50</v>
      </c>
      <c r="F4317" s="60">
        <v>44882</v>
      </c>
    </row>
    <row r="4318" spans="1:6">
      <c r="A4318">
        <v>4317</v>
      </c>
      <c r="B4318" t="s">
        <v>14348</v>
      </c>
      <c r="C4318">
        <v>8100</v>
      </c>
      <c r="D4318">
        <v>0</v>
      </c>
      <c r="E4318">
        <v>50</v>
      </c>
      <c r="F4318" s="67">
        <v>44961</v>
      </c>
    </row>
    <row r="4319" spans="1:6">
      <c r="A4319">
        <v>4318</v>
      </c>
      <c r="B4319" t="s">
        <v>14351</v>
      </c>
      <c r="C4319">
        <v>250</v>
      </c>
      <c r="D4319">
        <v>750</v>
      </c>
      <c r="E4319">
        <v>50</v>
      </c>
      <c r="F4319" s="61">
        <v>44911</v>
      </c>
    </row>
    <row r="4320" spans="1:6">
      <c r="A4320">
        <v>4319</v>
      </c>
      <c r="B4320" t="s">
        <v>14355</v>
      </c>
      <c r="C4320">
        <v>250</v>
      </c>
      <c r="D4320">
        <v>750</v>
      </c>
      <c r="E4320">
        <v>50</v>
      </c>
      <c r="F4320" s="60">
        <v>44931</v>
      </c>
    </row>
    <row r="4321" spans="1:6">
      <c r="A4321">
        <v>4320</v>
      </c>
      <c r="B4321" t="s">
        <v>14359</v>
      </c>
      <c r="C4321">
        <v>500</v>
      </c>
      <c r="D4321">
        <v>1500</v>
      </c>
      <c r="E4321">
        <v>100</v>
      </c>
      <c r="F4321" s="61">
        <v>44903</v>
      </c>
    </row>
    <row r="4322" spans="1:6">
      <c r="A4322">
        <v>4321</v>
      </c>
      <c r="B4322" t="s">
        <v>14363</v>
      </c>
      <c r="C4322">
        <v>250</v>
      </c>
      <c r="D4322">
        <v>750</v>
      </c>
      <c r="E4322">
        <v>50</v>
      </c>
      <c r="F4322" s="60">
        <v>44950</v>
      </c>
    </row>
    <row r="4323" ht="15" spans="1:6">
      <c r="A4323">
        <v>4322</v>
      </c>
      <c r="B4323" t="s">
        <v>14366</v>
      </c>
      <c r="C4323">
        <v>1000000</v>
      </c>
      <c r="D4323">
        <v>2500000</v>
      </c>
      <c r="E4323" t="s">
        <v>16642</v>
      </c>
      <c r="F4323" s="92">
        <v>45138</v>
      </c>
    </row>
    <row r="4324" spans="1:6">
      <c r="A4324">
        <v>4323</v>
      </c>
      <c r="B4324" t="s">
        <v>14369</v>
      </c>
      <c r="C4324">
        <v>250</v>
      </c>
      <c r="D4324">
        <v>750</v>
      </c>
      <c r="E4324">
        <v>50</v>
      </c>
      <c r="F4324" s="78">
        <v>44922</v>
      </c>
    </row>
    <row r="4325" spans="1:6">
      <c r="A4325">
        <v>4324</v>
      </c>
      <c r="B4325" t="s">
        <v>14372</v>
      </c>
      <c r="C4325">
        <v>10000</v>
      </c>
      <c r="D4325">
        <v>30000</v>
      </c>
      <c r="E4325">
        <v>2000</v>
      </c>
      <c r="F4325" s="77">
        <v>44855</v>
      </c>
    </row>
    <row r="4326" spans="1:6">
      <c r="A4326">
        <v>4325</v>
      </c>
      <c r="B4326" t="s">
        <v>14375</v>
      </c>
      <c r="C4326">
        <v>250</v>
      </c>
      <c r="D4326">
        <v>750</v>
      </c>
      <c r="E4326">
        <v>50</v>
      </c>
      <c r="F4326" s="65">
        <v>44516</v>
      </c>
    </row>
    <row r="4327" spans="1:6">
      <c r="A4327">
        <v>4326</v>
      </c>
      <c r="B4327" t="s">
        <v>14379</v>
      </c>
      <c r="C4327">
        <v>100000</v>
      </c>
      <c r="D4327">
        <v>0</v>
      </c>
      <c r="E4327" t="s">
        <v>16642</v>
      </c>
      <c r="F4327" s="82">
        <v>44765</v>
      </c>
    </row>
    <row r="4328" spans="1:6">
      <c r="A4328">
        <v>4327</v>
      </c>
      <c r="B4328" t="s">
        <v>14383</v>
      </c>
      <c r="C4328">
        <v>100000</v>
      </c>
      <c r="D4328">
        <v>0</v>
      </c>
      <c r="E4328" t="s">
        <v>16642</v>
      </c>
      <c r="F4328" s="76">
        <v>44924</v>
      </c>
    </row>
    <row r="4329" spans="1:6">
      <c r="A4329">
        <v>4328</v>
      </c>
      <c r="B4329" t="s">
        <v>14387</v>
      </c>
      <c r="C4329">
        <v>10000</v>
      </c>
      <c r="D4329">
        <v>0</v>
      </c>
      <c r="E4329">
        <v>500</v>
      </c>
      <c r="F4329" s="65">
        <v>44620</v>
      </c>
    </row>
    <row r="4330" ht="15" spans="1:6">
      <c r="A4330">
        <v>4329</v>
      </c>
      <c r="B4330" t="s">
        <v>14390</v>
      </c>
      <c r="C4330">
        <v>1000000</v>
      </c>
      <c r="D4330">
        <v>500000</v>
      </c>
      <c r="E4330" t="s">
        <v>16642</v>
      </c>
      <c r="F4330" s="98">
        <f>IFERROR(__xludf.DUMMYFUNCTION("""COMPUTED_VALUE"""),45084)</f>
        <v>45084</v>
      </c>
    </row>
    <row r="4331" spans="1:6">
      <c r="A4331">
        <v>4330</v>
      </c>
      <c r="B4331" t="s">
        <v>14390</v>
      </c>
      <c r="C4331">
        <v>50000</v>
      </c>
      <c r="D4331">
        <v>0</v>
      </c>
      <c r="F4331" s="83">
        <v>44315</v>
      </c>
    </row>
    <row r="4332" spans="1:6">
      <c r="A4332">
        <v>4331</v>
      </c>
      <c r="B4332" t="s">
        <v>14391</v>
      </c>
      <c r="C4332">
        <v>6750</v>
      </c>
      <c r="D4332">
        <v>8250</v>
      </c>
      <c r="E4332">
        <v>750</v>
      </c>
      <c r="F4332" s="61">
        <v>45255</v>
      </c>
    </row>
    <row r="4333" spans="1:6">
      <c r="A4333">
        <v>4332</v>
      </c>
      <c r="B4333" t="s">
        <v>14394</v>
      </c>
      <c r="C4333">
        <v>112800</v>
      </c>
      <c r="D4333">
        <v>0</v>
      </c>
      <c r="E4333">
        <v>2500</v>
      </c>
      <c r="F4333" s="103">
        <v>44760</v>
      </c>
    </row>
    <row r="4334" ht="15" spans="1:6">
      <c r="A4334">
        <v>4333</v>
      </c>
      <c r="B4334" t="s">
        <v>14394</v>
      </c>
      <c r="C4334">
        <v>10000</v>
      </c>
      <c r="D4334">
        <v>0</v>
      </c>
      <c r="E4334" t="s">
        <v>16642</v>
      </c>
      <c r="F4334" s="143">
        <v>44981</v>
      </c>
    </row>
    <row r="4335" spans="1:6">
      <c r="A4335">
        <v>4334</v>
      </c>
      <c r="B4335" t="s">
        <v>14398</v>
      </c>
      <c r="C4335">
        <v>0</v>
      </c>
      <c r="D4335">
        <v>0</v>
      </c>
      <c r="E4335" t="s">
        <v>16642</v>
      </c>
      <c r="F4335" s="100"/>
    </row>
    <row r="4336" spans="1:6">
      <c r="A4336">
        <v>4335</v>
      </c>
      <c r="B4336" t="s">
        <v>14403</v>
      </c>
      <c r="C4336">
        <v>100000</v>
      </c>
      <c r="D4336">
        <v>0</v>
      </c>
      <c r="E4336" t="s">
        <v>16642</v>
      </c>
      <c r="F4336" s="104"/>
    </row>
    <row r="4337" spans="1:6">
      <c r="A4337">
        <v>4336</v>
      </c>
      <c r="B4337" t="s">
        <v>14408</v>
      </c>
      <c r="C4337">
        <v>1000</v>
      </c>
      <c r="D4337">
        <v>0</v>
      </c>
      <c r="E4337">
        <v>50</v>
      </c>
      <c r="F4337" s="69">
        <v>44866</v>
      </c>
    </row>
    <row r="4338" spans="1:6">
      <c r="A4338">
        <v>4337</v>
      </c>
      <c r="B4338" t="s">
        <v>14412</v>
      </c>
      <c r="C4338">
        <v>12000</v>
      </c>
      <c r="D4338">
        <v>0</v>
      </c>
      <c r="E4338">
        <v>600</v>
      </c>
      <c r="F4338" s="77">
        <v>44867</v>
      </c>
    </row>
    <row r="4339" spans="1:6">
      <c r="A4339">
        <v>4338</v>
      </c>
      <c r="B4339" t="s">
        <v>14415</v>
      </c>
      <c r="C4339">
        <v>250</v>
      </c>
      <c r="D4339">
        <v>750</v>
      </c>
      <c r="E4339">
        <v>50</v>
      </c>
      <c r="F4339" s="60">
        <v>45001</v>
      </c>
    </row>
    <row r="4340" spans="1:6">
      <c r="A4340">
        <v>4339</v>
      </c>
      <c r="B4340" t="s">
        <v>14419</v>
      </c>
      <c r="C4340">
        <v>100000</v>
      </c>
      <c r="D4340">
        <v>0</v>
      </c>
      <c r="E4340" t="s">
        <v>16642</v>
      </c>
      <c r="F4340" s="76">
        <v>44900</v>
      </c>
    </row>
    <row r="4341" spans="1:6">
      <c r="A4341">
        <v>4340</v>
      </c>
      <c r="B4341" t="s">
        <v>14423</v>
      </c>
      <c r="C4341">
        <v>500</v>
      </c>
      <c r="D4341">
        <v>500</v>
      </c>
      <c r="E4341">
        <v>50</v>
      </c>
      <c r="F4341" s="69">
        <v>44890</v>
      </c>
    </row>
    <row r="4342" spans="1:6">
      <c r="A4342">
        <v>4341</v>
      </c>
      <c r="B4342" t="s">
        <v>14426</v>
      </c>
      <c r="C4342">
        <v>250</v>
      </c>
      <c r="D4342">
        <v>750</v>
      </c>
      <c r="E4342">
        <v>50</v>
      </c>
      <c r="F4342" s="73">
        <v>45001</v>
      </c>
    </row>
    <row r="4343" spans="1:6">
      <c r="A4343">
        <v>4342</v>
      </c>
      <c r="B4343" t="s">
        <v>14430</v>
      </c>
      <c r="C4343">
        <v>250</v>
      </c>
      <c r="D4343">
        <v>750</v>
      </c>
      <c r="E4343">
        <v>50</v>
      </c>
      <c r="F4343" s="60">
        <v>44928</v>
      </c>
    </row>
    <row r="4344" ht="15" spans="1:6">
      <c r="A4344">
        <v>4343</v>
      </c>
      <c r="B4344" t="s">
        <v>14433</v>
      </c>
      <c r="C4344">
        <v>1000000</v>
      </c>
      <c r="D4344">
        <v>500000</v>
      </c>
      <c r="E4344" t="s">
        <v>16642</v>
      </c>
      <c r="F4344" s="81">
        <f>IFERROR(__xludf.DUMMYFUNCTION("""COMPUTED_VALUE"""),45082)</f>
        <v>45082</v>
      </c>
    </row>
    <row r="4345" spans="1:6">
      <c r="A4345">
        <v>4344</v>
      </c>
      <c r="B4345" t="s">
        <v>14435</v>
      </c>
      <c r="C4345">
        <v>100000</v>
      </c>
      <c r="D4345">
        <v>0</v>
      </c>
      <c r="E4345" t="s">
        <v>16642</v>
      </c>
      <c r="F4345" s="85"/>
    </row>
    <row r="4346" spans="1:6">
      <c r="A4346">
        <v>4345</v>
      </c>
      <c r="B4346" t="s">
        <v>14435</v>
      </c>
      <c r="C4346">
        <v>100000</v>
      </c>
      <c r="D4346">
        <v>0</v>
      </c>
      <c r="E4346" t="s">
        <v>16642</v>
      </c>
      <c r="F4346" s="89"/>
    </row>
    <row r="4347" spans="1:6">
      <c r="A4347">
        <v>4346</v>
      </c>
      <c r="B4347" t="s">
        <v>14439</v>
      </c>
      <c r="C4347">
        <v>250</v>
      </c>
      <c r="D4347">
        <v>750</v>
      </c>
      <c r="E4347">
        <v>50</v>
      </c>
      <c r="F4347" s="61">
        <v>44930</v>
      </c>
    </row>
    <row r="4348" spans="1:6">
      <c r="A4348">
        <v>4347</v>
      </c>
      <c r="B4348" t="s">
        <v>14442</v>
      </c>
      <c r="C4348">
        <v>6000000</v>
      </c>
      <c r="D4348">
        <v>0</v>
      </c>
      <c r="E4348" t="s">
        <v>16642</v>
      </c>
      <c r="F4348" s="104"/>
    </row>
    <row r="4349" spans="1:6">
      <c r="A4349">
        <v>4348</v>
      </c>
      <c r="B4349" t="s">
        <v>14446</v>
      </c>
      <c r="C4349">
        <v>100000</v>
      </c>
      <c r="D4349">
        <v>0</v>
      </c>
      <c r="E4349" t="s">
        <v>16642</v>
      </c>
      <c r="F4349" s="76">
        <v>44928</v>
      </c>
    </row>
    <row r="4350" spans="1:6">
      <c r="A4350">
        <v>4349</v>
      </c>
      <c r="B4350" t="s">
        <v>14451</v>
      </c>
      <c r="C4350">
        <v>10000</v>
      </c>
      <c r="D4350">
        <v>0</v>
      </c>
      <c r="E4350">
        <v>50</v>
      </c>
      <c r="F4350" s="64" t="s">
        <v>16739</v>
      </c>
    </row>
    <row r="4351" spans="1:6">
      <c r="A4351">
        <v>4350</v>
      </c>
      <c r="B4351" t="s">
        <v>14455</v>
      </c>
      <c r="C4351">
        <v>5000</v>
      </c>
      <c r="D4351">
        <v>0</v>
      </c>
      <c r="E4351">
        <v>250</v>
      </c>
      <c r="F4351" s="65">
        <v>44730</v>
      </c>
    </row>
    <row r="4352" spans="1:6">
      <c r="A4352">
        <v>4351</v>
      </c>
      <c r="B4352" t="s">
        <v>14459</v>
      </c>
      <c r="C4352">
        <v>5000</v>
      </c>
      <c r="D4352">
        <v>0</v>
      </c>
      <c r="E4352">
        <v>250</v>
      </c>
      <c r="F4352" s="65">
        <v>44730</v>
      </c>
    </row>
    <row r="4353" spans="1:6">
      <c r="A4353">
        <v>4352</v>
      </c>
      <c r="B4353" t="s">
        <v>14463</v>
      </c>
      <c r="C4353">
        <v>1000</v>
      </c>
      <c r="D4353">
        <v>0</v>
      </c>
      <c r="E4353">
        <v>50</v>
      </c>
      <c r="F4353" s="65">
        <v>44540</v>
      </c>
    </row>
    <row r="4354" spans="1:6">
      <c r="A4354">
        <v>4353</v>
      </c>
      <c r="B4354" t="s">
        <v>14467</v>
      </c>
      <c r="C4354">
        <v>250</v>
      </c>
      <c r="D4354">
        <v>750</v>
      </c>
      <c r="E4354">
        <v>50</v>
      </c>
      <c r="F4354" s="73">
        <v>44982</v>
      </c>
    </row>
    <row r="4355" spans="1:6">
      <c r="A4355">
        <v>4354</v>
      </c>
      <c r="B4355" t="s">
        <v>14470</v>
      </c>
      <c r="C4355">
        <v>1000</v>
      </c>
      <c r="D4355">
        <v>0</v>
      </c>
      <c r="E4355">
        <v>50</v>
      </c>
      <c r="F4355" s="67">
        <v>44986</v>
      </c>
    </row>
    <row r="4356" spans="1:6">
      <c r="A4356">
        <v>4355</v>
      </c>
      <c r="B4356" t="s">
        <v>14473</v>
      </c>
      <c r="C4356">
        <v>250</v>
      </c>
      <c r="D4356">
        <v>750</v>
      </c>
      <c r="E4356">
        <v>50</v>
      </c>
      <c r="F4356" s="77">
        <v>44762</v>
      </c>
    </row>
    <row r="4357" spans="1:6">
      <c r="A4357">
        <v>4356</v>
      </c>
      <c r="B4357" t="s">
        <v>14476</v>
      </c>
      <c r="C4357">
        <v>55000</v>
      </c>
      <c r="D4357">
        <v>0</v>
      </c>
      <c r="E4357">
        <v>2750</v>
      </c>
      <c r="F4357" s="77">
        <v>44775</v>
      </c>
    </row>
    <row r="4358" spans="1:6">
      <c r="A4358">
        <v>4357</v>
      </c>
      <c r="B4358" t="s">
        <v>14479</v>
      </c>
      <c r="C4358">
        <v>5000</v>
      </c>
      <c r="D4358">
        <v>0</v>
      </c>
      <c r="E4358">
        <v>250</v>
      </c>
      <c r="F4358" s="65">
        <v>44705</v>
      </c>
    </row>
    <row r="4359" spans="1:6">
      <c r="A4359">
        <v>4358</v>
      </c>
      <c r="B4359" t="s">
        <v>14483</v>
      </c>
      <c r="C4359">
        <v>1250</v>
      </c>
      <c r="D4359">
        <v>3750</v>
      </c>
      <c r="E4359">
        <v>250</v>
      </c>
      <c r="F4359" s="65"/>
    </row>
    <row r="4360" spans="1:6">
      <c r="A4360">
        <v>4359</v>
      </c>
      <c r="B4360" t="s">
        <v>14487</v>
      </c>
      <c r="C4360">
        <v>2000</v>
      </c>
      <c r="D4360">
        <v>0</v>
      </c>
      <c r="E4360">
        <v>100</v>
      </c>
      <c r="F4360" s="64" t="s">
        <v>16866</v>
      </c>
    </row>
    <row r="4361" ht="31.5" spans="1:6">
      <c r="A4361">
        <v>4360</v>
      </c>
      <c r="B4361" t="s">
        <v>14491</v>
      </c>
      <c r="C4361">
        <v>10000</v>
      </c>
      <c r="D4361">
        <v>0</v>
      </c>
      <c r="E4361">
        <v>500</v>
      </c>
      <c r="F4361" s="102" t="s">
        <v>16867</v>
      </c>
    </row>
    <row r="4362" spans="1:6">
      <c r="A4362">
        <v>4361</v>
      </c>
      <c r="B4362" t="s">
        <v>14494</v>
      </c>
      <c r="C4362">
        <v>5000</v>
      </c>
      <c r="D4362">
        <v>5000</v>
      </c>
      <c r="E4362">
        <v>500</v>
      </c>
      <c r="F4362" s="67">
        <v>44973</v>
      </c>
    </row>
    <row r="4363" spans="1:6">
      <c r="A4363">
        <v>4362</v>
      </c>
      <c r="B4363" t="s">
        <v>14497</v>
      </c>
      <c r="C4363">
        <v>2500</v>
      </c>
      <c r="D4363">
        <v>7500</v>
      </c>
      <c r="E4363">
        <v>500</v>
      </c>
      <c r="F4363" s="64" t="s">
        <v>16868</v>
      </c>
    </row>
    <row r="4364" spans="1:6">
      <c r="A4364">
        <v>4363</v>
      </c>
      <c r="B4364" t="s">
        <v>14501</v>
      </c>
      <c r="C4364">
        <v>12500</v>
      </c>
      <c r="D4364">
        <v>37500</v>
      </c>
      <c r="E4364">
        <v>2500</v>
      </c>
      <c r="F4364" s="64" t="s">
        <v>16698</v>
      </c>
    </row>
    <row r="4365" spans="1:6">
      <c r="A4365">
        <v>4364</v>
      </c>
      <c r="B4365" t="s">
        <v>14505</v>
      </c>
      <c r="C4365">
        <v>2500</v>
      </c>
      <c r="D4365">
        <v>7500</v>
      </c>
      <c r="E4365">
        <v>500</v>
      </c>
      <c r="F4365" s="64" t="s">
        <v>16865</v>
      </c>
    </row>
    <row r="4366" spans="1:6">
      <c r="A4366">
        <v>4365</v>
      </c>
      <c r="B4366" t="s">
        <v>14508</v>
      </c>
      <c r="C4366">
        <v>100000</v>
      </c>
      <c r="D4366">
        <v>0</v>
      </c>
      <c r="E4366" t="s">
        <v>16642</v>
      </c>
      <c r="F4366" s="82">
        <v>44781</v>
      </c>
    </row>
    <row r="4367" spans="1:6">
      <c r="A4367">
        <v>4366</v>
      </c>
      <c r="B4367" t="s">
        <v>14512</v>
      </c>
      <c r="C4367">
        <v>11000</v>
      </c>
      <c r="D4367">
        <v>0</v>
      </c>
      <c r="E4367">
        <v>50</v>
      </c>
      <c r="F4367" s="64" t="s">
        <v>16869</v>
      </c>
    </row>
    <row r="4368" spans="1:6">
      <c r="A4368">
        <v>4367</v>
      </c>
      <c r="B4368" t="s">
        <v>14516</v>
      </c>
      <c r="C4368">
        <v>2500</v>
      </c>
      <c r="D4368">
        <v>7500</v>
      </c>
      <c r="E4368">
        <v>500</v>
      </c>
      <c r="F4368" s="77">
        <v>44900</v>
      </c>
    </row>
    <row r="4369" spans="1:6">
      <c r="A4369">
        <v>4368</v>
      </c>
      <c r="B4369" t="s">
        <v>14519</v>
      </c>
      <c r="C4369">
        <v>2900</v>
      </c>
      <c r="D4369">
        <v>0</v>
      </c>
      <c r="E4369">
        <v>145</v>
      </c>
      <c r="F4369" s="64" t="s">
        <v>16870</v>
      </c>
    </row>
    <row r="4370" spans="1:6">
      <c r="A4370">
        <v>4369</v>
      </c>
      <c r="B4370" t="s">
        <v>14523</v>
      </c>
      <c r="C4370">
        <v>400000</v>
      </c>
      <c r="D4370">
        <v>0</v>
      </c>
      <c r="E4370" t="s">
        <v>16642</v>
      </c>
      <c r="F4370" s="104"/>
    </row>
    <row r="4371" spans="1:6">
      <c r="A4371">
        <v>4370</v>
      </c>
      <c r="B4371" t="s">
        <v>14528</v>
      </c>
      <c r="C4371">
        <v>12500</v>
      </c>
      <c r="D4371">
        <v>37500</v>
      </c>
      <c r="E4371">
        <v>2500</v>
      </c>
      <c r="F4371" s="79">
        <v>44942</v>
      </c>
    </row>
    <row r="4372" spans="1:6">
      <c r="A4372">
        <v>4371</v>
      </c>
      <c r="B4372" t="s">
        <v>14531</v>
      </c>
      <c r="C4372">
        <v>100000</v>
      </c>
      <c r="D4372">
        <v>0</v>
      </c>
      <c r="E4372" t="s">
        <v>16642</v>
      </c>
      <c r="F4372" s="76">
        <v>44907</v>
      </c>
    </row>
    <row r="4373" spans="1:6">
      <c r="A4373">
        <v>4372</v>
      </c>
      <c r="B4373" t="s">
        <v>14535</v>
      </c>
      <c r="C4373">
        <v>150000</v>
      </c>
      <c r="D4373">
        <v>150000</v>
      </c>
      <c r="E4373">
        <v>15000</v>
      </c>
      <c r="F4373" s="64" t="s">
        <v>16871</v>
      </c>
    </row>
    <row r="4374" ht="15" spans="1:6">
      <c r="A4374">
        <v>4373</v>
      </c>
      <c r="B4374" t="s">
        <v>14539</v>
      </c>
      <c r="C4374">
        <v>1000000</v>
      </c>
      <c r="D4374">
        <v>500000</v>
      </c>
      <c r="E4374" t="s">
        <v>16642</v>
      </c>
      <c r="F4374" s="81">
        <f>IFERROR(__xludf.DUMMYFUNCTION("""COMPUTED_VALUE"""),45078)</f>
        <v>45078</v>
      </c>
    </row>
    <row r="4375" spans="1:6">
      <c r="A4375">
        <v>4374</v>
      </c>
      <c r="B4375" t="s">
        <v>14540</v>
      </c>
      <c r="C4375">
        <v>20000</v>
      </c>
      <c r="D4375">
        <v>60000</v>
      </c>
      <c r="E4375">
        <v>4000</v>
      </c>
      <c r="F4375" s="79">
        <v>44935</v>
      </c>
    </row>
    <row r="4376" spans="1:6">
      <c r="A4376">
        <v>4375</v>
      </c>
      <c r="B4376" t="s">
        <v>14543</v>
      </c>
      <c r="C4376">
        <v>15000</v>
      </c>
      <c r="D4376">
        <v>0</v>
      </c>
      <c r="E4376">
        <v>750</v>
      </c>
      <c r="F4376" s="65">
        <v>44441</v>
      </c>
    </row>
    <row r="4377" spans="1:6">
      <c r="A4377">
        <v>4376</v>
      </c>
      <c r="B4377" t="s">
        <v>14548</v>
      </c>
      <c r="C4377">
        <v>4000</v>
      </c>
      <c r="D4377">
        <v>4000</v>
      </c>
      <c r="E4377">
        <v>400</v>
      </c>
      <c r="F4377" s="67">
        <v>44786</v>
      </c>
    </row>
    <row r="4378" spans="1:6">
      <c r="A4378">
        <v>4377</v>
      </c>
      <c r="B4378" t="s">
        <v>14551</v>
      </c>
      <c r="C4378">
        <v>100000</v>
      </c>
      <c r="D4378">
        <v>0</v>
      </c>
      <c r="E4378" t="s">
        <v>16642</v>
      </c>
      <c r="F4378" s="66"/>
    </row>
    <row r="4379" spans="1:6">
      <c r="A4379">
        <v>4378</v>
      </c>
      <c r="B4379" t="s">
        <v>14556</v>
      </c>
      <c r="C4379">
        <v>250</v>
      </c>
      <c r="D4379">
        <v>750</v>
      </c>
      <c r="E4379">
        <v>50</v>
      </c>
      <c r="F4379" s="67">
        <v>45215</v>
      </c>
    </row>
    <row r="4380" spans="1:6">
      <c r="A4380">
        <v>4379</v>
      </c>
      <c r="B4380" t="s">
        <v>14559</v>
      </c>
      <c r="C4380">
        <v>500000</v>
      </c>
      <c r="D4380">
        <v>0</v>
      </c>
      <c r="E4380" t="s">
        <v>16642</v>
      </c>
      <c r="F4380" s="76">
        <v>44963</v>
      </c>
    </row>
    <row r="4381" spans="1:6">
      <c r="A4381">
        <v>4380</v>
      </c>
      <c r="B4381" t="s">
        <v>14563</v>
      </c>
      <c r="C4381">
        <v>5000</v>
      </c>
      <c r="D4381">
        <v>0</v>
      </c>
      <c r="E4381">
        <v>250</v>
      </c>
      <c r="F4381" s="64" t="s">
        <v>16841</v>
      </c>
    </row>
    <row r="4382" spans="1:6">
      <c r="A4382">
        <v>4381</v>
      </c>
      <c r="B4382" t="s">
        <v>14568</v>
      </c>
      <c r="C4382">
        <v>100000</v>
      </c>
      <c r="D4382">
        <v>0</v>
      </c>
      <c r="E4382" t="s">
        <v>16642</v>
      </c>
      <c r="F4382" s="66"/>
    </row>
    <row r="4383" ht="15" spans="1:6">
      <c r="A4383">
        <v>4382</v>
      </c>
      <c r="B4383" t="s">
        <v>14572</v>
      </c>
      <c r="C4383">
        <v>1000000</v>
      </c>
      <c r="D4383">
        <v>500000</v>
      </c>
      <c r="E4383" t="s">
        <v>16642</v>
      </c>
      <c r="F4383" s="144">
        <f>IFERROR(__xludf.DUMMYFUNCTION("""COMPUTED_VALUE"""),45083)</f>
        <v>45083</v>
      </c>
    </row>
    <row r="4384" ht="15" spans="1:6">
      <c r="A4384">
        <v>4383</v>
      </c>
      <c r="B4384" t="s">
        <v>14572</v>
      </c>
      <c r="C4384">
        <v>1000000</v>
      </c>
      <c r="D4384">
        <v>500000</v>
      </c>
      <c r="E4384" t="s">
        <v>16642</v>
      </c>
      <c r="F4384" s="145">
        <f>IFERROR(__xludf.DUMMYFUNCTION("""COMPUTED_VALUE"""),45083)</f>
        <v>45083</v>
      </c>
    </row>
    <row r="4385" spans="1:6">
      <c r="A4385">
        <v>4384</v>
      </c>
      <c r="B4385" t="s">
        <v>14573</v>
      </c>
      <c r="C4385">
        <v>100000</v>
      </c>
      <c r="D4385">
        <v>0</v>
      </c>
      <c r="E4385" t="s">
        <v>16642</v>
      </c>
      <c r="F4385" s="82">
        <v>44774</v>
      </c>
    </row>
    <row r="4386" spans="1:6">
      <c r="A4386">
        <v>4385</v>
      </c>
      <c r="B4386" t="s">
        <v>14577</v>
      </c>
      <c r="C4386">
        <v>2500</v>
      </c>
      <c r="D4386">
        <v>7500</v>
      </c>
      <c r="E4386">
        <v>500</v>
      </c>
      <c r="F4386" s="64" t="s">
        <v>16707</v>
      </c>
    </row>
    <row r="4387" spans="1:6">
      <c r="A4387">
        <v>4386</v>
      </c>
      <c r="B4387" t="s">
        <v>14581</v>
      </c>
      <c r="C4387">
        <v>2000</v>
      </c>
      <c r="D4387">
        <v>0</v>
      </c>
      <c r="E4387">
        <v>100</v>
      </c>
      <c r="F4387" s="79">
        <v>44939</v>
      </c>
    </row>
    <row r="4388" spans="1:6">
      <c r="A4388">
        <v>4387</v>
      </c>
      <c r="B4388" t="s">
        <v>14584</v>
      </c>
      <c r="C4388">
        <v>2000</v>
      </c>
      <c r="D4388">
        <v>0</v>
      </c>
      <c r="E4388">
        <v>100</v>
      </c>
      <c r="F4388" s="79">
        <v>44939</v>
      </c>
    </row>
    <row r="4389" spans="1:6">
      <c r="A4389">
        <v>4388</v>
      </c>
      <c r="B4389" t="s">
        <v>14587</v>
      </c>
      <c r="C4389">
        <v>1000</v>
      </c>
      <c r="D4389">
        <v>0</v>
      </c>
      <c r="E4389">
        <v>50</v>
      </c>
      <c r="F4389" s="77">
        <v>44867</v>
      </c>
    </row>
    <row r="4390" spans="1:6">
      <c r="A4390">
        <v>4389</v>
      </c>
      <c r="B4390" t="s">
        <v>14590</v>
      </c>
      <c r="C4390">
        <v>20000</v>
      </c>
      <c r="D4390">
        <v>0</v>
      </c>
      <c r="E4390">
        <v>500</v>
      </c>
      <c r="F4390" s="65">
        <v>44688</v>
      </c>
    </row>
    <row r="4391" spans="1:6">
      <c r="A4391">
        <v>4390</v>
      </c>
      <c r="B4391" t="s">
        <v>14594</v>
      </c>
      <c r="C4391">
        <v>100000</v>
      </c>
      <c r="D4391">
        <v>0</v>
      </c>
      <c r="E4391" t="s">
        <v>16642</v>
      </c>
      <c r="F4391" s="76">
        <v>44937</v>
      </c>
    </row>
    <row r="4392" spans="1:6">
      <c r="A4392">
        <v>4391</v>
      </c>
      <c r="B4392" t="s">
        <v>14598</v>
      </c>
      <c r="C4392">
        <v>100000</v>
      </c>
      <c r="D4392">
        <v>0</v>
      </c>
      <c r="E4392" t="s">
        <v>16642</v>
      </c>
      <c r="F4392" s="76">
        <v>44938</v>
      </c>
    </row>
    <row r="4393" spans="1:6">
      <c r="A4393">
        <v>4392</v>
      </c>
      <c r="B4393" t="s">
        <v>14602</v>
      </c>
      <c r="C4393">
        <v>1000</v>
      </c>
      <c r="D4393">
        <v>0</v>
      </c>
      <c r="E4393">
        <v>50</v>
      </c>
      <c r="F4393" s="64" t="s">
        <v>16872</v>
      </c>
    </row>
    <row r="4394" spans="1:6">
      <c r="A4394">
        <v>4393</v>
      </c>
      <c r="B4394" t="s">
        <v>14606</v>
      </c>
      <c r="C4394">
        <v>2000</v>
      </c>
      <c r="D4394">
        <v>0</v>
      </c>
      <c r="E4394">
        <v>100</v>
      </c>
      <c r="F4394" s="77">
        <v>44799</v>
      </c>
    </row>
    <row r="4395" spans="1:6">
      <c r="A4395">
        <v>4394</v>
      </c>
      <c r="B4395" t="s">
        <v>14609</v>
      </c>
      <c r="C4395">
        <v>2500</v>
      </c>
      <c r="D4395">
        <v>7500</v>
      </c>
      <c r="E4395">
        <v>500</v>
      </c>
      <c r="F4395" s="77">
        <v>44848</v>
      </c>
    </row>
    <row r="4396" spans="1:6">
      <c r="A4396">
        <v>4395</v>
      </c>
      <c r="B4396" t="s">
        <v>14612</v>
      </c>
      <c r="C4396">
        <v>300000</v>
      </c>
      <c r="D4396">
        <v>0</v>
      </c>
      <c r="E4396" t="s">
        <v>16642</v>
      </c>
      <c r="F4396" s="104"/>
    </row>
    <row r="4397" spans="1:6">
      <c r="A4397">
        <v>4396</v>
      </c>
      <c r="B4397" t="s">
        <v>14617</v>
      </c>
      <c r="C4397">
        <v>300000</v>
      </c>
      <c r="D4397">
        <v>0</v>
      </c>
      <c r="E4397" t="s">
        <v>16642</v>
      </c>
      <c r="F4397" s="76">
        <v>44902</v>
      </c>
    </row>
    <row r="4398" spans="1:6">
      <c r="A4398">
        <v>4397</v>
      </c>
      <c r="B4398" t="s">
        <v>14622</v>
      </c>
      <c r="C4398">
        <v>100000</v>
      </c>
      <c r="D4398">
        <v>0</v>
      </c>
      <c r="E4398" t="s">
        <v>16642</v>
      </c>
      <c r="F4398" s="66"/>
    </row>
    <row r="4399" spans="1:6">
      <c r="A4399">
        <v>4398</v>
      </c>
      <c r="B4399" t="s">
        <v>14627</v>
      </c>
      <c r="C4399">
        <v>2000</v>
      </c>
      <c r="D4399">
        <v>0</v>
      </c>
      <c r="E4399">
        <v>50</v>
      </c>
      <c r="F4399" s="79">
        <v>44952</v>
      </c>
    </row>
    <row r="4400" spans="1:6">
      <c r="A4400">
        <v>4399</v>
      </c>
      <c r="B4400" t="s">
        <v>14630</v>
      </c>
      <c r="C4400">
        <v>2500</v>
      </c>
      <c r="D4400">
        <v>7500</v>
      </c>
      <c r="E4400">
        <v>500</v>
      </c>
      <c r="F4400" s="64" t="s">
        <v>16742</v>
      </c>
    </row>
    <row r="4401" spans="1:6">
      <c r="A4401">
        <v>4400</v>
      </c>
      <c r="B4401" t="s">
        <v>14634</v>
      </c>
      <c r="C4401">
        <v>2000</v>
      </c>
      <c r="D4401">
        <v>6000</v>
      </c>
      <c r="E4401">
        <v>400</v>
      </c>
      <c r="F4401" s="77">
        <v>44805</v>
      </c>
    </row>
    <row r="4402" spans="1:6">
      <c r="A4402">
        <v>4401</v>
      </c>
      <c r="B4402" t="s">
        <v>14637</v>
      </c>
      <c r="C4402">
        <v>25000</v>
      </c>
      <c r="D4402">
        <v>0</v>
      </c>
      <c r="E4402">
        <v>500</v>
      </c>
      <c r="F4402" s="67">
        <v>45152</v>
      </c>
    </row>
    <row r="4403" spans="1:6">
      <c r="A4403">
        <v>4402</v>
      </c>
      <c r="B4403" t="s">
        <v>14640</v>
      </c>
      <c r="C4403">
        <v>2500</v>
      </c>
      <c r="D4403">
        <v>7500</v>
      </c>
      <c r="E4403">
        <v>500</v>
      </c>
      <c r="F4403" s="70">
        <v>44834</v>
      </c>
    </row>
    <row r="4404" ht="15" spans="1:6">
      <c r="A4404">
        <v>4403</v>
      </c>
      <c r="B4404" t="s">
        <v>14644</v>
      </c>
      <c r="C4404">
        <v>1000000</v>
      </c>
      <c r="D4404">
        <v>500000</v>
      </c>
      <c r="E4404" t="s">
        <v>16642</v>
      </c>
      <c r="F4404" s="81">
        <f>IFERROR(__xludf.DUMMYFUNCTION("""COMPUTED_VALUE"""),45084)</f>
        <v>45084</v>
      </c>
    </row>
    <row r="4405" spans="1:6">
      <c r="A4405">
        <v>4404</v>
      </c>
      <c r="B4405" t="s">
        <v>14645</v>
      </c>
      <c r="C4405">
        <v>10000</v>
      </c>
      <c r="D4405">
        <v>30000</v>
      </c>
      <c r="E4405">
        <v>2000</v>
      </c>
      <c r="F4405" s="65">
        <v>44732</v>
      </c>
    </row>
    <row r="4406" spans="1:6">
      <c r="A4406">
        <v>4405</v>
      </c>
      <c r="B4406" t="s">
        <v>14649</v>
      </c>
      <c r="C4406">
        <v>1000</v>
      </c>
      <c r="D4406">
        <v>0</v>
      </c>
      <c r="E4406">
        <v>50</v>
      </c>
      <c r="F4406" s="77">
        <v>44889</v>
      </c>
    </row>
    <row r="4407" spans="1:6">
      <c r="A4407">
        <v>4406</v>
      </c>
      <c r="B4407" t="s">
        <v>14652</v>
      </c>
      <c r="C4407">
        <v>4000</v>
      </c>
      <c r="D4407">
        <v>0</v>
      </c>
      <c r="E4407">
        <v>200</v>
      </c>
      <c r="F4407" s="70">
        <v>44909</v>
      </c>
    </row>
    <row r="4408" spans="1:6">
      <c r="A4408">
        <v>4407</v>
      </c>
      <c r="B4408" t="s">
        <v>14656</v>
      </c>
      <c r="C4408">
        <v>10000</v>
      </c>
      <c r="D4408">
        <v>0</v>
      </c>
      <c r="E4408">
        <v>500</v>
      </c>
      <c r="F4408" s="77">
        <v>44914</v>
      </c>
    </row>
    <row r="4409" spans="1:6">
      <c r="A4409">
        <v>4408</v>
      </c>
      <c r="B4409" t="s">
        <v>14659</v>
      </c>
      <c r="C4409">
        <v>300000</v>
      </c>
      <c r="D4409">
        <v>0</v>
      </c>
      <c r="E4409" t="s">
        <v>16642</v>
      </c>
      <c r="F4409" s="84"/>
    </row>
    <row r="4410" spans="1:6">
      <c r="A4410">
        <v>4409</v>
      </c>
      <c r="B4410" t="s">
        <v>14659</v>
      </c>
      <c r="C4410">
        <v>100000</v>
      </c>
      <c r="D4410">
        <v>0</v>
      </c>
      <c r="E4410" t="s">
        <v>16642</v>
      </c>
      <c r="F4410" s="89"/>
    </row>
    <row r="4411" spans="1:6">
      <c r="A4411">
        <v>4410</v>
      </c>
      <c r="B4411" t="s">
        <v>14663</v>
      </c>
      <c r="C4411">
        <v>250</v>
      </c>
      <c r="D4411">
        <v>750</v>
      </c>
      <c r="E4411">
        <v>50</v>
      </c>
      <c r="F4411" s="70">
        <v>44925</v>
      </c>
    </row>
    <row r="4412" spans="1:6">
      <c r="A4412">
        <v>4411</v>
      </c>
      <c r="B4412" t="s">
        <v>14666</v>
      </c>
      <c r="C4412">
        <v>250</v>
      </c>
      <c r="D4412">
        <v>750</v>
      </c>
      <c r="E4412">
        <v>50</v>
      </c>
      <c r="F4412" s="61">
        <v>44925</v>
      </c>
    </row>
    <row r="4413" spans="1:6">
      <c r="A4413">
        <v>4412</v>
      </c>
      <c r="B4413" t="s">
        <v>14669</v>
      </c>
      <c r="C4413">
        <v>43800</v>
      </c>
      <c r="D4413">
        <v>0</v>
      </c>
      <c r="E4413">
        <v>2190</v>
      </c>
      <c r="F4413" s="65">
        <v>44475</v>
      </c>
    </row>
    <row r="4414" spans="1:6">
      <c r="A4414">
        <v>4413</v>
      </c>
      <c r="B4414" t="s">
        <v>14674</v>
      </c>
      <c r="C4414">
        <v>100000</v>
      </c>
      <c r="D4414">
        <v>0</v>
      </c>
      <c r="E4414" t="s">
        <v>16642</v>
      </c>
      <c r="F4414" s="82">
        <v>44761</v>
      </c>
    </row>
    <row r="4415" spans="1:6">
      <c r="A4415">
        <v>4414</v>
      </c>
      <c r="B4415" t="s">
        <v>14678</v>
      </c>
      <c r="C4415">
        <v>100000</v>
      </c>
      <c r="D4415">
        <v>0</v>
      </c>
      <c r="E4415" t="s">
        <v>16642</v>
      </c>
      <c r="F4415" s="100"/>
    </row>
    <row r="4416" spans="1:6">
      <c r="A4416">
        <v>4415</v>
      </c>
      <c r="B4416" t="s">
        <v>14683</v>
      </c>
      <c r="C4416">
        <v>1250</v>
      </c>
      <c r="D4416">
        <v>3750</v>
      </c>
      <c r="E4416">
        <v>250</v>
      </c>
      <c r="F4416" s="65">
        <v>44532</v>
      </c>
    </row>
    <row r="4417" spans="1:6">
      <c r="A4417">
        <v>4416</v>
      </c>
      <c r="B4417" t="s">
        <v>14687</v>
      </c>
      <c r="C4417">
        <v>1000</v>
      </c>
      <c r="D4417">
        <v>0</v>
      </c>
      <c r="E4417">
        <v>50</v>
      </c>
      <c r="F4417" s="65">
        <v>44621</v>
      </c>
    </row>
    <row r="4418" spans="1:6">
      <c r="A4418">
        <v>4417</v>
      </c>
      <c r="B4418" t="s">
        <v>14691</v>
      </c>
      <c r="C4418">
        <v>250</v>
      </c>
      <c r="D4418">
        <v>750</v>
      </c>
      <c r="E4418">
        <v>50</v>
      </c>
      <c r="F4418" s="65">
        <v>44546</v>
      </c>
    </row>
    <row r="4419" spans="1:6">
      <c r="A4419">
        <v>4418</v>
      </c>
      <c r="B4419" t="s">
        <v>14695</v>
      </c>
      <c r="C4419">
        <v>1000</v>
      </c>
      <c r="D4419">
        <v>0</v>
      </c>
      <c r="E4419">
        <v>50</v>
      </c>
      <c r="F4419" s="65">
        <v>44516</v>
      </c>
    </row>
    <row r="4420" spans="1:6">
      <c r="A4420">
        <v>4419</v>
      </c>
      <c r="B4420" t="s">
        <v>14698</v>
      </c>
      <c r="C4420">
        <v>30000</v>
      </c>
      <c r="D4420">
        <v>0</v>
      </c>
      <c r="E4420">
        <v>1500</v>
      </c>
      <c r="F4420" s="64" t="s">
        <v>16647</v>
      </c>
    </row>
    <row r="4421" spans="1:6">
      <c r="A4421">
        <v>4420</v>
      </c>
      <c r="B4421" t="s">
        <v>14703</v>
      </c>
      <c r="C4421">
        <v>5000</v>
      </c>
      <c r="D4421">
        <v>15000</v>
      </c>
      <c r="E4421">
        <v>1000</v>
      </c>
      <c r="F4421" s="64" t="s">
        <v>16705</v>
      </c>
    </row>
    <row r="4422" spans="1:6">
      <c r="A4422">
        <v>4421</v>
      </c>
      <c r="B4422" t="s">
        <v>14707</v>
      </c>
      <c r="C4422">
        <v>5000</v>
      </c>
      <c r="D4422">
        <v>15000</v>
      </c>
      <c r="E4422">
        <v>1000</v>
      </c>
      <c r="F4422" s="64" t="s">
        <v>16705</v>
      </c>
    </row>
    <row r="4423" spans="1:6">
      <c r="A4423">
        <v>4422</v>
      </c>
      <c r="B4423" t="s">
        <v>14711</v>
      </c>
      <c r="C4423">
        <v>50000</v>
      </c>
      <c r="D4423">
        <v>0</v>
      </c>
      <c r="F4423" s="65">
        <v>44315</v>
      </c>
    </row>
    <row r="4424" spans="1:6">
      <c r="A4424">
        <v>4423</v>
      </c>
      <c r="B4424" t="s">
        <v>14716</v>
      </c>
      <c r="C4424">
        <v>100000</v>
      </c>
      <c r="D4424">
        <v>0</v>
      </c>
      <c r="E4424" t="s">
        <v>16642</v>
      </c>
      <c r="F4424" s="85"/>
    </row>
    <row r="4425" spans="1:6">
      <c r="A4425">
        <v>4424</v>
      </c>
      <c r="B4425" t="s">
        <v>14716</v>
      </c>
      <c r="C4425">
        <v>500000</v>
      </c>
      <c r="D4425">
        <v>0</v>
      </c>
      <c r="E4425" t="s">
        <v>16642</v>
      </c>
      <c r="F4425" s="96">
        <v>44898</v>
      </c>
    </row>
    <row r="4426" spans="1:6">
      <c r="A4426">
        <v>4425</v>
      </c>
      <c r="B4426" t="s">
        <v>14720</v>
      </c>
      <c r="C4426">
        <v>12500</v>
      </c>
      <c r="D4426">
        <v>37500</v>
      </c>
      <c r="E4426">
        <v>2500</v>
      </c>
      <c r="F4426" s="64" t="s">
        <v>16778</v>
      </c>
    </row>
    <row r="4427" ht="47.25" spans="1:6">
      <c r="A4427">
        <v>4426</v>
      </c>
      <c r="B4427" t="s">
        <v>14724</v>
      </c>
      <c r="C4427">
        <v>100000</v>
      </c>
      <c r="D4427">
        <v>0</v>
      </c>
      <c r="E4427">
        <v>5000</v>
      </c>
      <c r="F4427" s="67" t="s">
        <v>16873</v>
      </c>
    </row>
    <row r="4428" spans="1:6">
      <c r="A4428">
        <v>4427</v>
      </c>
      <c r="B4428" t="s">
        <v>14727</v>
      </c>
      <c r="C4428">
        <v>2500</v>
      </c>
      <c r="D4428">
        <v>0</v>
      </c>
      <c r="E4428">
        <v>50</v>
      </c>
      <c r="F4428" s="77">
        <v>44813</v>
      </c>
    </row>
    <row r="4429" spans="1:6">
      <c r="A4429">
        <v>4428</v>
      </c>
      <c r="B4429" t="s">
        <v>14730</v>
      </c>
      <c r="C4429">
        <v>10000</v>
      </c>
      <c r="D4429">
        <v>0</v>
      </c>
      <c r="E4429">
        <v>300</v>
      </c>
      <c r="F4429" s="64" t="s">
        <v>16874</v>
      </c>
    </row>
    <row r="4430" spans="1:6">
      <c r="A4430">
        <v>4429</v>
      </c>
      <c r="B4430" t="s">
        <v>14733</v>
      </c>
      <c r="C4430">
        <v>10000</v>
      </c>
      <c r="D4430">
        <v>0</v>
      </c>
      <c r="E4430">
        <v>500</v>
      </c>
      <c r="F4430" s="64" t="s">
        <v>16690</v>
      </c>
    </row>
    <row r="4431" spans="1:6">
      <c r="A4431">
        <v>4430</v>
      </c>
      <c r="B4431" t="s">
        <v>14737</v>
      </c>
      <c r="C4431">
        <v>5000</v>
      </c>
      <c r="D4431">
        <v>0</v>
      </c>
      <c r="E4431">
        <v>250</v>
      </c>
      <c r="F4431" s="65">
        <v>44646</v>
      </c>
    </row>
    <row r="4432" spans="1:6">
      <c r="A4432">
        <v>4431</v>
      </c>
      <c r="B4432" t="s">
        <v>14741</v>
      </c>
      <c r="C4432">
        <v>5000</v>
      </c>
      <c r="D4432">
        <v>0</v>
      </c>
      <c r="E4432">
        <v>250</v>
      </c>
      <c r="F4432" s="65">
        <v>44688</v>
      </c>
    </row>
    <row r="4433" spans="1:6">
      <c r="A4433">
        <v>4432</v>
      </c>
      <c r="B4433" t="s">
        <v>14745</v>
      </c>
      <c r="C4433">
        <v>51000</v>
      </c>
      <c r="D4433">
        <v>0</v>
      </c>
      <c r="F4433" s="65">
        <v>44295</v>
      </c>
    </row>
    <row r="4434" spans="1:6">
      <c r="A4434">
        <v>4433</v>
      </c>
      <c r="B4434" t="s">
        <v>14749</v>
      </c>
      <c r="C4434">
        <v>25000</v>
      </c>
      <c r="D4434">
        <v>25000</v>
      </c>
      <c r="E4434">
        <v>2500</v>
      </c>
      <c r="F4434" s="79">
        <v>44723</v>
      </c>
    </row>
    <row r="4435" spans="1:6">
      <c r="A4435">
        <v>4434</v>
      </c>
      <c r="B4435" t="s">
        <v>14752</v>
      </c>
      <c r="C4435">
        <v>50000</v>
      </c>
      <c r="D4435">
        <v>0</v>
      </c>
      <c r="F4435" s="65">
        <v>44313</v>
      </c>
    </row>
    <row r="4436" spans="1:6">
      <c r="A4436">
        <v>4435</v>
      </c>
      <c r="B4436" t="s">
        <v>14756</v>
      </c>
      <c r="C4436">
        <v>2500</v>
      </c>
      <c r="D4436">
        <v>0</v>
      </c>
      <c r="E4436">
        <v>125</v>
      </c>
      <c r="F4436" s="65">
        <v>44698</v>
      </c>
    </row>
    <row r="4437" spans="1:6">
      <c r="A4437">
        <v>4436</v>
      </c>
      <c r="B4437" t="s">
        <v>14760</v>
      </c>
      <c r="C4437">
        <v>30000</v>
      </c>
      <c r="D4437">
        <v>0</v>
      </c>
      <c r="E4437">
        <v>1500</v>
      </c>
      <c r="F4437" s="65">
        <v>44441</v>
      </c>
    </row>
    <row r="4438" spans="1:6">
      <c r="A4438">
        <v>4437</v>
      </c>
      <c r="B4438" t="s">
        <v>14765</v>
      </c>
      <c r="C4438">
        <v>10000</v>
      </c>
      <c r="D4438">
        <v>0</v>
      </c>
      <c r="E4438">
        <v>500</v>
      </c>
      <c r="F4438" s="65">
        <v>44595</v>
      </c>
    </row>
    <row r="4439" spans="1:6">
      <c r="A4439">
        <v>4438</v>
      </c>
      <c r="B4439" t="s">
        <v>14769</v>
      </c>
      <c r="C4439">
        <v>150000</v>
      </c>
      <c r="D4439">
        <v>0</v>
      </c>
      <c r="E4439">
        <v>7500</v>
      </c>
      <c r="F4439" s="64" t="s">
        <v>16797</v>
      </c>
    </row>
    <row r="4440" spans="1:6">
      <c r="A4440">
        <v>4439</v>
      </c>
      <c r="B4440" t="s">
        <v>14773</v>
      </c>
      <c r="C4440">
        <v>10000</v>
      </c>
      <c r="D4440">
        <v>30000</v>
      </c>
      <c r="E4440">
        <v>2000</v>
      </c>
      <c r="F4440" s="111">
        <v>44753</v>
      </c>
    </row>
    <row r="4441" spans="1:6">
      <c r="A4441">
        <v>4440</v>
      </c>
      <c r="B4441" t="s">
        <v>14777</v>
      </c>
      <c r="C4441">
        <v>5000</v>
      </c>
      <c r="D4441">
        <v>15000</v>
      </c>
      <c r="E4441">
        <v>1000</v>
      </c>
      <c r="F4441" s="77">
        <v>44768</v>
      </c>
    </row>
    <row r="4442" spans="1:6">
      <c r="A4442">
        <v>4441</v>
      </c>
      <c r="B4442" t="s">
        <v>14781</v>
      </c>
      <c r="C4442">
        <v>100000</v>
      </c>
      <c r="D4442">
        <v>0</v>
      </c>
      <c r="E4442">
        <v>5000</v>
      </c>
      <c r="F4442" s="65">
        <v>44867</v>
      </c>
    </row>
    <row r="4443" spans="1:6">
      <c r="A4443">
        <v>4442</v>
      </c>
      <c r="B4443" t="s">
        <v>14784</v>
      </c>
      <c r="C4443">
        <v>1000</v>
      </c>
      <c r="D4443">
        <v>0</v>
      </c>
      <c r="E4443">
        <v>50</v>
      </c>
      <c r="F4443" s="64" t="s">
        <v>16665</v>
      </c>
    </row>
    <row r="4444" spans="1:6">
      <c r="A4444">
        <v>4443</v>
      </c>
      <c r="B4444" t="s">
        <v>14788</v>
      </c>
      <c r="C4444">
        <v>1000</v>
      </c>
      <c r="D4444">
        <v>0</v>
      </c>
      <c r="E4444">
        <v>50</v>
      </c>
      <c r="F4444" s="64" t="s">
        <v>16856</v>
      </c>
    </row>
    <row r="4445" spans="1:6">
      <c r="A4445">
        <v>4444</v>
      </c>
      <c r="B4445" t="s">
        <v>14792</v>
      </c>
      <c r="C4445">
        <v>1000</v>
      </c>
      <c r="D4445">
        <v>0</v>
      </c>
      <c r="E4445">
        <v>50</v>
      </c>
      <c r="F4445" s="69">
        <v>44728</v>
      </c>
    </row>
    <row r="4446" spans="1:6">
      <c r="A4446">
        <v>4445</v>
      </c>
      <c r="B4446" t="s">
        <v>14796</v>
      </c>
      <c r="C4446">
        <v>2500</v>
      </c>
      <c r="D4446">
        <v>0</v>
      </c>
      <c r="E4446">
        <v>125</v>
      </c>
      <c r="F4446" s="65">
        <v>44481</v>
      </c>
    </row>
    <row r="4447" spans="1:6">
      <c r="A4447">
        <v>4446</v>
      </c>
      <c r="B4447" t="s">
        <v>14801</v>
      </c>
      <c r="C4447">
        <v>15000</v>
      </c>
      <c r="D4447">
        <v>0</v>
      </c>
      <c r="E4447">
        <v>750</v>
      </c>
      <c r="F4447" s="64" t="s">
        <v>16875</v>
      </c>
    </row>
    <row r="4448" spans="1:6">
      <c r="A4448">
        <v>4447</v>
      </c>
      <c r="B4448" t="s">
        <v>14805</v>
      </c>
      <c r="C4448">
        <v>118000</v>
      </c>
      <c r="D4448">
        <v>30000</v>
      </c>
      <c r="E4448">
        <v>2100</v>
      </c>
      <c r="F4448" s="65">
        <v>44757</v>
      </c>
    </row>
    <row r="4449" spans="1:6">
      <c r="A4449">
        <v>4448</v>
      </c>
      <c r="B4449" t="s">
        <v>14810</v>
      </c>
      <c r="C4449">
        <v>100000</v>
      </c>
      <c r="D4449">
        <v>0</v>
      </c>
      <c r="E4449" t="s">
        <v>16642</v>
      </c>
      <c r="F4449" s="76">
        <v>45009</v>
      </c>
    </row>
    <row r="4450" spans="1:6">
      <c r="A4450">
        <v>4449</v>
      </c>
      <c r="B4450" t="s">
        <v>14814</v>
      </c>
      <c r="C4450">
        <v>1000</v>
      </c>
      <c r="D4450">
        <v>0</v>
      </c>
      <c r="E4450">
        <v>50</v>
      </c>
      <c r="F4450" s="64" t="s">
        <v>16876</v>
      </c>
    </row>
    <row r="4451" spans="1:6">
      <c r="A4451">
        <v>4450</v>
      </c>
      <c r="B4451" t="s">
        <v>14818</v>
      </c>
      <c r="C4451">
        <v>250</v>
      </c>
      <c r="D4451">
        <v>750</v>
      </c>
      <c r="E4451">
        <v>50</v>
      </c>
      <c r="F4451" s="70">
        <v>44926</v>
      </c>
    </row>
    <row r="4452" ht="15" spans="1:6">
      <c r="A4452">
        <v>4451</v>
      </c>
      <c r="B4452" t="s">
        <v>14821</v>
      </c>
      <c r="C4452">
        <v>1000000</v>
      </c>
      <c r="D4452">
        <v>500000</v>
      </c>
      <c r="E4452" t="s">
        <v>16642</v>
      </c>
      <c r="F4452" s="81">
        <f>IFERROR(__xludf.DUMMYFUNCTION("""COMPUTED_VALUE"""),45084)</f>
        <v>45084</v>
      </c>
    </row>
    <row r="4453" spans="1:6">
      <c r="A4453">
        <v>4452</v>
      </c>
      <c r="B4453" t="s">
        <v>14822</v>
      </c>
      <c r="C4453">
        <v>12500</v>
      </c>
      <c r="D4453">
        <v>37500</v>
      </c>
      <c r="E4453">
        <v>2500</v>
      </c>
      <c r="F4453" s="77">
        <v>44926</v>
      </c>
    </row>
    <row r="4454" spans="1:6">
      <c r="A4454">
        <v>4453</v>
      </c>
      <c r="B4454" t="s">
        <v>14825</v>
      </c>
      <c r="C4454">
        <v>2000</v>
      </c>
      <c r="D4454">
        <v>0</v>
      </c>
      <c r="E4454">
        <v>100</v>
      </c>
      <c r="F4454" s="65">
        <v>44441</v>
      </c>
    </row>
    <row r="4455" spans="1:6">
      <c r="A4455">
        <v>4454</v>
      </c>
      <c r="B4455" t="s">
        <v>14830</v>
      </c>
      <c r="C4455">
        <v>1000</v>
      </c>
      <c r="D4455">
        <v>0</v>
      </c>
      <c r="E4455">
        <v>50</v>
      </c>
      <c r="F4455" s="60">
        <v>45065</v>
      </c>
    </row>
    <row r="4456" ht="15" spans="1:6">
      <c r="A4456">
        <v>4455</v>
      </c>
      <c r="B4456" t="s">
        <v>14833</v>
      </c>
      <c r="C4456">
        <v>1000000</v>
      </c>
      <c r="D4456">
        <v>500000</v>
      </c>
      <c r="E4456" t="s">
        <v>16642</v>
      </c>
      <c r="F4456" s="81">
        <f>IFERROR(__xludf.DUMMYFUNCTION("""COMPUTED_VALUE"""),45083)</f>
        <v>45083</v>
      </c>
    </row>
    <row r="4457" spans="1:6">
      <c r="A4457">
        <v>4456</v>
      </c>
      <c r="B4457" t="s">
        <v>14834</v>
      </c>
      <c r="C4457">
        <v>2500</v>
      </c>
      <c r="D4457">
        <v>7500</v>
      </c>
      <c r="E4457">
        <v>500</v>
      </c>
      <c r="F4457" s="77">
        <v>44810</v>
      </c>
    </row>
    <row r="4458" spans="1:6">
      <c r="A4458">
        <v>4457</v>
      </c>
      <c r="B4458" t="s">
        <v>14837</v>
      </c>
      <c r="C4458">
        <v>50000</v>
      </c>
      <c r="D4458">
        <v>0</v>
      </c>
      <c r="E4458">
        <v>2500</v>
      </c>
      <c r="F4458" s="77">
        <v>44546</v>
      </c>
    </row>
    <row r="4459" spans="1:6">
      <c r="A4459">
        <v>4458</v>
      </c>
      <c r="B4459" t="s">
        <v>14840</v>
      </c>
      <c r="C4459">
        <v>250</v>
      </c>
      <c r="D4459">
        <v>750</v>
      </c>
      <c r="E4459">
        <v>50</v>
      </c>
      <c r="F4459" s="61">
        <v>44886</v>
      </c>
    </row>
    <row r="4460" spans="1:6">
      <c r="A4460">
        <v>4459</v>
      </c>
      <c r="B4460" t="s">
        <v>14843</v>
      </c>
      <c r="C4460">
        <v>10000</v>
      </c>
      <c r="D4460">
        <v>0</v>
      </c>
      <c r="E4460">
        <v>500</v>
      </c>
      <c r="F4460" s="77">
        <v>44908</v>
      </c>
    </row>
    <row r="4461" ht="15" spans="1:6">
      <c r="A4461">
        <v>4460</v>
      </c>
      <c r="B4461" t="s">
        <v>14846</v>
      </c>
      <c r="C4461">
        <v>1000000</v>
      </c>
      <c r="D4461">
        <v>500000</v>
      </c>
      <c r="E4461" t="s">
        <v>16642</v>
      </c>
      <c r="F4461" s="98">
        <f>IFERROR(__xludf.DUMMYFUNCTION("""COMPUTED_VALUE"""),45079)</f>
        <v>45079</v>
      </c>
    </row>
    <row r="4462" ht="15" spans="1:6">
      <c r="A4462">
        <v>4461</v>
      </c>
      <c r="B4462" t="s">
        <v>14846</v>
      </c>
      <c r="C4462">
        <v>1000000</v>
      </c>
      <c r="D4462">
        <v>500000</v>
      </c>
      <c r="E4462" t="s">
        <v>16642</v>
      </c>
      <c r="F4462" s="98">
        <f>IFERROR(__xludf.DUMMYFUNCTION("""COMPUTED_VALUE"""),45079)</f>
        <v>45079</v>
      </c>
    </row>
    <row r="4463" spans="1:6">
      <c r="A4463">
        <v>4462</v>
      </c>
      <c r="B4463" t="s">
        <v>14847</v>
      </c>
      <c r="C4463">
        <v>250</v>
      </c>
      <c r="D4463">
        <v>750</v>
      </c>
      <c r="E4463">
        <v>50</v>
      </c>
      <c r="F4463" s="60">
        <v>44854</v>
      </c>
    </row>
    <row r="4464" spans="1:6">
      <c r="A4464">
        <v>4463</v>
      </c>
      <c r="B4464" t="s">
        <v>14850</v>
      </c>
      <c r="C4464">
        <v>250</v>
      </c>
      <c r="D4464">
        <v>750</v>
      </c>
      <c r="E4464">
        <v>50</v>
      </c>
      <c r="F4464" s="61">
        <v>44916</v>
      </c>
    </row>
    <row r="4465" spans="1:6">
      <c r="A4465">
        <v>4464</v>
      </c>
      <c r="B4465" t="s">
        <v>14854</v>
      </c>
      <c r="C4465">
        <v>250</v>
      </c>
      <c r="D4465">
        <v>750</v>
      </c>
      <c r="E4465">
        <v>50</v>
      </c>
      <c r="F4465" s="61">
        <v>44884</v>
      </c>
    </row>
    <row r="4466" spans="1:6">
      <c r="A4466">
        <v>4465</v>
      </c>
      <c r="B4466" t="s">
        <v>14857</v>
      </c>
      <c r="C4466">
        <v>250</v>
      </c>
      <c r="D4466">
        <v>750</v>
      </c>
      <c r="E4466">
        <v>50</v>
      </c>
      <c r="F4466" s="72">
        <v>44902</v>
      </c>
    </row>
    <row r="4467" spans="1:6">
      <c r="A4467">
        <v>4466</v>
      </c>
      <c r="B4467" t="s">
        <v>14860</v>
      </c>
      <c r="C4467">
        <v>250</v>
      </c>
      <c r="D4467">
        <v>750</v>
      </c>
      <c r="E4467">
        <v>50</v>
      </c>
      <c r="F4467" s="117" t="s">
        <v>16669</v>
      </c>
    </row>
    <row r="4468" spans="1:6">
      <c r="A4468">
        <v>4467</v>
      </c>
      <c r="B4468" t="s">
        <v>14863</v>
      </c>
      <c r="C4468">
        <v>250</v>
      </c>
      <c r="D4468">
        <v>750</v>
      </c>
      <c r="E4468">
        <v>50</v>
      </c>
      <c r="F4468" s="60">
        <v>44918</v>
      </c>
    </row>
    <row r="4469" spans="1:6">
      <c r="A4469">
        <v>4468</v>
      </c>
      <c r="B4469" t="s">
        <v>14866</v>
      </c>
      <c r="C4469">
        <v>2500</v>
      </c>
      <c r="D4469">
        <v>7500</v>
      </c>
      <c r="E4469">
        <v>500</v>
      </c>
      <c r="F4469" s="91" t="s">
        <v>16778</v>
      </c>
    </row>
    <row r="4470" spans="1:6">
      <c r="A4470">
        <v>4469</v>
      </c>
      <c r="B4470" t="s">
        <v>14866</v>
      </c>
      <c r="C4470">
        <v>100000</v>
      </c>
      <c r="D4470">
        <v>0</v>
      </c>
      <c r="E4470" t="s">
        <v>16642</v>
      </c>
      <c r="F4470" s="96">
        <v>44964</v>
      </c>
    </row>
    <row r="4471" spans="1:6">
      <c r="A4471">
        <v>4470</v>
      </c>
      <c r="B4471" t="s">
        <v>14870</v>
      </c>
      <c r="C4471">
        <v>250</v>
      </c>
      <c r="D4471">
        <v>750</v>
      </c>
      <c r="E4471">
        <v>50</v>
      </c>
      <c r="F4471" s="100" t="s">
        <v>16669</v>
      </c>
    </row>
    <row r="4472" spans="1:6">
      <c r="A4472">
        <v>4471</v>
      </c>
      <c r="B4472" t="s">
        <v>14873</v>
      </c>
      <c r="C4472">
        <v>2500</v>
      </c>
      <c r="D4472">
        <v>7500</v>
      </c>
      <c r="E4472">
        <v>500</v>
      </c>
      <c r="F4472" s="64" t="s">
        <v>16877</v>
      </c>
    </row>
    <row r="4473" spans="1:6">
      <c r="A4473">
        <v>4472</v>
      </c>
      <c r="B4473" t="s">
        <v>14877</v>
      </c>
      <c r="C4473">
        <v>1000</v>
      </c>
      <c r="D4473">
        <v>0</v>
      </c>
      <c r="E4473">
        <v>50</v>
      </c>
      <c r="F4473" s="60">
        <v>45048</v>
      </c>
    </row>
    <row r="4474" spans="1:6">
      <c r="A4474">
        <v>4473</v>
      </c>
      <c r="B4474" t="s">
        <v>14880</v>
      </c>
      <c r="C4474">
        <v>250</v>
      </c>
      <c r="D4474">
        <v>750</v>
      </c>
      <c r="E4474">
        <v>50</v>
      </c>
      <c r="F4474" s="60">
        <v>44861</v>
      </c>
    </row>
    <row r="4475" spans="1:6">
      <c r="A4475">
        <v>4474</v>
      </c>
      <c r="B4475" t="s">
        <v>14883</v>
      </c>
      <c r="C4475">
        <v>250</v>
      </c>
      <c r="D4475">
        <v>750</v>
      </c>
      <c r="E4475">
        <v>50</v>
      </c>
      <c r="F4475" s="60">
        <v>44935</v>
      </c>
    </row>
    <row r="4476" spans="1:6">
      <c r="A4476">
        <v>4475</v>
      </c>
      <c r="B4476" t="s">
        <v>14886</v>
      </c>
      <c r="C4476">
        <v>250</v>
      </c>
      <c r="D4476">
        <v>750</v>
      </c>
      <c r="E4476">
        <v>50</v>
      </c>
      <c r="F4476" s="61">
        <v>44849</v>
      </c>
    </row>
    <row r="4477" spans="1:6">
      <c r="A4477">
        <v>4476</v>
      </c>
      <c r="B4477" t="s">
        <v>14889</v>
      </c>
      <c r="C4477">
        <v>100000</v>
      </c>
      <c r="D4477">
        <v>0</v>
      </c>
      <c r="E4477" t="s">
        <v>16642</v>
      </c>
      <c r="F4477" s="76">
        <v>44874</v>
      </c>
    </row>
    <row r="4478" spans="1:6">
      <c r="A4478">
        <v>4477</v>
      </c>
      <c r="B4478" t="s">
        <v>14893</v>
      </c>
      <c r="C4478">
        <v>4500</v>
      </c>
      <c r="D4478">
        <v>0</v>
      </c>
      <c r="E4478">
        <v>225</v>
      </c>
      <c r="F4478" s="64" t="s">
        <v>16707</v>
      </c>
    </row>
    <row r="4479" spans="1:6">
      <c r="A4479">
        <v>4478</v>
      </c>
      <c r="B4479" t="s">
        <v>14897</v>
      </c>
      <c r="C4479">
        <v>250</v>
      </c>
      <c r="D4479">
        <v>750</v>
      </c>
      <c r="E4479">
        <v>50</v>
      </c>
      <c r="F4479" s="60">
        <v>44870</v>
      </c>
    </row>
    <row r="4480" spans="1:6">
      <c r="A4480">
        <v>4479</v>
      </c>
      <c r="B4480" t="s">
        <v>14900</v>
      </c>
      <c r="C4480">
        <v>2000</v>
      </c>
      <c r="D4480">
        <v>0</v>
      </c>
      <c r="E4480">
        <v>100</v>
      </c>
      <c r="F4480" s="70">
        <v>44855</v>
      </c>
    </row>
    <row r="4481" spans="1:6">
      <c r="A4481">
        <v>4480</v>
      </c>
      <c r="B4481" t="s">
        <v>14904</v>
      </c>
      <c r="C4481">
        <v>250</v>
      </c>
      <c r="D4481">
        <v>750</v>
      </c>
      <c r="E4481">
        <v>50</v>
      </c>
      <c r="F4481" s="60">
        <v>44813</v>
      </c>
    </row>
    <row r="4482" spans="1:6">
      <c r="A4482">
        <v>4481</v>
      </c>
      <c r="B4482" t="s">
        <v>14908</v>
      </c>
      <c r="C4482">
        <v>250</v>
      </c>
      <c r="D4482">
        <v>750</v>
      </c>
      <c r="E4482">
        <v>50</v>
      </c>
      <c r="F4482" s="75">
        <v>44849</v>
      </c>
    </row>
    <row r="4483" spans="1:6">
      <c r="A4483">
        <v>4482</v>
      </c>
      <c r="B4483" t="s">
        <v>14912</v>
      </c>
      <c r="C4483">
        <v>250</v>
      </c>
      <c r="D4483">
        <v>750</v>
      </c>
      <c r="E4483">
        <v>50</v>
      </c>
      <c r="F4483" s="70">
        <v>44889</v>
      </c>
    </row>
    <row r="4484" spans="1:6">
      <c r="A4484">
        <v>4483</v>
      </c>
      <c r="B4484" t="s">
        <v>14916</v>
      </c>
      <c r="C4484">
        <v>250</v>
      </c>
      <c r="D4484">
        <v>750</v>
      </c>
      <c r="E4484">
        <v>50</v>
      </c>
      <c r="F4484" s="61">
        <v>44809</v>
      </c>
    </row>
    <row r="4485" spans="1:6">
      <c r="A4485">
        <v>4484</v>
      </c>
      <c r="B4485" t="s">
        <v>14919</v>
      </c>
      <c r="C4485">
        <v>250</v>
      </c>
      <c r="D4485">
        <v>750</v>
      </c>
      <c r="E4485">
        <v>50</v>
      </c>
      <c r="F4485" s="60">
        <v>44882</v>
      </c>
    </row>
    <row r="4486" spans="1:6">
      <c r="A4486">
        <v>4485</v>
      </c>
      <c r="B4486" t="s">
        <v>14923</v>
      </c>
      <c r="C4486">
        <v>250</v>
      </c>
      <c r="D4486">
        <v>750</v>
      </c>
      <c r="E4486">
        <v>50</v>
      </c>
      <c r="F4486" s="60">
        <v>44820</v>
      </c>
    </row>
    <row r="4487" spans="1:6">
      <c r="A4487">
        <v>4486</v>
      </c>
      <c r="B4487" t="s">
        <v>14927</v>
      </c>
      <c r="C4487">
        <v>250</v>
      </c>
      <c r="D4487">
        <v>750</v>
      </c>
      <c r="E4487">
        <v>50</v>
      </c>
      <c r="F4487" s="61">
        <v>44882</v>
      </c>
    </row>
    <row r="4488" spans="1:6">
      <c r="A4488">
        <v>4487</v>
      </c>
      <c r="B4488" t="s">
        <v>14930</v>
      </c>
      <c r="C4488">
        <v>250</v>
      </c>
      <c r="D4488">
        <v>750</v>
      </c>
      <c r="E4488">
        <v>50</v>
      </c>
      <c r="F4488" s="75">
        <v>44862</v>
      </c>
    </row>
    <row r="4489" spans="1:6">
      <c r="A4489">
        <v>4488</v>
      </c>
      <c r="B4489" t="s">
        <v>14934</v>
      </c>
      <c r="C4489">
        <v>1000</v>
      </c>
      <c r="D4489">
        <v>0</v>
      </c>
      <c r="E4489">
        <v>50</v>
      </c>
      <c r="F4489" s="61">
        <v>44865</v>
      </c>
    </row>
    <row r="4490" spans="1:6">
      <c r="A4490">
        <v>4489</v>
      </c>
      <c r="B4490" t="s">
        <v>14938</v>
      </c>
      <c r="C4490">
        <v>250</v>
      </c>
      <c r="D4490">
        <v>750</v>
      </c>
      <c r="E4490">
        <v>50</v>
      </c>
      <c r="F4490" s="60">
        <v>44932</v>
      </c>
    </row>
    <row r="4491" spans="1:6">
      <c r="A4491">
        <v>4490</v>
      </c>
      <c r="B4491" t="s">
        <v>14942</v>
      </c>
      <c r="C4491">
        <v>50000</v>
      </c>
      <c r="D4491">
        <v>0</v>
      </c>
      <c r="E4491">
        <v>2500</v>
      </c>
      <c r="F4491" s="77">
        <v>44775</v>
      </c>
    </row>
    <row r="4492" spans="1:6">
      <c r="A4492">
        <v>4491</v>
      </c>
      <c r="B4492" t="s">
        <v>14945</v>
      </c>
      <c r="C4492">
        <v>250</v>
      </c>
      <c r="D4492">
        <v>750</v>
      </c>
      <c r="E4492">
        <v>50</v>
      </c>
      <c r="F4492" s="61">
        <v>44821</v>
      </c>
    </row>
    <row r="4493" spans="1:6">
      <c r="A4493">
        <v>4492</v>
      </c>
      <c r="B4493" t="s">
        <v>14949</v>
      </c>
      <c r="C4493">
        <v>4500</v>
      </c>
      <c r="D4493">
        <v>5500</v>
      </c>
      <c r="E4493">
        <v>500</v>
      </c>
      <c r="F4493" s="64" t="s">
        <v>16717</v>
      </c>
    </row>
    <row r="4494" spans="1:6">
      <c r="A4494">
        <v>4493</v>
      </c>
      <c r="B4494" t="s">
        <v>14953</v>
      </c>
      <c r="C4494">
        <v>250</v>
      </c>
      <c r="D4494">
        <v>750</v>
      </c>
      <c r="E4494">
        <v>50</v>
      </c>
      <c r="F4494" s="72">
        <v>44901</v>
      </c>
    </row>
    <row r="4495" spans="1:6">
      <c r="A4495">
        <v>4494</v>
      </c>
      <c r="B4495" t="s">
        <v>14956</v>
      </c>
      <c r="C4495">
        <v>250</v>
      </c>
      <c r="D4495">
        <v>750</v>
      </c>
      <c r="E4495">
        <v>50</v>
      </c>
      <c r="F4495" s="72">
        <v>44866</v>
      </c>
    </row>
    <row r="4496" spans="1:6">
      <c r="A4496">
        <v>4495</v>
      </c>
      <c r="B4496" t="s">
        <v>14960</v>
      </c>
      <c r="C4496">
        <v>250</v>
      </c>
      <c r="D4496">
        <v>750</v>
      </c>
      <c r="E4496">
        <v>50</v>
      </c>
      <c r="F4496" s="60">
        <v>44866</v>
      </c>
    </row>
    <row r="4497" spans="1:6">
      <c r="A4497">
        <v>4496</v>
      </c>
      <c r="B4497" t="s">
        <v>14963</v>
      </c>
      <c r="C4497">
        <v>250</v>
      </c>
      <c r="D4497">
        <v>750</v>
      </c>
      <c r="E4497">
        <v>50</v>
      </c>
      <c r="F4497" s="75">
        <v>44822</v>
      </c>
    </row>
    <row r="4498" spans="1:6">
      <c r="A4498">
        <v>4497</v>
      </c>
      <c r="B4498" t="s">
        <v>14966</v>
      </c>
      <c r="C4498">
        <v>250</v>
      </c>
      <c r="D4498">
        <v>750</v>
      </c>
      <c r="E4498">
        <v>50</v>
      </c>
      <c r="F4498" s="72">
        <v>44869</v>
      </c>
    </row>
    <row r="4499" spans="1:6">
      <c r="A4499">
        <v>4498</v>
      </c>
      <c r="B4499" t="s">
        <v>14970</v>
      </c>
      <c r="C4499">
        <v>250</v>
      </c>
      <c r="D4499">
        <v>750</v>
      </c>
      <c r="E4499">
        <v>50</v>
      </c>
      <c r="F4499" s="60">
        <v>44849</v>
      </c>
    </row>
    <row r="4500" spans="1:6">
      <c r="A4500">
        <v>4499</v>
      </c>
      <c r="B4500" t="s">
        <v>14973</v>
      </c>
      <c r="C4500">
        <v>250</v>
      </c>
      <c r="D4500">
        <v>750</v>
      </c>
      <c r="E4500">
        <v>50</v>
      </c>
      <c r="F4500" s="61">
        <v>44935</v>
      </c>
    </row>
    <row r="4501" spans="1:6">
      <c r="A4501">
        <v>4500</v>
      </c>
      <c r="B4501" t="s">
        <v>14977</v>
      </c>
      <c r="C4501">
        <v>250</v>
      </c>
      <c r="D4501">
        <v>750</v>
      </c>
      <c r="E4501">
        <v>50</v>
      </c>
      <c r="F4501" s="72">
        <v>44890</v>
      </c>
    </row>
    <row r="4502" spans="1:6">
      <c r="A4502">
        <v>4501</v>
      </c>
      <c r="B4502" t="s">
        <v>14981</v>
      </c>
      <c r="C4502">
        <v>12500</v>
      </c>
      <c r="D4502">
        <v>12500</v>
      </c>
      <c r="E4502">
        <v>1250</v>
      </c>
      <c r="F4502" s="64" t="s">
        <v>16647</v>
      </c>
    </row>
    <row r="4503" spans="1:6">
      <c r="A4503">
        <v>4502</v>
      </c>
      <c r="B4503" t="s">
        <v>14985</v>
      </c>
      <c r="C4503">
        <v>250</v>
      </c>
      <c r="D4503">
        <v>750</v>
      </c>
      <c r="E4503">
        <v>50</v>
      </c>
      <c r="F4503" s="69">
        <v>45001</v>
      </c>
    </row>
    <row r="4504" spans="1:6">
      <c r="A4504">
        <v>4503</v>
      </c>
      <c r="B4504" t="s">
        <v>14987</v>
      </c>
      <c r="C4504">
        <v>250</v>
      </c>
      <c r="D4504">
        <v>750</v>
      </c>
      <c r="E4504">
        <v>50</v>
      </c>
      <c r="F4504" s="71">
        <v>44925</v>
      </c>
    </row>
    <row r="4505" spans="1:6">
      <c r="A4505">
        <v>4504</v>
      </c>
      <c r="B4505" t="s">
        <v>14990</v>
      </c>
      <c r="C4505">
        <v>250</v>
      </c>
      <c r="D4505">
        <v>750</v>
      </c>
      <c r="E4505">
        <v>50</v>
      </c>
      <c r="F4505" s="61">
        <v>44902</v>
      </c>
    </row>
    <row r="4506" spans="1:6">
      <c r="A4506">
        <v>4505</v>
      </c>
      <c r="B4506" t="s">
        <v>14993</v>
      </c>
      <c r="C4506">
        <v>200000</v>
      </c>
      <c r="D4506">
        <v>0</v>
      </c>
      <c r="E4506" t="s">
        <v>16642</v>
      </c>
      <c r="F4506" s="100"/>
    </row>
    <row r="4507" spans="1:6">
      <c r="A4507">
        <v>4506</v>
      </c>
      <c r="B4507" t="s">
        <v>14997</v>
      </c>
      <c r="C4507">
        <v>250</v>
      </c>
      <c r="D4507">
        <v>750</v>
      </c>
      <c r="E4507">
        <v>50</v>
      </c>
      <c r="F4507" s="72">
        <v>44849</v>
      </c>
    </row>
    <row r="4508" spans="1:6">
      <c r="A4508">
        <v>4507</v>
      </c>
      <c r="B4508" t="s">
        <v>15000</v>
      </c>
      <c r="C4508">
        <v>40000</v>
      </c>
      <c r="D4508">
        <v>0</v>
      </c>
      <c r="E4508">
        <v>2000</v>
      </c>
      <c r="F4508" s="64" t="s">
        <v>16772</v>
      </c>
    </row>
    <row r="4509" spans="1:6">
      <c r="A4509">
        <v>4508</v>
      </c>
      <c r="B4509" t="s">
        <v>15004</v>
      </c>
      <c r="C4509">
        <v>100000</v>
      </c>
      <c r="D4509">
        <v>0</v>
      </c>
      <c r="E4509" t="s">
        <v>16642</v>
      </c>
      <c r="F4509" s="82">
        <v>44775</v>
      </c>
    </row>
    <row r="4510" ht="15" spans="1:6">
      <c r="A4510">
        <v>4509</v>
      </c>
      <c r="B4510" t="s">
        <v>15008</v>
      </c>
      <c r="C4510">
        <v>3000000</v>
      </c>
      <c r="D4510">
        <v>500000</v>
      </c>
      <c r="E4510" t="s">
        <v>16642</v>
      </c>
      <c r="F4510" s="92">
        <v>45127</v>
      </c>
    </row>
    <row r="4511" spans="1:6">
      <c r="A4511">
        <v>4510</v>
      </c>
      <c r="B4511" t="s">
        <v>15013</v>
      </c>
      <c r="C4511">
        <v>10000</v>
      </c>
      <c r="D4511">
        <v>0</v>
      </c>
      <c r="E4511">
        <v>500</v>
      </c>
      <c r="F4511" s="83">
        <v>44744</v>
      </c>
    </row>
    <row r="4512" spans="1:6">
      <c r="A4512">
        <v>4511</v>
      </c>
      <c r="B4512" t="s">
        <v>15013</v>
      </c>
      <c r="C4512">
        <v>100000</v>
      </c>
      <c r="D4512">
        <v>0</v>
      </c>
      <c r="E4512" t="s">
        <v>16642</v>
      </c>
      <c r="F4512" s="89"/>
    </row>
    <row r="4513" spans="1:6">
      <c r="A4513">
        <v>4512</v>
      </c>
      <c r="B4513" t="s">
        <v>15017</v>
      </c>
      <c r="C4513">
        <v>6000</v>
      </c>
      <c r="D4513">
        <v>4000</v>
      </c>
      <c r="E4513">
        <v>500</v>
      </c>
      <c r="F4513" s="64" t="s">
        <v>16806</v>
      </c>
    </row>
    <row r="4514" spans="1:6">
      <c r="A4514">
        <v>4513</v>
      </c>
      <c r="B4514" t="s">
        <v>15021</v>
      </c>
      <c r="C4514">
        <v>250</v>
      </c>
      <c r="D4514">
        <v>750</v>
      </c>
      <c r="E4514">
        <v>50</v>
      </c>
      <c r="F4514" s="60">
        <v>44963</v>
      </c>
    </row>
    <row r="4515" spans="1:6">
      <c r="A4515">
        <v>4514</v>
      </c>
      <c r="B4515" t="s">
        <v>15024</v>
      </c>
      <c r="C4515">
        <v>1000</v>
      </c>
      <c r="D4515">
        <v>0</v>
      </c>
      <c r="E4515">
        <v>50</v>
      </c>
      <c r="F4515" s="60">
        <v>44845</v>
      </c>
    </row>
    <row r="4516" spans="1:6">
      <c r="A4516">
        <v>4515</v>
      </c>
      <c r="B4516" t="s">
        <v>15028</v>
      </c>
      <c r="C4516">
        <v>250</v>
      </c>
      <c r="D4516">
        <v>750</v>
      </c>
      <c r="E4516">
        <v>50</v>
      </c>
      <c r="F4516" s="61">
        <v>44978</v>
      </c>
    </row>
    <row r="4517" spans="1:6">
      <c r="A4517">
        <v>4516</v>
      </c>
      <c r="B4517" t="s">
        <v>15031</v>
      </c>
      <c r="C4517">
        <v>10000</v>
      </c>
      <c r="D4517">
        <v>0</v>
      </c>
      <c r="E4517">
        <v>500</v>
      </c>
      <c r="F4517" s="67">
        <v>44942</v>
      </c>
    </row>
    <row r="4518" spans="1:6">
      <c r="A4518">
        <v>4517</v>
      </c>
      <c r="B4518" t="s">
        <v>15034</v>
      </c>
      <c r="C4518">
        <v>250</v>
      </c>
      <c r="D4518">
        <v>750</v>
      </c>
      <c r="E4518">
        <v>50</v>
      </c>
      <c r="F4518" s="60">
        <v>44876</v>
      </c>
    </row>
    <row r="4519" spans="1:6">
      <c r="A4519">
        <v>4518</v>
      </c>
      <c r="B4519" t="s">
        <v>15038</v>
      </c>
      <c r="C4519">
        <v>250</v>
      </c>
      <c r="D4519">
        <v>750</v>
      </c>
      <c r="E4519">
        <v>50</v>
      </c>
      <c r="F4519" s="60">
        <v>44950</v>
      </c>
    </row>
    <row r="4520" spans="1:6">
      <c r="A4520">
        <v>4519</v>
      </c>
      <c r="B4520" t="s">
        <v>15042</v>
      </c>
      <c r="C4520">
        <v>250</v>
      </c>
      <c r="D4520">
        <v>750</v>
      </c>
      <c r="E4520">
        <v>50</v>
      </c>
      <c r="F4520" s="73">
        <v>44930</v>
      </c>
    </row>
    <row r="4521" spans="1:6">
      <c r="A4521">
        <v>4520</v>
      </c>
      <c r="B4521" t="s">
        <v>15045</v>
      </c>
      <c r="C4521">
        <v>250</v>
      </c>
      <c r="D4521">
        <v>750</v>
      </c>
      <c r="E4521">
        <v>50</v>
      </c>
      <c r="F4521" s="60">
        <v>44939</v>
      </c>
    </row>
    <row r="4522" spans="1:6">
      <c r="A4522">
        <v>4521</v>
      </c>
      <c r="B4522" t="s">
        <v>15048</v>
      </c>
      <c r="C4522">
        <v>250</v>
      </c>
      <c r="D4522">
        <v>750</v>
      </c>
      <c r="E4522">
        <v>50</v>
      </c>
      <c r="F4522" s="61">
        <v>44910</v>
      </c>
    </row>
    <row r="4523" spans="1:6">
      <c r="A4523">
        <v>4522</v>
      </c>
      <c r="B4523" t="s">
        <v>15052</v>
      </c>
      <c r="C4523">
        <v>100000</v>
      </c>
      <c r="D4523">
        <v>0</v>
      </c>
      <c r="E4523" t="s">
        <v>16642</v>
      </c>
      <c r="F4523" s="84"/>
    </row>
    <row r="4524" spans="1:6">
      <c r="A4524">
        <v>4523</v>
      </c>
      <c r="B4524" t="s">
        <v>15052</v>
      </c>
      <c r="C4524">
        <v>100000</v>
      </c>
      <c r="D4524">
        <v>0</v>
      </c>
      <c r="E4524" t="s">
        <v>16642</v>
      </c>
      <c r="F4524" s="85"/>
    </row>
    <row r="4525" spans="1:6">
      <c r="A4525">
        <v>4524</v>
      </c>
      <c r="B4525" t="s">
        <v>15057</v>
      </c>
      <c r="C4525">
        <v>250</v>
      </c>
      <c r="D4525">
        <v>750</v>
      </c>
      <c r="E4525">
        <v>50</v>
      </c>
      <c r="F4525" s="61">
        <v>44935</v>
      </c>
    </row>
    <row r="4526" spans="1:6">
      <c r="A4526">
        <v>4525</v>
      </c>
      <c r="B4526" t="s">
        <v>15060</v>
      </c>
      <c r="C4526">
        <v>250</v>
      </c>
      <c r="D4526">
        <v>750</v>
      </c>
      <c r="E4526">
        <v>50</v>
      </c>
      <c r="F4526" s="60">
        <v>44833</v>
      </c>
    </row>
    <row r="4527" spans="1:6">
      <c r="A4527">
        <v>4526</v>
      </c>
      <c r="B4527" t="s">
        <v>15064</v>
      </c>
      <c r="C4527">
        <v>250</v>
      </c>
      <c r="D4527">
        <v>750</v>
      </c>
      <c r="E4527">
        <v>50</v>
      </c>
      <c r="F4527" s="60">
        <v>44870</v>
      </c>
    </row>
    <row r="4528" spans="1:6">
      <c r="A4528">
        <v>4527</v>
      </c>
      <c r="B4528" t="s">
        <v>15067</v>
      </c>
      <c r="C4528">
        <v>4000</v>
      </c>
      <c r="D4528">
        <v>0</v>
      </c>
      <c r="E4528">
        <v>200</v>
      </c>
      <c r="F4528" s="65">
        <v>44616</v>
      </c>
    </row>
    <row r="4529" spans="1:6">
      <c r="A4529">
        <v>4528</v>
      </c>
      <c r="B4529" t="s">
        <v>15071</v>
      </c>
      <c r="C4529">
        <v>4000</v>
      </c>
      <c r="D4529">
        <v>0</v>
      </c>
      <c r="E4529">
        <v>200</v>
      </c>
      <c r="F4529" s="65">
        <v>44616</v>
      </c>
    </row>
    <row r="4530" spans="1:6">
      <c r="A4530">
        <v>4529</v>
      </c>
      <c r="B4530" t="s">
        <v>15075</v>
      </c>
      <c r="C4530">
        <v>4000</v>
      </c>
      <c r="D4530">
        <v>0</v>
      </c>
      <c r="E4530">
        <v>200</v>
      </c>
      <c r="F4530" s="65">
        <v>44616</v>
      </c>
    </row>
    <row r="4531" spans="1:6">
      <c r="A4531">
        <v>4530</v>
      </c>
      <c r="B4531" t="s">
        <v>15079</v>
      </c>
      <c r="C4531">
        <v>4000</v>
      </c>
      <c r="D4531">
        <v>0</v>
      </c>
      <c r="E4531">
        <v>200</v>
      </c>
      <c r="F4531" s="65">
        <v>44616</v>
      </c>
    </row>
    <row r="4532" spans="1:6">
      <c r="A4532">
        <v>4531</v>
      </c>
      <c r="B4532" t="s">
        <v>15083</v>
      </c>
      <c r="C4532">
        <v>100000</v>
      </c>
      <c r="D4532">
        <v>0</v>
      </c>
      <c r="E4532">
        <v>5000</v>
      </c>
      <c r="F4532" s="64" t="s">
        <v>16662</v>
      </c>
    </row>
    <row r="4533" spans="1:6">
      <c r="A4533">
        <v>4532</v>
      </c>
      <c r="B4533" t="s">
        <v>15087</v>
      </c>
      <c r="C4533">
        <v>1000</v>
      </c>
      <c r="D4533">
        <v>0</v>
      </c>
      <c r="E4533">
        <v>50</v>
      </c>
      <c r="F4533" s="60">
        <v>44989</v>
      </c>
    </row>
    <row r="4534" spans="1:6">
      <c r="A4534">
        <v>4533</v>
      </c>
      <c r="B4534" t="s">
        <v>15090</v>
      </c>
      <c r="C4534">
        <v>250</v>
      </c>
      <c r="D4534">
        <v>750</v>
      </c>
      <c r="E4534">
        <v>50</v>
      </c>
      <c r="F4534" s="73">
        <v>45022</v>
      </c>
    </row>
    <row r="4535" spans="1:6">
      <c r="A4535">
        <v>4534</v>
      </c>
      <c r="B4535" t="s">
        <v>15093</v>
      </c>
      <c r="C4535">
        <v>6000</v>
      </c>
      <c r="D4535">
        <v>0</v>
      </c>
      <c r="E4535">
        <v>50</v>
      </c>
      <c r="F4535" s="79">
        <v>44939</v>
      </c>
    </row>
    <row r="4536" ht="31.5" spans="1:6">
      <c r="A4536">
        <v>4535</v>
      </c>
      <c r="B4536" t="s">
        <v>15096</v>
      </c>
      <c r="C4536">
        <v>50000</v>
      </c>
      <c r="D4536">
        <v>0</v>
      </c>
      <c r="E4536">
        <v>1000</v>
      </c>
      <c r="F4536" s="77" t="s">
        <v>16878</v>
      </c>
    </row>
    <row r="4537" spans="1:6">
      <c r="A4537">
        <v>4536</v>
      </c>
      <c r="B4537" t="s">
        <v>15099</v>
      </c>
      <c r="C4537">
        <v>250</v>
      </c>
      <c r="D4537">
        <v>750</v>
      </c>
      <c r="E4537">
        <v>50</v>
      </c>
      <c r="F4537" s="69">
        <v>44980</v>
      </c>
    </row>
    <row r="4538" ht="15" spans="1:6">
      <c r="A4538">
        <v>4537</v>
      </c>
      <c r="B4538" t="s">
        <v>15102</v>
      </c>
      <c r="C4538">
        <v>1000000</v>
      </c>
      <c r="D4538">
        <v>500000</v>
      </c>
      <c r="E4538" t="s">
        <v>16642</v>
      </c>
      <c r="F4538" s="81">
        <f>IFERROR(__xludf.DUMMYFUNCTION("""COMPUTED_VALUE"""),45084)</f>
        <v>45084</v>
      </c>
    </row>
    <row r="4539" spans="1:6">
      <c r="A4539">
        <v>4538</v>
      </c>
      <c r="B4539" t="s">
        <v>15103</v>
      </c>
      <c r="C4539">
        <v>2500</v>
      </c>
      <c r="D4539">
        <v>7500</v>
      </c>
      <c r="E4539">
        <v>500</v>
      </c>
      <c r="F4539" s="67">
        <v>45007</v>
      </c>
    </row>
    <row r="4540" spans="1:6">
      <c r="A4540">
        <v>4539</v>
      </c>
      <c r="B4540" t="s">
        <v>15106</v>
      </c>
      <c r="C4540">
        <v>250</v>
      </c>
      <c r="D4540">
        <v>750</v>
      </c>
      <c r="E4540">
        <v>50</v>
      </c>
      <c r="F4540" s="65">
        <v>44510</v>
      </c>
    </row>
    <row r="4541" spans="1:6">
      <c r="A4541">
        <v>4540</v>
      </c>
      <c r="B4541" t="s">
        <v>15110</v>
      </c>
      <c r="C4541">
        <v>5000</v>
      </c>
      <c r="D4541">
        <v>0</v>
      </c>
      <c r="E4541">
        <v>250</v>
      </c>
      <c r="F4541" s="77">
        <v>44889</v>
      </c>
    </row>
    <row r="4542" spans="1:6">
      <c r="A4542">
        <v>4541</v>
      </c>
      <c r="B4542" t="s">
        <v>15113</v>
      </c>
      <c r="C4542">
        <v>10000</v>
      </c>
      <c r="D4542">
        <v>0</v>
      </c>
      <c r="E4542">
        <v>500</v>
      </c>
      <c r="F4542" s="77">
        <v>44779</v>
      </c>
    </row>
    <row r="4543" spans="1:6">
      <c r="A4543">
        <v>4542</v>
      </c>
      <c r="B4543" t="s">
        <v>15116</v>
      </c>
      <c r="C4543">
        <v>10000</v>
      </c>
      <c r="D4543">
        <v>30000</v>
      </c>
      <c r="E4543">
        <v>2000</v>
      </c>
      <c r="F4543" s="77">
        <v>44811</v>
      </c>
    </row>
    <row r="4544" spans="1:6">
      <c r="A4544">
        <v>4543</v>
      </c>
      <c r="B4544" t="s">
        <v>15119</v>
      </c>
      <c r="C4544">
        <v>2500</v>
      </c>
      <c r="D4544">
        <v>7500</v>
      </c>
      <c r="E4544">
        <v>500</v>
      </c>
      <c r="F4544" s="65">
        <v>44510</v>
      </c>
    </row>
    <row r="4545" spans="1:6">
      <c r="A4545">
        <v>4544</v>
      </c>
      <c r="B4545" t="s">
        <v>15122</v>
      </c>
      <c r="C4545">
        <v>16000</v>
      </c>
      <c r="D4545">
        <v>35000</v>
      </c>
      <c r="E4545">
        <v>50</v>
      </c>
      <c r="F4545" s="77">
        <v>44880</v>
      </c>
    </row>
    <row r="4546" spans="1:6">
      <c r="A4546">
        <v>4545</v>
      </c>
      <c r="B4546" t="s">
        <v>15125</v>
      </c>
      <c r="C4546">
        <v>1000</v>
      </c>
      <c r="D4546">
        <v>0</v>
      </c>
      <c r="E4546">
        <v>50</v>
      </c>
      <c r="F4546" s="65">
        <v>44457</v>
      </c>
    </row>
    <row r="4547" spans="1:6">
      <c r="A4547">
        <v>4546</v>
      </c>
      <c r="B4547" t="s">
        <v>15130</v>
      </c>
      <c r="C4547">
        <v>10000</v>
      </c>
      <c r="D4547">
        <v>0</v>
      </c>
      <c r="E4547">
        <v>250</v>
      </c>
      <c r="F4547" s="77">
        <v>44755</v>
      </c>
    </row>
    <row r="4548" spans="1:6">
      <c r="A4548">
        <v>4547</v>
      </c>
      <c r="B4548" t="s">
        <v>15133</v>
      </c>
      <c r="C4548">
        <v>2500</v>
      </c>
      <c r="D4548">
        <v>7500</v>
      </c>
      <c r="E4548">
        <v>500</v>
      </c>
      <c r="F4548" s="67">
        <v>45016</v>
      </c>
    </row>
    <row r="4549" spans="1:6">
      <c r="A4549">
        <v>4548</v>
      </c>
      <c r="B4549" t="s">
        <v>15136</v>
      </c>
      <c r="C4549">
        <v>3000</v>
      </c>
      <c r="D4549">
        <v>0</v>
      </c>
      <c r="E4549">
        <v>150</v>
      </c>
      <c r="F4549" s="91" t="s">
        <v>16742</v>
      </c>
    </row>
    <row r="4550" spans="1:6">
      <c r="A4550">
        <v>4549</v>
      </c>
      <c r="B4550" t="s">
        <v>15136</v>
      </c>
      <c r="C4550">
        <v>100000</v>
      </c>
      <c r="D4550">
        <v>0</v>
      </c>
      <c r="E4550" t="s">
        <v>16642</v>
      </c>
      <c r="F4550" s="84"/>
    </row>
    <row r="4551" spans="1:6">
      <c r="A4551">
        <v>4550</v>
      </c>
      <c r="B4551" t="s">
        <v>15140</v>
      </c>
      <c r="C4551">
        <v>1000</v>
      </c>
      <c r="D4551">
        <v>0</v>
      </c>
      <c r="E4551">
        <v>50</v>
      </c>
      <c r="F4551" s="67">
        <v>45080</v>
      </c>
    </row>
    <row r="4552" spans="1:6">
      <c r="A4552">
        <v>4551</v>
      </c>
      <c r="B4552" t="s">
        <v>15143</v>
      </c>
      <c r="C4552">
        <v>1000000</v>
      </c>
      <c r="D4552">
        <v>500000</v>
      </c>
      <c r="E4552" t="s">
        <v>16642</v>
      </c>
      <c r="F4552" s="80">
        <f>IFERROR(__xludf.DUMMYFUNCTION("""COMPUTED_VALUE"""),45080)</f>
        <v>45080</v>
      </c>
    </row>
    <row r="4553" spans="1:6">
      <c r="A4553">
        <v>4552</v>
      </c>
      <c r="B4553" t="s">
        <v>15144</v>
      </c>
      <c r="C4553">
        <v>15000</v>
      </c>
      <c r="D4553">
        <v>0</v>
      </c>
      <c r="E4553">
        <v>750</v>
      </c>
      <c r="F4553" s="64" t="s">
        <v>16650</v>
      </c>
    </row>
    <row r="4554" spans="1:6">
      <c r="A4554">
        <v>4553</v>
      </c>
      <c r="B4554" t="s">
        <v>15148</v>
      </c>
      <c r="C4554">
        <v>1750</v>
      </c>
      <c r="D4554">
        <v>5250</v>
      </c>
      <c r="E4554">
        <v>350</v>
      </c>
      <c r="F4554" s="77">
        <v>44918</v>
      </c>
    </row>
    <row r="4555" spans="1:6">
      <c r="A4555">
        <v>4554</v>
      </c>
      <c r="B4555" t="s">
        <v>15151</v>
      </c>
      <c r="C4555">
        <v>1000</v>
      </c>
      <c r="D4555">
        <v>0</v>
      </c>
      <c r="E4555">
        <v>50</v>
      </c>
      <c r="F4555" s="102">
        <v>44960</v>
      </c>
    </row>
    <row r="4556" spans="1:6">
      <c r="A4556">
        <v>4555</v>
      </c>
      <c r="B4556" t="s">
        <v>15154</v>
      </c>
      <c r="C4556">
        <v>2000</v>
      </c>
      <c r="D4556">
        <v>0</v>
      </c>
      <c r="E4556">
        <v>100</v>
      </c>
      <c r="F4556" s="65">
        <v>44669</v>
      </c>
    </row>
    <row r="4557" spans="1:6">
      <c r="A4557">
        <v>4556</v>
      </c>
      <c r="B4557" t="s">
        <v>15158</v>
      </c>
      <c r="C4557">
        <v>2500</v>
      </c>
      <c r="D4557">
        <v>7500</v>
      </c>
      <c r="E4557">
        <v>500</v>
      </c>
      <c r="F4557" s="65">
        <v>44665</v>
      </c>
    </row>
    <row r="4558" spans="1:6">
      <c r="A4558">
        <v>4557</v>
      </c>
      <c r="B4558" t="s">
        <v>15162</v>
      </c>
      <c r="C4558">
        <v>2000</v>
      </c>
      <c r="D4558">
        <v>0</v>
      </c>
      <c r="E4558">
        <v>100</v>
      </c>
      <c r="F4558" s="77">
        <v>44629</v>
      </c>
    </row>
    <row r="4559" spans="1:6">
      <c r="A4559">
        <v>4558</v>
      </c>
      <c r="B4559" t="s">
        <v>15165</v>
      </c>
      <c r="C4559">
        <v>5000</v>
      </c>
      <c r="D4559">
        <v>15000</v>
      </c>
      <c r="E4559">
        <v>1000</v>
      </c>
      <c r="F4559" s="65">
        <v>44526</v>
      </c>
    </row>
    <row r="4560" spans="1:6">
      <c r="A4560">
        <v>4559</v>
      </c>
      <c r="B4560" t="s">
        <v>15169</v>
      </c>
      <c r="C4560">
        <v>1000</v>
      </c>
      <c r="D4560">
        <v>0</v>
      </c>
      <c r="E4560">
        <v>50</v>
      </c>
      <c r="F4560" s="77">
        <v>44827</v>
      </c>
    </row>
    <row r="4561" spans="1:6">
      <c r="A4561">
        <v>4560</v>
      </c>
      <c r="B4561" t="s">
        <v>15172</v>
      </c>
      <c r="C4561">
        <v>100000</v>
      </c>
      <c r="D4561">
        <v>0</v>
      </c>
      <c r="E4561" t="s">
        <v>16642</v>
      </c>
      <c r="F4561" s="89"/>
    </row>
    <row r="4562" spans="1:6">
      <c r="A4562">
        <v>4561</v>
      </c>
      <c r="B4562" t="s">
        <v>15172</v>
      </c>
      <c r="C4562">
        <v>100000</v>
      </c>
      <c r="D4562">
        <v>0</v>
      </c>
      <c r="E4562" t="s">
        <v>16642</v>
      </c>
      <c r="F4562" s="85"/>
    </row>
    <row r="4563" spans="1:6">
      <c r="A4563">
        <v>4562</v>
      </c>
      <c r="B4563" t="s">
        <v>15176</v>
      </c>
      <c r="C4563">
        <v>1000000</v>
      </c>
      <c r="D4563">
        <v>500000</v>
      </c>
      <c r="E4563" t="s">
        <v>16642</v>
      </c>
      <c r="F4563" s="80">
        <f>IFERROR(__xludf.DUMMYFUNCTION("""COMPUTED_VALUE"""),45080)</f>
        <v>45080</v>
      </c>
    </row>
    <row r="4564" spans="1:6">
      <c r="A4564">
        <v>4563</v>
      </c>
      <c r="B4564" t="s">
        <v>15177</v>
      </c>
      <c r="C4564">
        <v>250</v>
      </c>
      <c r="D4564">
        <v>750</v>
      </c>
      <c r="E4564">
        <v>50</v>
      </c>
      <c r="F4564" s="70">
        <v>44895</v>
      </c>
    </row>
    <row r="4565" spans="1:6">
      <c r="A4565">
        <v>4564</v>
      </c>
      <c r="B4565" t="s">
        <v>15180</v>
      </c>
      <c r="C4565">
        <v>250</v>
      </c>
      <c r="D4565">
        <v>750</v>
      </c>
      <c r="E4565">
        <v>50</v>
      </c>
      <c r="F4565" s="61">
        <v>44926</v>
      </c>
    </row>
    <row r="4566" spans="1:6">
      <c r="A4566">
        <v>4565</v>
      </c>
      <c r="B4566" t="s">
        <v>15184</v>
      </c>
      <c r="C4566">
        <v>250</v>
      </c>
      <c r="D4566">
        <v>750</v>
      </c>
      <c r="E4566">
        <v>50</v>
      </c>
      <c r="F4566" s="69">
        <v>44932</v>
      </c>
    </row>
    <row r="4567" spans="1:6">
      <c r="A4567">
        <v>4566</v>
      </c>
      <c r="B4567" t="s">
        <v>15187</v>
      </c>
      <c r="C4567">
        <v>250</v>
      </c>
      <c r="D4567">
        <v>750</v>
      </c>
      <c r="E4567">
        <v>50</v>
      </c>
      <c r="F4567" s="61">
        <v>44863</v>
      </c>
    </row>
    <row r="4568" spans="1:6">
      <c r="A4568">
        <v>4567</v>
      </c>
      <c r="B4568" t="s">
        <v>15190</v>
      </c>
      <c r="C4568">
        <v>3000</v>
      </c>
      <c r="D4568">
        <v>0</v>
      </c>
      <c r="E4568">
        <v>150</v>
      </c>
      <c r="F4568" s="65">
        <v>44441</v>
      </c>
    </row>
    <row r="4569" spans="1:6">
      <c r="A4569">
        <v>4568</v>
      </c>
      <c r="B4569" t="s">
        <v>15195</v>
      </c>
      <c r="C4569">
        <v>0</v>
      </c>
      <c r="D4569">
        <v>1000</v>
      </c>
      <c r="E4569">
        <v>50</v>
      </c>
      <c r="F4569" s="69">
        <v>45078</v>
      </c>
    </row>
    <row r="4570" spans="1:6">
      <c r="A4570">
        <v>4569</v>
      </c>
      <c r="B4570" t="s">
        <v>15198</v>
      </c>
      <c r="C4570">
        <v>500</v>
      </c>
      <c r="D4570">
        <v>500</v>
      </c>
      <c r="E4570">
        <v>50</v>
      </c>
      <c r="F4570" s="67">
        <v>44957</v>
      </c>
    </row>
    <row r="4571" spans="1:6">
      <c r="A4571">
        <v>4570</v>
      </c>
      <c r="B4571" t="s">
        <v>15201</v>
      </c>
      <c r="C4571">
        <v>1000</v>
      </c>
      <c r="D4571">
        <v>0</v>
      </c>
      <c r="E4571">
        <v>50</v>
      </c>
      <c r="F4571" s="111">
        <v>44740</v>
      </c>
    </row>
    <row r="4572" spans="1:6">
      <c r="A4572">
        <v>4571</v>
      </c>
      <c r="B4572" t="s">
        <v>15205</v>
      </c>
      <c r="C4572">
        <v>1000</v>
      </c>
      <c r="D4572">
        <v>0</v>
      </c>
      <c r="E4572">
        <v>50</v>
      </c>
      <c r="F4572" s="61">
        <v>44901</v>
      </c>
    </row>
    <row r="4573" spans="1:6">
      <c r="A4573">
        <v>4572</v>
      </c>
      <c r="B4573" t="s">
        <v>15208</v>
      </c>
      <c r="C4573">
        <v>5000</v>
      </c>
      <c r="D4573">
        <v>0</v>
      </c>
      <c r="E4573">
        <v>250</v>
      </c>
      <c r="F4573" s="65">
        <v>44537</v>
      </c>
    </row>
    <row r="4574" ht="15" spans="1:6">
      <c r="A4574">
        <v>4573</v>
      </c>
      <c r="B4574" t="s">
        <v>15213</v>
      </c>
      <c r="C4574">
        <v>1000000</v>
      </c>
      <c r="D4574">
        <v>500000</v>
      </c>
      <c r="E4574" t="s">
        <v>16642</v>
      </c>
      <c r="F4574" s="81">
        <f>IFERROR(__xludf.DUMMYFUNCTION("""COMPUTED_VALUE"""),45082)</f>
        <v>45082</v>
      </c>
    </row>
    <row r="4575" spans="1:6">
      <c r="A4575">
        <v>4574</v>
      </c>
      <c r="B4575" t="s">
        <v>15214</v>
      </c>
      <c r="C4575">
        <v>250</v>
      </c>
      <c r="D4575">
        <v>750</v>
      </c>
      <c r="E4575">
        <v>50</v>
      </c>
      <c r="F4575" s="61">
        <v>44896</v>
      </c>
    </row>
    <row r="4576" spans="1:6">
      <c r="A4576">
        <v>4575</v>
      </c>
      <c r="B4576" t="s">
        <v>15217</v>
      </c>
      <c r="C4576">
        <v>250</v>
      </c>
      <c r="D4576">
        <v>750</v>
      </c>
      <c r="E4576">
        <v>50</v>
      </c>
      <c r="F4576" s="60">
        <v>44910</v>
      </c>
    </row>
    <row r="4577" spans="1:6">
      <c r="A4577">
        <v>4576</v>
      </c>
      <c r="B4577" t="s">
        <v>15220</v>
      </c>
      <c r="C4577">
        <v>100000</v>
      </c>
      <c r="D4577">
        <v>0</v>
      </c>
      <c r="E4577" t="s">
        <v>16642</v>
      </c>
      <c r="F4577" s="76">
        <v>44928</v>
      </c>
    </row>
    <row r="4578" spans="1:6">
      <c r="A4578">
        <v>4577</v>
      </c>
      <c r="B4578" t="s">
        <v>15224</v>
      </c>
      <c r="C4578">
        <v>100000</v>
      </c>
      <c r="D4578">
        <v>0</v>
      </c>
      <c r="E4578" t="s">
        <v>16642</v>
      </c>
      <c r="F4578" s="76">
        <v>44887</v>
      </c>
    </row>
    <row r="4579" spans="1:6">
      <c r="A4579">
        <v>4578</v>
      </c>
      <c r="B4579" t="s">
        <v>15228</v>
      </c>
      <c r="C4579">
        <v>250</v>
      </c>
      <c r="D4579">
        <v>750</v>
      </c>
      <c r="E4579">
        <v>50</v>
      </c>
      <c r="F4579" s="60">
        <v>45071</v>
      </c>
    </row>
    <row r="4580" spans="1:6">
      <c r="A4580">
        <v>4579</v>
      </c>
      <c r="B4580" t="s">
        <v>15232</v>
      </c>
      <c r="C4580">
        <v>250</v>
      </c>
      <c r="D4580">
        <v>750</v>
      </c>
      <c r="E4580">
        <v>50</v>
      </c>
      <c r="F4580" s="61">
        <v>44869</v>
      </c>
    </row>
    <row r="4581" spans="1:6">
      <c r="A4581">
        <v>4580</v>
      </c>
      <c r="B4581" t="s">
        <v>15236</v>
      </c>
      <c r="C4581">
        <v>250</v>
      </c>
      <c r="D4581">
        <v>750</v>
      </c>
      <c r="E4581">
        <v>50</v>
      </c>
      <c r="F4581" s="61">
        <v>44925</v>
      </c>
    </row>
    <row r="4582" spans="1:6">
      <c r="A4582">
        <v>4581</v>
      </c>
      <c r="B4582" t="s">
        <v>15240</v>
      </c>
      <c r="C4582">
        <v>250</v>
      </c>
      <c r="D4582">
        <v>750</v>
      </c>
      <c r="E4582">
        <v>50</v>
      </c>
      <c r="F4582" s="61">
        <v>44845</v>
      </c>
    </row>
    <row r="4583" spans="1:6">
      <c r="A4583">
        <v>4582</v>
      </c>
      <c r="B4583" t="s">
        <v>15244</v>
      </c>
      <c r="C4583">
        <v>250</v>
      </c>
      <c r="D4583">
        <v>750</v>
      </c>
      <c r="E4583">
        <v>50</v>
      </c>
      <c r="F4583" s="75">
        <v>44916</v>
      </c>
    </row>
    <row r="4584" spans="1:6">
      <c r="A4584">
        <v>4583</v>
      </c>
      <c r="B4584" t="s">
        <v>15247</v>
      </c>
      <c r="C4584">
        <v>250</v>
      </c>
      <c r="D4584">
        <v>750</v>
      </c>
      <c r="E4584">
        <v>50</v>
      </c>
      <c r="F4584" s="75">
        <v>44754</v>
      </c>
    </row>
    <row r="4585" spans="1:6">
      <c r="A4585">
        <v>4584</v>
      </c>
      <c r="B4585" t="s">
        <v>15250</v>
      </c>
      <c r="C4585">
        <v>250</v>
      </c>
      <c r="D4585">
        <v>750</v>
      </c>
      <c r="E4585">
        <v>50</v>
      </c>
      <c r="F4585" s="60">
        <v>44856</v>
      </c>
    </row>
    <row r="4586" spans="1:6">
      <c r="A4586">
        <v>4585</v>
      </c>
      <c r="B4586" t="s">
        <v>15253</v>
      </c>
      <c r="C4586">
        <v>1000</v>
      </c>
      <c r="D4586">
        <v>0</v>
      </c>
      <c r="E4586">
        <v>50</v>
      </c>
      <c r="F4586" s="61">
        <v>44844</v>
      </c>
    </row>
    <row r="4587" spans="1:6">
      <c r="A4587">
        <v>4586</v>
      </c>
      <c r="B4587" t="s">
        <v>15257</v>
      </c>
      <c r="C4587">
        <v>250</v>
      </c>
      <c r="D4587">
        <v>750</v>
      </c>
      <c r="E4587">
        <v>50</v>
      </c>
      <c r="F4587" s="60">
        <v>44917</v>
      </c>
    </row>
    <row r="4588" spans="1:6">
      <c r="A4588">
        <v>4587</v>
      </c>
      <c r="B4588" t="s">
        <v>15260</v>
      </c>
      <c r="C4588">
        <v>250</v>
      </c>
      <c r="D4588">
        <v>750</v>
      </c>
      <c r="E4588">
        <v>50</v>
      </c>
      <c r="F4588" s="60">
        <v>44891</v>
      </c>
    </row>
    <row r="4589" spans="1:6">
      <c r="A4589">
        <v>4588</v>
      </c>
      <c r="B4589" t="s">
        <v>15264</v>
      </c>
      <c r="C4589">
        <v>250</v>
      </c>
      <c r="D4589">
        <v>750</v>
      </c>
      <c r="E4589">
        <v>50</v>
      </c>
      <c r="F4589" s="61">
        <v>44807</v>
      </c>
    </row>
    <row r="4590" spans="1:6">
      <c r="A4590">
        <v>4589</v>
      </c>
      <c r="B4590" t="s">
        <v>15267</v>
      </c>
      <c r="C4590">
        <v>1000</v>
      </c>
      <c r="D4590">
        <v>0</v>
      </c>
      <c r="E4590">
        <v>50</v>
      </c>
      <c r="F4590" s="70">
        <v>44902</v>
      </c>
    </row>
    <row r="4591" spans="1:6">
      <c r="A4591">
        <v>4590</v>
      </c>
      <c r="B4591" t="s">
        <v>15270</v>
      </c>
      <c r="C4591">
        <v>250</v>
      </c>
      <c r="D4591">
        <v>750</v>
      </c>
      <c r="E4591">
        <v>50</v>
      </c>
      <c r="F4591" s="75">
        <v>44866</v>
      </c>
    </row>
    <row r="4592" spans="1:6">
      <c r="A4592">
        <v>4591</v>
      </c>
      <c r="B4592" t="s">
        <v>15274</v>
      </c>
      <c r="C4592">
        <v>250</v>
      </c>
      <c r="D4592">
        <v>750</v>
      </c>
      <c r="E4592">
        <v>50</v>
      </c>
      <c r="F4592" s="61">
        <v>44883</v>
      </c>
    </row>
    <row r="4593" spans="1:6">
      <c r="A4593">
        <v>4592</v>
      </c>
      <c r="B4593" t="s">
        <v>15278</v>
      </c>
      <c r="C4593">
        <v>250</v>
      </c>
      <c r="D4593">
        <v>750</v>
      </c>
      <c r="E4593">
        <v>50</v>
      </c>
      <c r="F4593" s="61">
        <v>44930</v>
      </c>
    </row>
    <row r="4594" spans="1:6">
      <c r="A4594">
        <v>4593</v>
      </c>
      <c r="B4594" t="s">
        <v>15282</v>
      </c>
      <c r="C4594">
        <v>25000</v>
      </c>
      <c r="D4594">
        <v>75000</v>
      </c>
      <c r="E4594">
        <v>5000</v>
      </c>
      <c r="F4594" s="64" t="s">
        <v>16877</v>
      </c>
    </row>
    <row r="4595" spans="1:6">
      <c r="A4595">
        <v>4594</v>
      </c>
      <c r="B4595" t="s">
        <v>15286</v>
      </c>
      <c r="C4595">
        <v>250</v>
      </c>
      <c r="D4595">
        <v>750</v>
      </c>
      <c r="E4595">
        <v>50</v>
      </c>
      <c r="F4595" s="61">
        <v>44963</v>
      </c>
    </row>
    <row r="4596" spans="1:6">
      <c r="A4596">
        <v>4595</v>
      </c>
      <c r="B4596" t="s">
        <v>15289</v>
      </c>
      <c r="C4596">
        <v>250</v>
      </c>
      <c r="D4596">
        <v>750</v>
      </c>
      <c r="E4596">
        <v>50</v>
      </c>
      <c r="F4596" s="72">
        <v>44965</v>
      </c>
    </row>
    <row r="4597" spans="1:6">
      <c r="A4597">
        <v>4596</v>
      </c>
      <c r="B4597" t="s">
        <v>15292</v>
      </c>
      <c r="C4597">
        <v>250</v>
      </c>
      <c r="D4597">
        <v>750</v>
      </c>
      <c r="E4597">
        <v>50</v>
      </c>
      <c r="F4597" s="60">
        <v>44875</v>
      </c>
    </row>
    <row r="4598" spans="1:6">
      <c r="A4598">
        <v>4597</v>
      </c>
      <c r="B4598" t="s">
        <v>15295</v>
      </c>
      <c r="C4598">
        <v>250</v>
      </c>
      <c r="D4598">
        <v>750</v>
      </c>
      <c r="E4598">
        <v>50</v>
      </c>
      <c r="F4598" s="69">
        <v>45062</v>
      </c>
    </row>
    <row r="4599" spans="1:6">
      <c r="A4599">
        <v>4598</v>
      </c>
      <c r="B4599" t="s">
        <v>15299</v>
      </c>
      <c r="C4599">
        <v>20000</v>
      </c>
      <c r="D4599">
        <v>0</v>
      </c>
      <c r="E4599">
        <v>1000</v>
      </c>
      <c r="F4599" s="119">
        <v>44785</v>
      </c>
    </row>
    <row r="4600" spans="1:6">
      <c r="A4600">
        <v>4599</v>
      </c>
      <c r="B4600" t="s">
        <v>15299</v>
      </c>
      <c r="C4600">
        <v>100000</v>
      </c>
      <c r="D4600">
        <v>0</v>
      </c>
      <c r="E4600" t="s">
        <v>16642</v>
      </c>
      <c r="F4600" s="96">
        <v>44886</v>
      </c>
    </row>
    <row r="4601" spans="1:6">
      <c r="A4601">
        <v>4600</v>
      </c>
      <c r="B4601" t="s">
        <v>15302</v>
      </c>
      <c r="C4601">
        <v>250</v>
      </c>
      <c r="D4601">
        <v>750</v>
      </c>
      <c r="E4601">
        <v>50</v>
      </c>
      <c r="F4601" s="61">
        <v>45103</v>
      </c>
    </row>
    <row r="4602" spans="1:6">
      <c r="A4602">
        <v>4601</v>
      </c>
      <c r="B4602" t="s">
        <v>15305</v>
      </c>
      <c r="C4602">
        <v>250</v>
      </c>
      <c r="D4602">
        <v>750</v>
      </c>
      <c r="E4602">
        <v>50</v>
      </c>
      <c r="F4602" s="73">
        <v>45073</v>
      </c>
    </row>
    <row r="4603" spans="1:6">
      <c r="A4603">
        <v>4602</v>
      </c>
      <c r="B4603" t="s">
        <v>15308</v>
      </c>
      <c r="C4603">
        <v>500</v>
      </c>
      <c r="D4603">
        <v>1500</v>
      </c>
      <c r="E4603">
        <v>100</v>
      </c>
      <c r="F4603" s="77">
        <v>44810</v>
      </c>
    </row>
    <row r="4604" spans="1:6">
      <c r="A4604">
        <v>4603</v>
      </c>
      <c r="B4604" t="s">
        <v>15311</v>
      </c>
      <c r="C4604">
        <v>52500</v>
      </c>
      <c r="D4604">
        <v>0</v>
      </c>
      <c r="E4604">
        <v>2500</v>
      </c>
      <c r="F4604" s="67">
        <v>45002</v>
      </c>
    </row>
    <row r="4605" ht="15" spans="1:6">
      <c r="A4605">
        <v>4604</v>
      </c>
      <c r="B4605" t="s">
        <v>15314</v>
      </c>
      <c r="C4605">
        <v>1500000</v>
      </c>
      <c r="D4605">
        <v>0</v>
      </c>
      <c r="E4605" t="s">
        <v>16642</v>
      </c>
      <c r="F4605" s="81">
        <f>IFERROR(__xludf.DUMMYFUNCTION("""COMPUTED_VALUE"""),45083)</f>
        <v>45083</v>
      </c>
    </row>
    <row r="4606" spans="1:6">
      <c r="A4606">
        <v>4605</v>
      </c>
      <c r="B4606" t="s">
        <v>15315</v>
      </c>
      <c r="C4606">
        <v>1000</v>
      </c>
      <c r="D4606">
        <v>0</v>
      </c>
      <c r="E4606">
        <v>50</v>
      </c>
      <c r="F4606" s="61">
        <v>45108</v>
      </c>
    </row>
    <row r="4607" spans="1:6">
      <c r="A4607">
        <v>4606</v>
      </c>
      <c r="B4607" t="s">
        <v>15318</v>
      </c>
      <c r="C4607">
        <v>500</v>
      </c>
      <c r="D4607">
        <v>1500</v>
      </c>
      <c r="E4607">
        <v>100</v>
      </c>
      <c r="F4607" s="65">
        <v>44684</v>
      </c>
    </row>
    <row r="4608" spans="1:6">
      <c r="A4608">
        <v>4607</v>
      </c>
      <c r="B4608" t="s">
        <v>15322</v>
      </c>
      <c r="C4608">
        <v>5000</v>
      </c>
      <c r="D4608">
        <v>5000</v>
      </c>
      <c r="E4608">
        <v>500</v>
      </c>
      <c r="F4608" s="79">
        <v>44939</v>
      </c>
    </row>
    <row r="4609" spans="1:6">
      <c r="A4609">
        <v>4608</v>
      </c>
      <c r="B4609" t="s">
        <v>15325</v>
      </c>
      <c r="C4609">
        <v>250</v>
      </c>
      <c r="D4609">
        <v>750</v>
      </c>
      <c r="E4609">
        <v>50</v>
      </c>
      <c r="F4609" s="75">
        <v>44909</v>
      </c>
    </row>
    <row r="4610" spans="1:6">
      <c r="A4610">
        <v>4609</v>
      </c>
      <c r="B4610" t="s">
        <v>15328</v>
      </c>
      <c r="C4610">
        <v>1000</v>
      </c>
      <c r="D4610">
        <v>1000</v>
      </c>
      <c r="E4610">
        <v>100</v>
      </c>
      <c r="F4610" s="60">
        <v>44877</v>
      </c>
    </row>
    <row r="4611" spans="1:6">
      <c r="A4611">
        <v>4610</v>
      </c>
      <c r="B4611" t="s">
        <v>15331</v>
      </c>
      <c r="C4611">
        <v>750</v>
      </c>
      <c r="D4611">
        <v>250</v>
      </c>
      <c r="E4611">
        <v>50</v>
      </c>
      <c r="F4611" s="69">
        <v>44957</v>
      </c>
    </row>
    <row r="4612" spans="1:6">
      <c r="A4612">
        <v>4611</v>
      </c>
      <c r="B4612" t="s">
        <v>15334</v>
      </c>
      <c r="C4612">
        <v>750</v>
      </c>
      <c r="D4612">
        <v>250</v>
      </c>
      <c r="E4612">
        <v>50</v>
      </c>
      <c r="F4612" s="69">
        <v>44957</v>
      </c>
    </row>
    <row r="4613" spans="1:6">
      <c r="A4613">
        <v>4612</v>
      </c>
      <c r="B4613" t="s">
        <v>15338</v>
      </c>
      <c r="C4613">
        <v>1000</v>
      </c>
      <c r="D4613">
        <v>0</v>
      </c>
      <c r="E4613">
        <v>50</v>
      </c>
      <c r="F4613" s="60">
        <v>44872</v>
      </c>
    </row>
    <row r="4614" spans="1:6">
      <c r="A4614">
        <v>4613</v>
      </c>
      <c r="B4614" t="s">
        <v>15342</v>
      </c>
      <c r="C4614">
        <v>250</v>
      </c>
      <c r="D4614">
        <v>750</v>
      </c>
      <c r="E4614">
        <v>50</v>
      </c>
      <c r="F4614" s="60">
        <v>45077</v>
      </c>
    </row>
    <row r="4615" spans="1:6">
      <c r="A4615">
        <v>4614</v>
      </c>
      <c r="B4615" t="s">
        <v>15346</v>
      </c>
      <c r="C4615">
        <v>1000</v>
      </c>
      <c r="D4615">
        <v>0</v>
      </c>
      <c r="E4615">
        <v>50</v>
      </c>
      <c r="F4615" s="61">
        <v>44874</v>
      </c>
    </row>
    <row r="4616" spans="1:6">
      <c r="A4616">
        <v>4615</v>
      </c>
      <c r="B4616" t="s">
        <v>15349</v>
      </c>
      <c r="C4616">
        <v>250</v>
      </c>
      <c r="D4616">
        <v>750</v>
      </c>
      <c r="E4616">
        <v>50</v>
      </c>
      <c r="F4616" s="73">
        <v>45043</v>
      </c>
    </row>
    <row r="4617" ht="15" spans="1:6">
      <c r="A4617">
        <v>4616</v>
      </c>
      <c r="B4617" t="s">
        <v>15353</v>
      </c>
      <c r="C4617">
        <v>1000000</v>
      </c>
      <c r="D4617">
        <v>500000</v>
      </c>
      <c r="E4617" t="s">
        <v>16642</v>
      </c>
      <c r="F4617" s="81">
        <f>IFERROR(__xludf.DUMMYFUNCTION("""COMPUTED_VALUE"""),45082)</f>
        <v>45082</v>
      </c>
    </row>
    <row r="4618" spans="1:6">
      <c r="A4618">
        <v>4617</v>
      </c>
      <c r="B4618" t="s">
        <v>15354</v>
      </c>
      <c r="C4618">
        <v>500</v>
      </c>
      <c r="D4618">
        <v>500</v>
      </c>
      <c r="E4618">
        <v>50</v>
      </c>
      <c r="F4618" s="60">
        <v>44841</v>
      </c>
    </row>
    <row r="4619" spans="1:6">
      <c r="A4619">
        <v>4618</v>
      </c>
      <c r="B4619" t="s">
        <v>15358</v>
      </c>
      <c r="C4619">
        <v>1000</v>
      </c>
      <c r="D4619">
        <v>0</v>
      </c>
      <c r="E4619">
        <v>50</v>
      </c>
      <c r="F4619" s="60">
        <v>44874</v>
      </c>
    </row>
    <row r="4620" spans="1:6">
      <c r="A4620">
        <v>4619</v>
      </c>
      <c r="B4620" t="s">
        <v>15361</v>
      </c>
      <c r="C4620">
        <v>250</v>
      </c>
      <c r="D4620">
        <v>750</v>
      </c>
      <c r="E4620">
        <v>50</v>
      </c>
      <c r="F4620" s="65">
        <v>44684</v>
      </c>
    </row>
    <row r="4621" spans="1:6">
      <c r="A4621">
        <v>4620</v>
      </c>
      <c r="B4621" t="s">
        <v>15365</v>
      </c>
      <c r="C4621">
        <v>100000</v>
      </c>
      <c r="D4621">
        <v>0</v>
      </c>
      <c r="E4621" t="s">
        <v>16642</v>
      </c>
      <c r="F4621" s="76">
        <v>45014</v>
      </c>
    </row>
    <row r="4622" spans="1:6">
      <c r="A4622">
        <v>4621</v>
      </c>
      <c r="B4622" t="s">
        <v>15369</v>
      </c>
      <c r="C4622">
        <v>200000</v>
      </c>
      <c r="D4622">
        <v>0</v>
      </c>
      <c r="E4622" t="s">
        <v>16642</v>
      </c>
      <c r="F4622" s="76">
        <v>44950</v>
      </c>
    </row>
    <row r="4623" spans="1:6">
      <c r="A4623">
        <v>4622</v>
      </c>
      <c r="B4623" t="s">
        <v>15374</v>
      </c>
      <c r="C4623">
        <v>10000</v>
      </c>
      <c r="D4623">
        <v>0</v>
      </c>
      <c r="E4623">
        <v>500</v>
      </c>
      <c r="F4623" s="67">
        <v>44960</v>
      </c>
    </row>
    <row r="4624" spans="1:6">
      <c r="A4624">
        <v>4623</v>
      </c>
      <c r="B4624" t="s">
        <v>15377</v>
      </c>
      <c r="C4624">
        <v>1000000</v>
      </c>
      <c r="D4624">
        <v>500000</v>
      </c>
      <c r="E4624" t="s">
        <v>16642</v>
      </c>
      <c r="F4624" s="80">
        <f>IFERROR(__xludf.DUMMYFUNCTION("""COMPUTED_VALUE"""),45080)</f>
        <v>45080</v>
      </c>
    </row>
    <row r="4625" spans="1:6">
      <c r="A4625">
        <v>4624</v>
      </c>
      <c r="B4625" t="s">
        <v>15378</v>
      </c>
      <c r="C4625">
        <v>10000</v>
      </c>
      <c r="D4625">
        <v>0</v>
      </c>
      <c r="E4625">
        <v>500</v>
      </c>
      <c r="F4625" s="106">
        <v>45013</v>
      </c>
    </row>
    <row r="4626" spans="1:6">
      <c r="A4626">
        <v>4625</v>
      </c>
      <c r="B4626" t="s">
        <v>15381</v>
      </c>
      <c r="C4626">
        <v>10000</v>
      </c>
      <c r="D4626">
        <v>0</v>
      </c>
      <c r="E4626">
        <v>500</v>
      </c>
      <c r="F4626" s="64" t="s">
        <v>16879</v>
      </c>
    </row>
    <row r="4627" ht="15" spans="1:6">
      <c r="A4627">
        <v>4626</v>
      </c>
      <c r="B4627" t="s">
        <v>15385</v>
      </c>
      <c r="C4627">
        <v>1000000</v>
      </c>
      <c r="D4627">
        <v>500000</v>
      </c>
      <c r="E4627" t="s">
        <v>16642</v>
      </c>
      <c r="F4627" s="81">
        <f>IFERROR(__xludf.DUMMYFUNCTION("""COMPUTED_VALUE"""),45084)</f>
        <v>45084</v>
      </c>
    </row>
    <row r="4628" spans="1:6">
      <c r="A4628">
        <v>4627</v>
      </c>
      <c r="B4628" t="s">
        <v>15386</v>
      </c>
      <c r="C4628">
        <v>100000</v>
      </c>
      <c r="D4628">
        <v>0</v>
      </c>
      <c r="E4628" t="s">
        <v>16642</v>
      </c>
      <c r="F4628" s="66"/>
    </row>
    <row r="4629" ht="15" spans="1:6">
      <c r="A4629">
        <v>4628</v>
      </c>
      <c r="B4629" t="s">
        <v>15391</v>
      </c>
      <c r="C4629">
        <v>1500000</v>
      </c>
      <c r="D4629">
        <v>2000000</v>
      </c>
      <c r="E4629" t="s">
        <v>16642</v>
      </c>
      <c r="F4629" s="97">
        <v>45140</v>
      </c>
    </row>
    <row r="4630" spans="1:6">
      <c r="A4630">
        <v>4629</v>
      </c>
      <c r="B4630" t="s">
        <v>15391</v>
      </c>
      <c r="C4630">
        <v>100000</v>
      </c>
      <c r="D4630">
        <v>0</v>
      </c>
      <c r="E4630" t="s">
        <v>16642</v>
      </c>
      <c r="F4630" s="96">
        <v>44989</v>
      </c>
    </row>
    <row r="4631" spans="1:6">
      <c r="A4631">
        <v>4630</v>
      </c>
      <c r="B4631" t="s">
        <v>15395</v>
      </c>
      <c r="C4631">
        <v>5000</v>
      </c>
      <c r="D4631">
        <v>0</v>
      </c>
      <c r="E4631">
        <v>250</v>
      </c>
      <c r="F4631" s="64" t="s">
        <v>16880</v>
      </c>
    </row>
    <row r="4632" spans="1:6">
      <c r="A4632">
        <v>4631</v>
      </c>
      <c r="B4632" t="s">
        <v>15399</v>
      </c>
      <c r="C4632">
        <v>1000000</v>
      </c>
      <c r="D4632">
        <v>0</v>
      </c>
      <c r="E4632" t="s">
        <v>16642</v>
      </c>
      <c r="F4632" s="104"/>
    </row>
    <row r="4633" spans="1:6">
      <c r="A4633">
        <v>4632</v>
      </c>
      <c r="B4633" t="s">
        <v>15404</v>
      </c>
      <c r="C4633">
        <v>200000</v>
      </c>
      <c r="D4633">
        <v>0</v>
      </c>
      <c r="E4633" t="s">
        <v>16642</v>
      </c>
      <c r="F4633" s="66"/>
    </row>
    <row r="4634" spans="1:6">
      <c r="A4634">
        <v>4633</v>
      </c>
      <c r="B4634" t="s">
        <v>15408</v>
      </c>
      <c r="C4634">
        <v>1000</v>
      </c>
      <c r="D4634">
        <v>0</v>
      </c>
      <c r="E4634">
        <v>50</v>
      </c>
      <c r="F4634" s="64" t="s">
        <v>16750</v>
      </c>
    </row>
    <row r="4635" spans="1:6">
      <c r="A4635">
        <v>4634</v>
      </c>
      <c r="B4635" t="s">
        <v>15412</v>
      </c>
      <c r="C4635">
        <v>2000</v>
      </c>
      <c r="D4635">
        <v>0</v>
      </c>
      <c r="E4635">
        <v>100</v>
      </c>
      <c r="F4635" s="79" t="s">
        <v>16881</v>
      </c>
    </row>
    <row r="4636" spans="1:6">
      <c r="A4636">
        <v>4635</v>
      </c>
      <c r="B4636" t="s">
        <v>15415</v>
      </c>
      <c r="C4636">
        <v>1000</v>
      </c>
      <c r="D4636">
        <v>0</v>
      </c>
      <c r="E4636">
        <v>50</v>
      </c>
      <c r="F4636" s="64" t="s">
        <v>16808</v>
      </c>
    </row>
    <row r="4637" spans="1:6">
      <c r="A4637">
        <v>4636</v>
      </c>
      <c r="B4637" t="s">
        <v>15419</v>
      </c>
      <c r="C4637">
        <v>200000</v>
      </c>
      <c r="D4637">
        <v>0</v>
      </c>
      <c r="E4637" t="s">
        <v>16642</v>
      </c>
      <c r="F4637" s="66"/>
    </row>
    <row r="4638" spans="1:6">
      <c r="A4638">
        <v>4637</v>
      </c>
      <c r="B4638" t="s">
        <v>15423</v>
      </c>
      <c r="C4638">
        <v>100000</v>
      </c>
      <c r="D4638">
        <v>0</v>
      </c>
      <c r="E4638" t="s">
        <v>16642</v>
      </c>
      <c r="F4638" s="104"/>
    </row>
    <row r="4639" spans="1:6">
      <c r="A4639">
        <v>4638</v>
      </c>
      <c r="B4639" t="s">
        <v>15428</v>
      </c>
      <c r="C4639">
        <v>250</v>
      </c>
      <c r="D4639">
        <v>750</v>
      </c>
      <c r="E4639">
        <v>50</v>
      </c>
      <c r="F4639" s="77">
        <v>44788</v>
      </c>
    </row>
    <row r="4640" spans="1:6">
      <c r="A4640">
        <v>4639</v>
      </c>
      <c r="B4640" t="s">
        <v>15431</v>
      </c>
      <c r="C4640">
        <v>100000</v>
      </c>
      <c r="D4640">
        <v>0</v>
      </c>
      <c r="E4640" t="s">
        <v>16642</v>
      </c>
      <c r="F4640" s="104"/>
    </row>
    <row r="4641" ht="15" spans="1:6">
      <c r="A4641">
        <v>4640</v>
      </c>
      <c r="B4641" t="s">
        <v>15436</v>
      </c>
      <c r="C4641">
        <v>1000000</v>
      </c>
      <c r="D4641">
        <v>500000</v>
      </c>
      <c r="E4641" t="s">
        <v>16642</v>
      </c>
      <c r="F4641" s="81">
        <f>IFERROR(__xludf.DUMMYFUNCTION("""COMPUTED_VALUE"""),45084)</f>
        <v>45084</v>
      </c>
    </row>
    <row r="4642" spans="1:6">
      <c r="A4642">
        <v>4641</v>
      </c>
      <c r="B4642" t="s">
        <v>15437</v>
      </c>
      <c r="C4642">
        <v>50000</v>
      </c>
      <c r="D4642">
        <v>10000</v>
      </c>
      <c r="E4642">
        <v>2500</v>
      </c>
      <c r="F4642" s="64" t="s">
        <v>16882</v>
      </c>
    </row>
    <row r="4643" spans="1:6">
      <c r="A4643">
        <v>4642</v>
      </c>
      <c r="B4643" t="s">
        <v>15441</v>
      </c>
      <c r="C4643">
        <v>5000</v>
      </c>
      <c r="D4643">
        <v>195000</v>
      </c>
      <c r="E4643">
        <v>10000</v>
      </c>
      <c r="F4643" s="74">
        <v>44978</v>
      </c>
    </row>
    <row r="4644" spans="1:6">
      <c r="A4644">
        <v>4643</v>
      </c>
      <c r="B4644" t="s">
        <v>15444</v>
      </c>
      <c r="C4644">
        <v>12500</v>
      </c>
      <c r="D4644">
        <v>37500</v>
      </c>
      <c r="E4644">
        <v>2500</v>
      </c>
      <c r="F4644" s="67">
        <v>45233</v>
      </c>
    </row>
    <row r="4645" spans="1:6">
      <c r="A4645">
        <v>4644</v>
      </c>
      <c r="B4645" t="s">
        <v>15447</v>
      </c>
      <c r="C4645">
        <v>5000</v>
      </c>
      <c r="D4645">
        <v>0</v>
      </c>
      <c r="E4645">
        <v>250</v>
      </c>
      <c r="F4645" s="77">
        <v>44880</v>
      </c>
    </row>
    <row r="4646" spans="1:6">
      <c r="A4646">
        <v>4645</v>
      </c>
      <c r="B4646" t="s">
        <v>15450</v>
      </c>
      <c r="C4646">
        <v>3750</v>
      </c>
      <c r="D4646">
        <v>11250</v>
      </c>
      <c r="E4646">
        <v>750</v>
      </c>
      <c r="F4646" s="77">
        <v>44876</v>
      </c>
    </row>
    <row r="4647" spans="1:6">
      <c r="A4647">
        <v>4646</v>
      </c>
      <c r="B4647" t="s">
        <v>15453</v>
      </c>
      <c r="C4647">
        <v>100000</v>
      </c>
      <c r="D4647">
        <v>0</v>
      </c>
      <c r="E4647" t="s">
        <v>16642</v>
      </c>
      <c r="F4647" s="107">
        <v>44792</v>
      </c>
    </row>
    <row r="4648" spans="1:6">
      <c r="A4648">
        <v>4647</v>
      </c>
      <c r="B4648" t="s">
        <v>15453</v>
      </c>
      <c r="C4648">
        <v>100000</v>
      </c>
      <c r="D4648">
        <v>0</v>
      </c>
      <c r="E4648" t="s">
        <v>16642</v>
      </c>
      <c r="F4648" s="85"/>
    </row>
    <row r="4649" ht="15" spans="1:6">
      <c r="A4649">
        <v>4648</v>
      </c>
      <c r="B4649" t="s">
        <v>15457</v>
      </c>
      <c r="C4649">
        <v>1000000</v>
      </c>
      <c r="D4649">
        <v>500000</v>
      </c>
      <c r="E4649" t="s">
        <v>16642</v>
      </c>
      <c r="F4649" s="81">
        <f>IFERROR(__xludf.DUMMYFUNCTION("""COMPUTED_VALUE"""),45078)</f>
        <v>45078</v>
      </c>
    </row>
    <row r="4650" ht="15" spans="1:6">
      <c r="A4650">
        <v>4649</v>
      </c>
      <c r="B4650" t="s">
        <v>15458</v>
      </c>
      <c r="C4650">
        <v>1000000</v>
      </c>
      <c r="D4650">
        <v>500000</v>
      </c>
      <c r="E4650" t="s">
        <v>16642</v>
      </c>
      <c r="F4650" s="98">
        <f>IFERROR(__xludf.DUMMYFUNCTION("""COMPUTED_VALUE"""),45082)</f>
        <v>45082</v>
      </c>
    </row>
    <row r="4651" ht="15" spans="1:6">
      <c r="A4651">
        <v>4650</v>
      </c>
      <c r="B4651" t="s">
        <v>15458</v>
      </c>
      <c r="C4651">
        <v>1000000</v>
      </c>
      <c r="D4651">
        <v>500000</v>
      </c>
      <c r="E4651" t="s">
        <v>16642</v>
      </c>
      <c r="F4651" s="98">
        <f>IFERROR(__xludf.DUMMYFUNCTION("""COMPUTED_VALUE"""),45082)</f>
        <v>45082</v>
      </c>
    </row>
    <row r="4652" ht="15" spans="1:6">
      <c r="A4652">
        <v>4651</v>
      </c>
      <c r="B4652" t="s">
        <v>15458</v>
      </c>
      <c r="C4652">
        <v>1700000</v>
      </c>
      <c r="D4652">
        <v>1800000</v>
      </c>
      <c r="E4652" t="s">
        <v>16642</v>
      </c>
      <c r="F4652" s="97">
        <v>45126</v>
      </c>
    </row>
    <row r="4653" spans="1:6">
      <c r="A4653">
        <v>4652</v>
      </c>
      <c r="B4653" t="s">
        <v>15458</v>
      </c>
      <c r="C4653">
        <v>4100000</v>
      </c>
      <c r="D4653">
        <v>0</v>
      </c>
      <c r="E4653" t="s">
        <v>16642</v>
      </c>
      <c r="F4653" s="89"/>
    </row>
    <row r="4654" spans="1:6">
      <c r="A4654">
        <v>4653</v>
      </c>
      <c r="B4654" t="s">
        <v>15459</v>
      </c>
      <c r="C4654">
        <v>2500</v>
      </c>
      <c r="D4654">
        <v>7500</v>
      </c>
      <c r="E4654">
        <v>500</v>
      </c>
      <c r="F4654" s="77">
        <v>44883</v>
      </c>
    </row>
    <row r="4655" spans="1:6">
      <c r="A4655">
        <v>4654</v>
      </c>
      <c r="B4655" t="s">
        <v>15462</v>
      </c>
      <c r="C4655">
        <v>250</v>
      </c>
      <c r="D4655">
        <v>750</v>
      </c>
      <c r="E4655">
        <v>50</v>
      </c>
      <c r="F4655" s="70">
        <v>44870</v>
      </c>
    </row>
    <row r="4656" ht="15" spans="1:6">
      <c r="A4656">
        <v>4655</v>
      </c>
      <c r="B4656" t="s">
        <v>15465</v>
      </c>
      <c r="C4656">
        <v>1000000</v>
      </c>
      <c r="D4656">
        <v>500000</v>
      </c>
      <c r="E4656" t="s">
        <v>16642</v>
      </c>
      <c r="F4656" s="81">
        <f>IFERROR(__xludf.DUMMYFUNCTION("""COMPUTED_VALUE"""),45084)</f>
        <v>45084</v>
      </c>
    </row>
    <row r="4657" spans="1:6">
      <c r="A4657">
        <v>4656</v>
      </c>
      <c r="B4657" t="s">
        <v>15466</v>
      </c>
      <c r="C4657">
        <v>750</v>
      </c>
      <c r="D4657">
        <v>2250</v>
      </c>
      <c r="E4657">
        <v>150</v>
      </c>
      <c r="F4657" s="77">
        <v>44746</v>
      </c>
    </row>
    <row r="4658" spans="1:6">
      <c r="A4658">
        <v>4657</v>
      </c>
      <c r="B4658" t="s">
        <v>15469</v>
      </c>
      <c r="C4658">
        <v>1000</v>
      </c>
      <c r="D4658">
        <v>0</v>
      </c>
      <c r="E4658">
        <v>50</v>
      </c>
      <c r="F4658" s="118">
        <v>44928</v>
      </c>
    </row>
    <row r="4659" spans="1:6">
      <c r="A4659">
        <v>4658</v>
      </c>
      <c r="B4659" t="s">
        <v>15472</v>
      </c>
      <c r="C4659">
        <v>300000</v>
      </c>
      <c r="D4659">
        <v>0</v>
      </c>
      <c r="E4659">
        <v>15000</v>
      </c>
      <c r="F4659" s="119">
        <v>44775</v>
      </c>
    </row>
    <row r="4660" spans="1:6">
      <c r="A4660">
        <v>4659</v>
      </c>
      <c r="B4660" t="s">
        <v>15472</v>
      </c>
      <c r="C4660">
        <v>300000</v>
      </c>
      <c r="D4660">
        <v>0</v>
      </c>
      <c r="E4660" t="s">
        <v>16642</v>
      </c>
      <c r="F4660" s="96">
        <v>44858</v>
      </c>
    </row>
    <row r="4661" spans="1:6">
      <c r="A4661">
        <v>4660</v>
      </c>
      <c r="B4661" t="s">
        <v>15475</v>
      </c>
      <c r="C4661">
        <v>100000</v>
      </c>
      <c r="D4661">
        <v>0</v>
      </c>
      <c r="E4661" t="s">
        <v>16642</v>
      </c>
      <c r="F4661" s="104"/>
    </row>
    <row r="4662" spans="1:6">
      <c r="A4662">
        <v>4661</v>
      </c>
      <c r="B4662" t="s">
        <v>15479</v>
      </c>
      <c r="C4662">
        <v>250</v>
      </c>
      <c r="D4662">
        <v>750</v>
      </c>
      <c r="E4662">
        <v>50</v>
      </c>
      <c r="F4662" s="61">
        <v>44855</v>
      </c>
    </row>
    <row r="4663" spans="1:6">
      <c r="A4663">
        <v>4662</v>
      </c>
      <c r="B4663" t="s">
        <v>15483</v>
      </c>
      <c r="C4663">
        <v>1000</v>
      </c>
      <c r="D4663">
        <v>0</v>
      </c>
      <c r="E4663">
        <v>50</v>
      </c>
      <c r="F4663" s="64" t="s">
        <v>16883</v>
      </c>
    </row>
    <row r="4664" spans="1:6">
      <c r="A4664">
        <v>4663</v>
      </c>
      <c r="B4664" t="s">
        <v>15487</v>
      </c>
      <c r="C4664">
        <v>2500</v>
      </c>
      <c r="D4664">
        <v>7500</v>
      </c>
      <c r="E4664">
        <v>500</v>
      </c>
      <c r="F4664" s="60">
        <v>44908</v>
      </c>
    </row>
    <row r="4665" spans="1:6">
      <c r="A4665">
        <v>4664</v>
      </c>
      <c r="B4665" t="s">
        <v>15490</v>
      </c>
      <c r="C4665">
        <v>10000</v>
      </c>
      <c r="D4665">
        <v>0</v>
      </c>
      <c r="E4665">
        <v>500</v>
      </c>
      <c r="F4665" s="65">
        <v>44614</v>
      </c>
    </row>
    <row r="4666" spans="1:6">
      <c r="A4666">
        <v>4665</v>
      </c>
      <c r="B4666" t="s">
        <v>15494</v>
      </c>
      <c r="C4666">
        <v>100000</v>
      </c>
      <c r="D4666">
        <v>0</v>
      </c>
      <c r="E4666" t="s">
        <v>16642</v>
      </c>
      <c r="F4666" s="76">
        <v>44979</v>
      </c>
    </row>
    <row r="4667" spans="1:6">
      <c r="A4667">
        <v>4666</v>
      </c>
      <c r="B4667" t="s">
        <v>15498</v>
      </c>
      <c r="C4667">
        <v>1000</v>
      </c>
      <c r="D4667">
        <v>0</v>
      </c>
      <c r="E4667">
        <v>50</v>
      </c>
      <c r="F4667" s="67">
        <v>44963</v>
      </c>
    </row>
    <row r="4668" spans="1:6">
      <c r="A4668">
        <v>4667</v>
      </c>
      <c r="B4668" t="s">
        <v>15501</v>
      </c>
      <c r="C4668">
        <v>250</v>
      </c>
      <c r="D4668">
        <v>750</v>
      </c>
      <c r="E4668">
        <v>50</v>
      </c>
      <c r="F4668" s="77">
        <v>44854</v>
      </c>
    </row>
    <row r="4669" spans="1:6">
      <c r="A4669">
        <v>4668</v>
      </c>
      <c r="B4669" t="s">
        <v>15504</v>
      </c>
      <c r="C4669">
        <v>500</v>
      </c>
      <c r="D4669">
        <v>1500</v>
      </c>
      <c r="E4669">
        <v>100</v>
      </c>
      <c r="F4669" s="65">
        <v>44441</v>
      </c>
    </row>
    <row r="4670" spans="1:6">
      <c r="A4670">
        <v>4669</v>
      </c>
      <c r="B4670" t="s">
        <v>15509</v>
      </c>
      <c r="C4670">
        <v>12500</v>
      </c>
      <c r="D4670">
        <v>37500</v>
      </c>
      <c r="E4670">
        <v>2500</v>
      </c>
      <c r="F4670" s="67">
        <v>44992</v>
      </c>
    </row>
    <row r="4671" ht="15" spans="1:6">
      <c r="A4671">
        <v>4670</v>
      </c>
      <c r="B4671" t="s">
        <v>15512</v>
      </c>
      <c r="C4671">
        <v>1000000</v>
      </c>
      <c r="D4671">
        <v>500000</v>
      </c>
      <c r="E4671" t="s">
        <v>16642</v>
      </c>
      <c r="F4671" s="81">
        <f>IFERROR(__xludf.DUMMYFUNCTION("""COMPUTED_VALUE"""),45083)</f>
        <v>45083</v>
      </c>
    </row>
    <row r="4672" spans="1:6">
      <c r="A4672">
        <v>4671</v>
      </c>
      <c r="B4672" t="s">
        <v>15513</v>
      </c>
      <c r="C4672">
        <v>100000</v>
      </c>
      <c r="D4672">
        <v>0</v>
      </c>
      <c r="E4672" t="s">
        <v>16642</v>
      </c>
      <c r="F4672" s="76">
        <v>44826</v>
      </c>
    </row>
    <row r="4673" spans="1:6">
      <c r="A4673">
        <v>4672</v>
      </c>
      <c r="B4673" t="s">
        <v>15518</v>
      </c>
      <c r="C4673">
        <v>10000</v>
      </c>
      <c r="D4673">
        <v>0</v>
      </c>
      <c r="E4673">
        <v>500</v>
      </c>
      <c r="F4673" s="65">
        <v>44540</v>
      </c>
    </row>
    <row r="4674" spans="1:6">
      <c r="A4674">
        <v>4673</v>
      </c>
      <c r="B4674" t="s">
        <v>15522</v>
      </c>
      <c r="C4674">
        <v>100000</v>
      </c>
      <c r="D4674">
        <v>0</v>
      </c>
      <c r="E4674" t="s">
        <v>16642</v>
      </c>
      <c r="F4674" s="76">
        <v>44837</v>
      </c>
    </row>
    <row r="4675" spans="1:6">
      <c r="A4675">
        <v>4674</v>
      </c>
      <c r="B4675" t="s">
        <v>15526</v>
      </c>
      <c r="C4675">
        <v>5000</v>
      </c>
      <c r="D4675">
        <v>0</v>
      </c>
      <c r="E4675">
        <v>250</v>
      </c>
      <c r="F4675" s="79">
        <v>44958</v>
      </c>
    </row>
    <row r="4676" spans="1:6">
      <c r="A4676">
        <v>4675</v>
      </c>
      <c r="B4676" t="s">
        <v>15529</v>
      </c>
      <c r="C4676">
        <v>500</v>
      </c>
      <c r="D4676">
        <v>500</v>
      </c>
      <c r="E4676">
        <v>50</v>
      </c>
      <c r="F4676" s="61">
        <v>44896</v>
      </c>
    </row>
    <row r="4677" spans="1:6">
      <c r="A4677">
        <v>4676</v>
      </c>
      <c r="B4677" t="s">
        <v>15533</v>
      </c>
      <c r="C4677">
        <v>1000</v>
      </c>
      <c r="D4677">
        <v>0</v>
      </c>
      <c r="E4677">
        <v>50</v>
      </c>
      <c r="F4677" s="77">
        <v>44781</v>
      </c>
    </row>
    <row r="4678" spans="1:6">
      <c r="A4678">
        <v>4677</v>
      </c>
      <c r="B4678" t="s">
        <v>15537</v>
      </c>
      <c r="C4678">
        <v>1500</v>
      </c>
      <c r="D4678">
        <v>0</v>
      </c>
      <c r="E4678">
        <v>75</v>
      </c>
      <c r="F4678" s="65">
        <v>44441</v>
      </c>
    </row>
    <row r="4679" spans="1:6">
      <c r="A4679">
        <v>4678</v>
      </c>
      <c r="B4679" t="s">
        <v>15542</v>
      </c>
      <c r="C4679">
        <v>250</v>
      </c>
      <c r="D4679">
        <v>750</v>
      </c>
      <c r="E4679">
        <v>50</v>
      </c>
      <c r="F4679" s="61">
        <v>44860</v>
      </c>
    </row>
    <row r="4680" spans="1:6">
      <c r="A4680">
        <v>4679</v>
      </c>
      <c r="B4680" t="s">
        <v>15545</v>
      </c>
      <c r="C4680">
        <v>3750</v>
      </c>
      <c r="D4680">
        <v>11250</v>
      </c>
      <c r="E4680">
        <v>750</v>
      </c>
      <c r="F4680" s="77">
        <v>44849</v>
      </c>
    </row>
    <row r="4681" spans="1:6">
      <c r="A4681">
        <v>4680</v>
      </c>
      <c r="B4681" t="s">
        <v>15548</v>
      </c>
      <c r="C4681">
        <v>1000000</v>
      </c>
      <c r="D4681">
        <v>500000</v>
      </c>
      <c r="E4681" t="s">
        <v>16642</v>
      </c>
      <c r="F4681" s="90">
        <f>IFERROR(__xludf.DUMMYFUNCTION("""COMPUTED_VALUE"""),45080)</f>
        <v>45080</v>
      </c>
    </row>
    <row r="4682" ht="31.5" spans="1:6">
      <c r="A4682">
        <v>4681</v>
      </c>
      <c r="B4682" t="s">
        <v>15548</v>
      </c>
      <c r="C4682">
        <v>100000</v>
      </c>
      <c r="D4682">
        <v>0</v>
      </c>
      <c r="E4682" t="s">
        <v>16642</v>
      </c>
      <c r="F4682" s="96" t="s">
        <v>16884</v>
      </c>
    </row>
    <row r="4683" ht="31.5" spans="1:6">
      <c r="A4683">
        <v>4682</v>
      </c>
      <c r="B4683" t="s">
        <v>15549</v>
      </c>
      <c r="C4683">
        <v>100000</v>
      </c>
      <c r="D4683">
        <v>0</v>
      </c>
      <c r="E4683" t="s">
        <v>16642</v>
      </c>
      <c r="F4683" s="76" t="s">
        <v>16885</v>
      </c>
    </row>
    <row r="4684" spans="1:6">
      <c r="A4684">
        <v>4683</v>
      </c>
      <c r="B4684" t="s">
        <v>15553</v>
      </c>
      <c r="C4684">
        <v>75000</v>
      </c>
      <c r="D4684">
        <v>25000</v>
      </c>
      <c r="E4684">
        <v>5000</v>
      </c>
      <c r="F4684" s="67">
        <v>44984</v>
      </c>
    </row>
    <row r="4685" spans="1:6">
      <c r="A4685">
        <v>4684</v>
      </c>
      <c r="B4685" t="s">
        <v>15556</v>
      </c>
      <c r="C4685">
        <v>100000</v>
      </c>
      <c r="D4685">
        <v>0</v>
      </c>
      <c r="E4685" t="s">
        <v>16642</v>
      </c>
      <c r="F4685" s="76">
        <v>44854</v>
      </c>
    </row>
    <row r="4686" ht="15" spans="1:6">
      <c r="A4686">
        <v>4685</v>
      </c>
      <c r="B4686" t="s">
        <v>15560</v>
      </c>
      <c r="C4686">
        <v>1000000</v>
      </c>
      <c r="D4686">
        <v>500000</v>
      </c>
      <c r="E4686" t="s">
        <v>16642</v>
      </c>
      <c r="F4686" s="81">
        <f>IFERROR(__xludf.DUMMYFUNCTION("""COMPUTED_VALUE"""),45082)</f>
        <v>45082</v>
      </c>
    </row>
    <row r="4687" spans="1:6">
      <c r="A4687">
        <v>4686</v>
      </c>
      <c r="B4687" t="s">
        <v>15561</v>
      </c>
      <c r="C4687">
        <v>250</v>
      </c>
      <c r="D4687">
        <v>750</v>
      </c>
      <c r="E4687">
        <v>50</v>
      </c>
      <c r="F4687" s="61">
        <v>44865</v>
      </c>
    </row>
    <row r="4688" spans="1:6">
      <c r="A4688">
        <v>4687</v>
      </c>
      <c r="B4688" t="s">
        <v>15564</v>
      </c>
      <c r="C4688">
        <v>2500</v>
      </c>
      <c r="D4688">
        <v>7500</v>
      </c>
      <c r="E4688">
        <v>500</v>
      </c>
      <c r="F4688" s="65">
        <v>44712</v>
      </c>
    </row>
    <row r="4689" spans="1:6">
      <c r="A4689">
        <v>4688</v>
      </c>
      <c r="B4689" t="s">
        <v>15568</v>
      </c>
      <c r="C4689">
        <v>100000</v>
      </c>
      <c r="D4689">
        <v>0</v>
      </c>
      <c r="E4689" t="s">
        <v>16642</v>
      </c>
      <c r="F4689" s="66"/>
    </row>
    <row r="4690" spans="1:6">
      <c r="A4690">
        <v>4689</v>
      </c>
      <c r="B4690" t="s">
        <v>15572</v>
      </c>
      <c r="C4690">
        <v>10000</v>
      </c>
      <c r="D4690">
        <v>10000</v>
      </c>
      <c r="E4690">
        <v>1000</v>
      </c>
      <c r="F4690" s="64" t="s">
        <v>16830</v>
      </c>
    </row>
    <row r="4691" spans="1:6">
      <c r="A4691">
        <v>4690</v>
      </c>
      <c r="B4691" t="s">
        <v>15576</v>
      </c>
      <c r="C4691">
        <v>10000</v>
      </c>
      <c r="D4691">
        <v>0</v>
      </c>
      <c r="E4691">
        <v>500</v>
      </c>
      <c r="F4691" s="77">
        <v>44806</v>
      </c>
    </row>
    <row r="4692" spans="1:6">
      <c r="A4692">
        <v>4691</v>
      </c>
      <c r="B4692" t="s">
        <v>15579</v>
      </c>
      <c r="C4692">
        <v>10000</v>
      </c>
      <c r="D4692">
        <v>0</v>
      </c>
      <c r="E4692">
        <v>500</v>
      </c>
      <c r="F4692" s="77">
        <v>44806</v>
      </c>
    </row>
    <row r="4693" spans="1:6">
      <c r="A4693">
        <v>4692</v>
      </c>
      <c r="B4693" t="s">
        <v>15582</v>
      </c>
      <c r="C4693">
        <v>100000</v>
      </c>
      <c r="D4693">
        <v>0</v>
      </c>
      <c r="E4693" t="s">
        <v>16642</v>
      </c>
      <c r="F4693" s="76">
        <v>44907</v>
      </c>
    </row>
    <row r="4694" spans="1:6">
      <c r="A4694">
        <v>4693</v>
      </c>
      <c r="B4694" t="s">
        <v>15587</v>
      </c>
      <c r="C4694">
        <v>250</v>
      </c>
      <c r="D4694">
        <v>750</v>
      </c>
      <c r="E4694">
        <v>50</v>
      </c>
      <c r="F4694" s="79">
        <v>44942</v>
      </c>
    </row>
    <row r="4695" spans="1:6">
      <c r="A4695">
        <v>4694</v>
      </c>
      <c r="B4695" t="s">
        <v>15590</v>
      </c>
      <c r="C4695">
        <v>1000</v>
      </c>
      <c r="D4695">
        <v>0</v>
      </c>
      <c r="E4695">
        <v>50</v>
      </c>
      <c r="F4695" s="79">
        <v>44866</v>
      </c>
    </row>
    <row r="4696" spans="1:6">
      <c r="A4696">
        <v>4695</v>
      </c>
      <c r="B4696" t="s">
        <v>15593</v>
      </c>
      <c r="C4696">
        <v>250</v>
      </c>
      <c r="D4696">
        <v>750</v>
      </c>
      <c r="E4696">
        <v>50</v>
      </c>
      <c r="F4696" s="71">
        <v>44859</v>
      </c>
    </row>
    <row r="4697" spans="1:6">
      <c r="A4697">
        <v>4696</v>
      </c>
      <c r="B4697" t="s">
        <v>15596</v>
      </c>
      <c r="C4697">
        <v>250</v>
      </c>
      <c r="D4697">
        <v>750</v>
      </c>
      <c r="E4697">
        <v>50</v>
      </c>
      <c r="F4697" s="60">
        <v>44851</v>
      </c>
    </row>
    <row r="4698" spans="1:6">
      <c r="A4698">
        <v>4697</v>
      </c>
      <c r="B4698" t="s">
        <v>15599</v>
      </c>
      <c r="C4698">
        <v>250</v>
      </c>
      <c r="D4698">
        <v>750</v>
      </c>
      <c r="E4698">
        <v>50</v>
      </c>
      <c r="F4698" s="60">
        <v>44807</v>
      </c>
    </row>
    <row r="4699" spans="1:6">
      <c r="A4699">
        <v>4698</v>
      </c>
      <c r="B4699" t="s">
        <v>15603</v>
      </c>
      <c r="C4699">
        <v>250</v>
      </c>
      <c r="D4699">
        <v>750</v>
      </c>
      <c r="E4699">
        <v>50</v>
      </c>
      <c r="F4699" s="61">
        <v>44896</v>
      </c>
    </row>
    <row r="4700" spans="1:6">
      <c r="A4700">
        <v>4699</v>
      </c>
      <c r="B4700" t="s">
        <v>15606</v>
      </c>
      <c r="C4700">
        <v>250</v>
      </c>
      <c r="D4700">
        <v>750</v>
      </c>
      <c r="E4700">
        <v>50</v>
      </c>
      <c r="F4700" s="75">
        <v>44929</v>
      </c>
    </row>
    <row r="4701" spans="1:6">
      <c r="A4701">
        <v>4700</v>
      </c>
      <c r="B4701" t="s">
        <v>15609</v>
      </c>
      <c r="C4701">
        <v>250</v>
      </c>
      <c r="D4701">
        <v>750</v>
      </c>
      <c r="E4701">
        <v>50</v>
      </c>
      <c r="F4701" s="61">
        <v>44879</v>
      </c>
    </row>
    <row r="4702" spans="1:6">
      <c r="A4702">
        <v>4701</v>
      </c>
      <c r="B4702" t="s">
        <v>15612</v>
      </c>
      <c r="C4702">
        <v>250</v>
      </c>
      <c r="D4702">
        <v>750</v>
      </c>
      <c r="E4702">
        <v>50</v>
      </c>
      <c r="F4702" s="71">
        <v>44893</v>
      </c>
    </row>
    <row r="4703" spans="1:6">
      <c r="A4703">
        <v>4702</v>
      </c>
      <c r="B4703" t="s">
        <v>15615</v>
      </c>
      <c r="C4703">
        <v>250</v>
      </c>
      <c r="D4703">
        <v>750</v>
      </c>
      <c r="E4703">
        <v>50</v>
      </c>
      <c r="F4703" s="61">
        <v>44855</v>
      </c>
    </row>
    <row r="4704" spans="1:6">
      <c r="A4704">
        <v>4703</v>
      </c>
      <c r="B4704" t="s">
        <v>15618</v>
      </c>
      <c r="C4704">
        <v>250</v>
      </c>
      <c r="D4704">
        <v>750</v>
      </c>
      <c r="E4704">
        <v>50</v>
      </c>
      <c r="F4704" s="73">
        <v>44967</v>
      </c>
    </row>
    <row r="4705" spans="1:6">
      <c r="A4705">
        <v>4704</v>
      </c>
      <c r="B4705" t="s">
        <v>15621</v>
      </c>
      <c r="C4705">
        <v>1000</v>
      </c>
      <c r="D4705">
        <v>0</v>
      </c>
      <c r="E4705">
        <v>50</v>
      </c>
      <c r="F4705" s="61">
        <v>44872</v>
      </c>
    </row>
    <row r="4706" spans="1:6">
      <c r="A4706">
        <v>4705</v>
      </c>
      <c r="B4706" t="s">
        <v>15624</v>
      </c>
      <c r="C4706">
        <v>250</v>
      </c>
      <c r="D4706">
        <v>750</v>
      </c>
      <c r="E4706">
        <v>50</v>
      </c>
      <c r="F4706" s="61">
        <v>44869</v>
      </c>
    </row>
    <row r="4707" spans="1:6">
      <c r="A4707">
        <v>4706</v>
      </c>
      <c r="B4707" t="s">
        <v>15627</v>
      </c>
      <c r="C4707">
        <v>250</v>
      </c>
      <c r="D4707">
        <v>750</v>
      </c>
      <c r="E4707">
        <v>50</v>
      </c>
      <c r="F4707" s="60">
        <v>44912</v>
      </c>
    </row>
    <row r="4708" spans="1:6">
      <c r="A4708">
        <v>4707</v>
      </c>
      <c r="B4708" t="s">
        <v>15630</v>
      </c>
      <c r="C4708">
        <v>250</v>
      </c>
      <c r="D4708">
        <v>750</v>
      </c>
      <c r="E4708">
        <v>50</v>
      </c>
      <c r="F4708" s="73">
        <v>45056</v>
      </c>
    </row>
    <row r="4709" spans="1:6">
      <c r="A4709">
        <v>4708</v>
      </c>
      <c r="B4709" t="s">
        <v>15633</v>
      </c>
      <c r="C4709">
        <v>250</v>
      </c>
      <c r="D4709">
        <v>750</v>
      </c>
      <c r="E4709">
        <v>50</v>
      </c>
      <c r="F4709" s="61">
        <v>44867</v>
      </c>
    </row>
    <row r="4710" spans="1:6">
      <c r="A4710">
        <v>4709</v>
      </c>
      <c r="B4710" t="s">
        <v>15636</v>
      </c>
      <c r="C4710">
        <v>1000</v>
      </c>
      <c r="D4710">
        <v>0</v>
      </c>
      <c r="E4710">
        <v>50</v>
      </c>
      <c r="F4710" s="75">
        <v>44844</v>
      </c>
    </row>
    <row r="4711" spans="1:6">
      <c r="A4711">
        <v>4710</v>
      </c>
      <c r="B4711" t="s">
        <v>15639</v>
      </c>
      <c r="C4711">
        <v>250</v>
      </c>
      <c r="D4711">
        <v>750</v>
      </c>
      <c r="E4711">
        <v>50</v>
      </c>
      <c r="F4711" s="60">
        <v>44928</v>
      </c>
    </row>
    <row r="4712" spans="1:6">
      <c r="A4712">
        <v>4711</v>
      </c>
      <c r="B4712" t="s">
        <v>15642</v>
      </c>
      <c r="C4712">
        <v>250</v>
      </c>
      <c r="D4712">
        <v>750</v>
      </c>
      <c r="E4712">
        <v>50</v>
      </c>
      <c r="F4712" s="61">
        <v>44981</v>
      </c>
    </row>
    <row r="4713" spans="1:6">
      <c r="A4713">
        <v>4712</v>
      </c>
      <c r="B4713" t="s">
        <v>15645</v>
      </c>
      <c r="C4713">
        <v>250</v>
      </c>
      <c r="D4713">
        <v>750</v>
      </c>
      <c r="E4713">
        <v>50</v>
      </c>
      <c r="F4713" s="60">
        <v>45262</v>
      </c>
    </row>
    <row r="4714" spans="1:6">
      <c r="A4714">
        <v>4713</v>
      </c>
      <c r="B4714" t="s">
        <v>15648</v>
      </c>
      <c r="C4714">
        <v>250</v>
      </c>
      <c r="D4714">
        <v>750</v>
      </c>
      <c r="E4714">
        <v>50</v>
      </c>
      <c r="F4714" s="60">
        <v>44947</v>
      </c>
    </row>
    <row r="4715" spans="1:6">
      <c r="A4715">
        <v>4714</v>
      </c>
      <c r="B4715" t="s">
        <v>15651</v>
      </c>
      <c r="C4715">
        <v>10000</v>
      </c>
      <c r="D4715">
        <v>0</v>
      </c>
      <c r="E4715">
        <v>500</v>
      </c>
      <c r="F4715" s="67">
        <v>45184</v>
      </c>
    </row>
    <row r="4716" spans="1:6">
      <c r="A4716">
        <v>4715</v>
      </c>
      <c r="B4716" t="s">
        <v>15654</v>
      </c>
      <c r="C4716">
        <v>1000</v>
      </c>
      <c r="D4716">
        <v>0</v>
      </c>
      <c r="E4716">
        <v>50</v>
      </c>
      <c r="F4716" s="61">
        <v>45041</v>
      </c>
    </row>
    <row r="4717" spans="1:6">
      <c r="A4717">
        <v>4716</v>
      </c>
      <c r="B4717" t="s">
        <v>15657</v>
      </c>
      <c r="C4717">
        <v>250</v>
      </c>
      <c r="D4717">
        <v>750</v>
      </c>
      <c r="E4717">
        <v>50</v>
      </c>
      <c r="F4717" s="61">
        <v>44881</v>
      </c>
    </row>
    <row r="4718" spans="1:6">
      <c r="A4718">
        <v>4717</v>
      </c>
      <c r="B4718" t="s">
        <v>15660</v>
      </c>
      <c r="C4718">
        <v>250</v>
      </c>
      <c r="D4718">
        <v>750</v>
      </c>
      <c r="E4718">
        <v>50</v>
      </c>
      <c r="F4718" s="69">
        <v>45001</v>
      </c>
    </row>
    <row r="4719" spans="1:6">
      <c r="A4719">
        <v>4718</v>
      </c>
      <c r="B4719" t="s">
        <v>15664</v>
      </c>
      <c r="C4719">
        <v>1000</v>
      </c>
      <c r="D4719">
        <v>0</v>
      </c>
      <c r="E4719">
        <v>50</v>
      </c>
      <c r="F4719" s="60">
        <v>44901</v>
      </c>
    </row>
    <row r="4720" spans="1:6">
      <c r="A4720">
        <v>4719</v>
      </c>
      <c r="B4720" t="s">
        <v>15668</v>
      </c>
      <c r="C4720">
        <v>10000</v>
      </c>
      <c r="D4720">
        <v>0</v>
      </c>
      <c r="E4720">
        <v>500</v>
      </c>
      <c r="F4720" s="77">
        <v>44804</v>
      </c>
    </row>
    <row r="4721" spans="1:6">
      <c r="A4721">
        <v>4720</v>
      </c>
      <c r="B4721" t="s">
        <v>15671</v>
      </c>
      <c r="C4721">
        <v>250</v>
      </c>
      <c r="D4721">
        <v>750</v>
      </c>
      <c r="E4721">
        <v>50</v>
      </c>
      <c r="F4721" s="60">
        <v>44837</v>
      </c>
    </row>
    <row r="4722" spans="1:6">
      <c r="A4722">
        <v>4721</v>
      </c>
      <c r="B4722" t="s">
        <v>15674</v>
      </c>
      <c r="C4722">
        <v>250</v>
      </c>
      <c r="D4722">
        <v>750</v>
      </c>
      <c r="E4722">
        <v>50</v>
      </c>
      <c r="F4722" s="71">
        <v>44887</v>
      </c>
    </row>
    <row r="4723" spans="1:6">
      <c r="A4723">
        <v>4722</v>
      </c>
      <c r="B4723" t="s">
        <v>15677</v>
      </c>
      <c r="C4723">
        <v>250</v>
      </c>
      <c r="D4723">
        <v>750</v>
      </c>
      <c r="E4723">
        <v>50</v>
      </c>
      <c r="F4723" s="60">
        <v>44981</v>
      </c>
    </row>
    <row r="4724" spans="1:6">
      <c r="A4724">
        <v>4723</v>
      </c>
      <c r="B4724" t="s">
        <v>15680</v>
      </c>
      <c r="C4724">
        <v>300</v>
      </c>
      <c r="D4724">
        <v>700</v>
      </c>
      <c r="E4724">
        <v>50</v>
      </c>
      <c r="F4724" s="60">
        <v>44859</v>
      </c>
    </row>
    <row r="4725" spans="1:6">
      <c r="A4725">
        <v>4724</v>
      </c>
      <c r="B4725" t="s">
        <v>15683</v>
      </c>
      <c r="C4725">
        <v>1250</v>
      </c>
      <c r="D4725">
        <v>3750</v>
      </c>
      <c r="E4725">
        <v>250</v>
      </c>
      <c r="F4725" s="61">
        <v>44868</v>
      </c>
    </row>
    <row r="4726" spans="1:6">
      <c r="A4726">
        <v>4725</v>
      </c>
      <c r="B4726" t="s">
        <v>15687</v>
      </c>
      <c r="C4726">
        <v>250</v>
      </c>
      <c r="D4726">
        <v>750</v>
      </c>
      <c r="E4726">
        <v>50</v>
      </c>
      <c r="F4726" s="60">
        <v>45026</v>
      </c>
    </row>
    <row r="4727" spans="1:6">
      <c r="A4727">
        <v>4726</v>
      </c>
      <c r="B4727" t="s">
        <v>15690</v>
      </c>
      <c r="C4727">
        <v>250</v>
      </c>
      <c r="D4727">
        <v>750</v>
      </c>
      <c r="E4727">
        <v>50</v>
      </c>
      <c r="F4727" s="61">
        <v>45040</v>
      </c>
    </row>
    <row r="4728" spans="1:6">
      <c r="A4728">
        <v>4727</v>
      </c>
      <c r="B4728" t="s">
        <v>15693</v>
      </c>
      <c r="C4728">
        <v>1000</v>
      </c>
      <c r="D4728">
        <v>0</v>
      </c>
      <c r="E4728">
        <v>50</v>
      </c>
      <c r="F4728" s="60">
        <v>44930</v>
      </c>
    </row>
    <row r="4729" spans="1:6">
      <c r="A4729">
        <v>4728</v>
      </c>
      <c r="B4729" t="s">
        <v>15697</v>
      </c>
      <c r="C4729">
        <v>10000</v>
      </c>
      <c r="D4729">
        <v>0</v>
      </c>
      <c r="E4729">
        <v>500</v>
      </c>
      <c r="F4729" s="64" t="s">
        <v>16886</v>
      </c>
    </row>
    <row r="4730" spans="1:6">
      <c r="A4730">
        <v>4729</v>
      </c>
      <c r="B4730" t="s">
        <v>15701</v>
      </c>
      <c r="C4730">
        <v>250</v>
      </c>
      <c r="D4730">
        <v>750</v>
      </c>
      <c r="E4730">
        <v>50</v>
      </c>
      <c r="F4730" s="60">
        <v>44998</v>
      </c>
    </row>
    <row r="4731" spans="1:6">
      <c r="A4731">
        <v>4730</v>
      </c>
      <c r="B4731" t="s">
        <v>15704</v>
      </c>
      <c r="C4731">
        <v>1000</v>
      </c>
      <c r="D4731">
        <v>0</v>
      </c>
      <c r="E4731">
        <v>50</v>
      </c>
      <c r="F4731" s="60">
        <v>44924</v>
      </c>
    </row>
    <row r="4732" spans="1:6">
      <c r="A4732">
        <v>4731</v>
      </c>
      <c r="B4732" t="s">
        <v>15708</v>
      </c>
      <c r="C4732">
        <v>5000</v>
      </c>
      <c r="D4732">
        <v>5000</v>
      </c>
      <c r="E4732">
        <v>500</v>
      </c>
      <c r="F4732" s="67"/>
    </row>
    <row r="4733" spans="1:6">
      <c r="A4733">
        <v>4732</v>
      </c>
      <c r="B4733" t="s">
        <v>15711</v>
      </c>
      <c r="C4733">
        <v>1000</v>
      </c>
      <c r="D4733">
        <v>0</v>
      </c>
      <c r="E4733">
        <v>50</v>
      </c>
      <c r="F4733" s="61">
        <v>44870</v>
      </c>
    </row>
    <row r="4734" spans="1:6">
      <c r="A4734">
        <v>4733</v>
      </c>
      <c r="B4734" t="s">
        <v>15714</v>
      </c>
      <c r="C4734">
        <v>250</v>
      </c>
      <c r="D4734">
        <v>750</v>
      </c>
      <c r="E4734">
        <v>50</v>
      </c>
      <c r="F4734" s="61">
        <v>44818</v>
      </c>
    </row>
    <row r="4735" spans="1:6">
      <c r="A4735">
        <v>4734</v>
      </c>
      <c r="B4735" t="s">
        <v>15718</v>
      </c>
      <c r="C4735">
        <v>10000</v>
      </c>
      <c r="D4735">
        <v>0</v>
      </c>
      <c r="E4735">
        <v>250</v>
      </c>
      <c r="F4735" s="64" t="s">
        <v>16697</v>
      </c>
    </row>
    <row r="4736" spans="1:6">
      <c r="A4736">
        <v>4735</v>
      </c>
      <c r="B4736" t="s">
        <v>15722</v>
      </c>
      <c r="C4736">
        <v>1000</v>
      </c>
      <c r="D4736">
        <v>0</v>
      </c>
      <c r="E4736">
        <v>50</v>
      </c>
      <c r="F4736" s="60">
        <v>45065</v>
      </c>
    </row>
    <row r="4737" spans="1:6">
      <c r="A4737">
        <v>4736</v>
      </c>
      <c r="B4737" t="s">
        <v>15726</v>
      </c>
      <c r="C4737">
        <v>250</v>
      </c>
      <c r="D4737">
        <v>750</v>
      </c>
      <c r="E4737">
        <v>50</v>
      </c>
      <c r="F4737" s="69">
        <v>44928</v>
      </c>
    </row>
    <row r="4738" spans="1:6">
      <c r="A4738">
        <v>4737</v>
      </c>
      <c r="B4738" t="s">
        <v>15730</v>
      </c>
      <c r="C4738">
        <v>1000</v>
      </c>
      <c r="D4738">
        <v>0</v>
      </c>
      <c r="E4738">
        <v>50</v>
      </c>
      <c r="F4738" s="61">
        <v>44918</v>
      </c>
    </row>
    <row r="4739" spans="1:6">
      <c r="A4739">
        <v>4738</v>
      </c>
      <c r="B4739" t="s">
        <v>15734</v>
      </c>
      <c r="C4739">
        <v>2000</v>
      </c>
      <c r="D4739">
        <v>0</v>
      </c>
      <c r="E4739">
        <v>100</v>
      </c>
      <c r="F4739" s="77">
        <v>44873</v>
      </c>
    </row>
    <row r="4740" spans="1:6">
      <c r="A4740">
        <v>4739</v>
      </c>
      <c r="B4740" t="s">
        <v>15737</v>
      </c>
      <c r="C4740">
        <v>250</v>
      </c>
      <c r="D4740">
        <v>750</v>
      </c>
      <c r="E4740">
        <v>50</v>
      </c>
      <c r="F4740" s="73">
        <v>44963</v>
      </c>
    </row>
    <row r="4741" spans="1:6">
      <c r="A4741">
        <v>4740</v>
      </c>
      <c r="B4741" t="s">
        <v>15740</v>
      </c>
      <c r="C4741">
        <v>25000</v>
      </c>
      <c r="D4741">
        <v>75000</v>
      </c>
      <c r="E4741">
        <v>5000</v>
      </c>
      <c r="F4741" s="91" t="s">
        <v>16842</v>
      </c>
    </row>
    <row r="4742" spans="1:6">
      <c r="A4742">
        <v>4741</v>
      </c>
      <c r="B4742" t="s">
        <v>15740</v>
      </c>
      <c r="C4742">
        <v>100000</v>
      </c>
      <c r="D4742">
        <v>0</v>
      </c>
      <c r="E4742" t="s">
        <v>16642</v>
      </c>
      <c r="F4742" s="89"/>
    </row>
    <row r="4743" spans="1:6">
      <c r="A4743">
        <v>4742</v>
      </c>
      <c r="B4743" t="s">
        <v>15744</v>
      </c>
      <c r="C4743">
        <v>100000</v>
      </c>
      <c r="D4743">
        <v>0</v>
      </c>
      <c r="E4743" t="s">
        <v>16642</v>
      </c>
      <c r="F4743" s="66"/>
    </row>
    <row r="4744" spans="1:6">
      <c r="A4744">
        <v>4743</v>
      </c>
      <c r="B4744" t="s">
        <v>15748</v>
      </c>
      <c r="C4744">
        <v>250</v>
      </c>
      <c r="D4744">
        <v>750</v>
      </c>
      <c r="E4744">
        <v>50</v>
      </c>
      <c r="F4744" s="60">
        <v>44867</v>
      </c>
    </row>
    <row r="4745" spans="1:6">
      <c r="A4745">
        <v>4744</v>
      </c>
      <c r="B4745" t="s">
        <v>15751</v>
      </c>
      <c r="C4745">
        <v>250</v>
      </c>
      <c r="D4745">
        <v>750</v>
      </c>
      <c r="E4745">
        <v>50</v>
      </c>
      <c r="F4745" s="61">
        <v>44884</v>
      </c>
    </row>
    <row r="4746" spans="1:6">
      <c r="A4746">
        <v>4745</v>
      </c>
      <c r="B4746" t="s">
        <v>15754</v>
      </c>
      <c r="C4746">
        <v>250</v>
      </c>
      <c r="D4746">
        <v>750</v>
      </c>
      <c r="E4746">
        <v>50</v>
      </c>
      <c r="F4746" s="61">
        <v>44911</v>
      </c>
    </row>
    <row r="4747" spans="1:6">
      <c r="A4747">
        <v>4746</v>
      </c>
      <c r="B4747" t="s">
        <v>15757</v>
      </c>
      <c r="C4747">
        <v>100000</v>
      </c>
      <c r="D4747">
        <v>0</v>
      </c>
      <c r="E4747" t="s">
        <v>16642</v>
      </c>
      <c r="F4747" s="76">
        <v>44924</v>
      </c>
    </row>
    <row r="4748" spans="1:6">
      <c r="A4748">
        <v>4747</v>
      </c>
      <c r="B4748" t="s">
        <v>15762</v>
      </c>
      <c r="C4748">
        <v>250</v>
      </c>
      <c r="D4748">
        <v>750</v>
      </c>
      <c r="E4748">
        <v>50</v>
      </c>
      <c r="F4748" s="61">
        <v>44868</v>
      </c>
    </row>
    <row r="4749" ht="15" spans="1:6">
      <c r="A4749">
        <v>4748</v>
      </c>
      <c r="B4749" t="s">
        <v>15765</v>
      </c>
      <c r="C4749">
        <v>1000000</v>
      </c>
      <c r="D4749">
        <v>500000</v>
      </c>
      <c r="E4749" t="s">
        <v>16642</v>
      </c>
      <c r="F4749" s="81">
        <f>IFERROR(__xludf.DUMMYFUNCTION("""COMPUTED_VALUE"""),45082)</f>
        <v>45082</v>
      </c>
    </row>
    <row r="4750" spans="1:6">
      <c r="A4750">
        <v>4749</v>
      </c>
      <c r="B4750" t="s">
        <v>15766</v>
      </c>
      <c r="C4750">
        <v>200000</v>
      </c>
      <c r="D4750">
        <v>0</v>
      </c>
      <c r="E4750" t="s">
        <v>16642</v>
      </c>
      <c r="F4750" s="104"/>
    </row>
    <row r="4751" spans="1:6">
      <c r="A4751">
        <v>4750</v>
      </c>
      <c r="B4751" t="s">
        <v>15770</v>
      </c>
      <c r="C4751">
        <v>250</v>
      </c>
      <c r="D4751">
        <v>750</v>
      </c>
      <c r="E4751">
        <v>50</v>
      </c>
      <c r="F4751" s="60">
        <v>45061</v>
      </c>
    </row>
    <row r="4752" spans="1:6">
      <c r="A4752">
        <v>4751</v>
      </c>
      <c r="B4752" t="s">
        <v>15773</v>
      </c>
      <c r="C4752">
        <v>1000</v>
      </c>
      <c r="D4752">
        <v>0</v>
      </c>
      <c r="E4752">
        <v>50</v>
      </c>
      <c r="F4752" s="65">
        <v>44516</v>
      </c>
    </row>
    <row r="4753" spans="1:6">
      <c r="A4753">
        <v>4752</v>
      </c>
      <c r="B4753" t="s">
        <v>15778</v>
      </c>
      <c r="C4753">
        <v>250</v>
      </c>
      <c r="D4753">
        <v>750</v>
      </c>
      <c r="E4753">
        <v>50</v>
      </c>
      <c r="F4753" s="60">
        <v>44944</v>
      </c>
    </row>
    <row r="4754" ht="15" spans="1:6">
      <c r="A4754">
        <v>4753</v>
      </c>
      <c r="B4754" t="s">
        <v>15782</v>
      </c>
      <c r="C4754">
        <v>3500000</v>
      </c>
      <c r="D4754">
        <v>0</v>
      </c>
      <c r="E4754" t="s">
        <v>16642</v>
      </c>
      <c r="F4754" s="92">
        <v>45086</v>
      </c>
    </row>
    <row r="4755" spans="1:6">
      <c r="A4755">
        <v>4754</v>
      </c>
      <c r="B4755" t="s">
        <v>15786</v>
      </c>
      <c r="C4755">
        <v>250</v>
      </c>
      <c r="D4755">
        <v>750</v>
      </c>
      <c r="E4755">
        <v>50</v>
      </c>
      <c r="F4755" s="72">
        <v>44897</v>
      </c>
    </row>
    <row r="4756" spans="1:6">
      <c r="A4756">
        <v>4755</v>
      </c>
      <c r="B4756" t="s">
        <v>15789</v>
      </c>
      <c r="C4756">
        <v>250</v>
      </c>
      <c r="D4756">
        <v>750</v>
      </c>
      <c r="E4756">
        <v>50</v>
      </c>
      <c r="F4756" s="61">
        <v>44898</v>
      </c>
    </row>
    <row r="4757" spans="1:6">
      <c r="A4757">
        <v>4756</v>
      </c>
      <c r="B4757" t="s">
        <v>15792</v>
      </c>
      <c r="C4757">
        <v>250</v>
      </c>
      <c r="D4757">
        <v>750</v>
      </c>
      <c r="E4757">
        <v>50</v>
      </c>
      <c r="F4757" s="73">
        <v>44896</v>
      </c>
    </row>
    <row r="4758" spans="1:6">
      <c r="A4758">
        <v>4757</v>
      </c>
      <c r="B4758" t="s">
        <v>15795</v>
      </c>
      <c r="C4758">
        <v>1000</v>
      </c>
      <c r="D4758">
        <v>0</v>
      </c>
      <c r="E4758">
        <v>50</v>
      </c>
      <c r="F4758" s="60">
        <v>44888</v>
      </c>
    </row>
    <row r="4759" spans="1:6">
      <c r="A4759">
        <v>4758</v>
      </c>
      <c r="B4759" t="s">
        <v>15798</v>
      </c>
      <c r="C4759">
        <v>10000</v>
      </c>
      <c r="D4759">
        <v>0</v>
      </c>
      <c r="E4759">
        <v>500</v>
      </c>
      <c r="F4759" s="65">
        <v>44628</v>
      </c>
    </row>
    <row r="4760" ht="15" spans="1:6">
      <c r="A4760">
        <v>4759</v>
      </c>
      <c r="B4760" t="s">
        <v>15802</v>
      </c>
      <c r="C4760">
        <v>15000</v>
      </c>
      <c r="D4760">
        <v>0</v>
      </c>
      <c r="E4760" t="s">
        <v>16642</v>
      </c>
      <c r="F4760" s="93">
        <v>44965</v>
      </c>
    </row>
    <row r="4761" spans="1:6">
      <c r="A4761">
        <v>4760</v>
      </c>
      <c r="B4761" t="s">
        <v>15806</v>
      </c>
      <c r="C4761">
        <v>250</v>
      </c>
      <c r="D4761">
        <v>750</v>
      </c>
      <c r="E4761">
        <v>50</v>
      </c>
      <c r="F4761" s="75">
        <v>44878</v>
      </c>
    </row>
    <row r="4762" spans="1:6">
      <c r="A4762">
        <v>4761</v>
      </c>
      <c r="B4762" t="s">
        <v>15809</v>
      </c>
      <c r="C4762">
        <v>1000</v>
      </c>
      <c r="D4762">
        <v>0</v>
      </c>
      <c r="E4762">
        <v>50</v>
      </c>
      <c r="F4762" s="61">
        <v>44904</v>
      </c>
    </row>
    <row r="4763" spans="1:6">
      <c r="A4763">
        <v>4762</v>
      </c>
      <c r="B4763" t="s">
        <v>15812</v>
      </c>
      <c r="C4763">
        <v>5000</v>
      </c>
      <c r="D4763">
        <v>0</v>
      </c>
      <c r="E4763">
        <v>250</v>
      </c>
      <c r="F4763" s="64" t="s">
        <v>16723</v>
      </c>
    </row>
    <row r="4764" spans="1:6">
      <c r="A4764">
        <v>4763</v>
      </c>
      <c r="B4764" t="s">
        <v>15816</v>
      </c>
      <c r="C4764">
        <v>1000</v>
      </c>
      <c r="D4764">
        <v>0</v>
      </c>
      <c r="E4764">
        <v>50</v>
      </c>
      <c r="F4764" s="60">
        <v>45012</v>
      </c>
    </row>
    <row r="4765" spans="1:6">
      <c r="A4765">
        <v>4764</v>
      </c>
      <c r="B4765" t="s">
        <v>15819</v>
      </c>
      <c r="C4765">
        <v>250</v>
      </c>
      <c r="D4765">
        <v>750</v>
      </c>
      <c r="E4765">
        <v>50</v>
      </c>
      <c r="F4765" s="60">
        <v>44865</v>
      </c>
    </row>
    <row r="4766" spans="1:6">
      <c r="A4766">
        <v>4765</v>
      </c>
      <c r="B4766" t="s">
        <v>15822</v>
      </c>
      <c r="C4766">
        <v>1000</v>
      </c>
      <c r="D4766">
        <v>0</v>
      </c>
      <c r="E4766">
        <v>50</v>
      </c>
      <c r="F4766" s="73">
        <v>44971</v>
      </c>
    </row>
    <row r="4767" spans="1:6">
      <c r="A4767">
        <v>4766</v>
      </c>
      <c r="B4767" t="s">
        <v>15826</v>
      </c>
      <c r="C4767">
        <v>250</v>
      </c>
      <c r="D4767">
        <v>750</v>
      </c>
      <c r="E4767">
        <v>50</v>
      </c>
      <c r="F4767" s="60">
        <v>44928</v>
      </c>
    </row>
    <row r="4768" spans="1:6">
      <c r="A4768">
        <v>4767</v>
      </c>
      <c r="B4768" t="s">
        <v>15829</v>
      </c>
      <c r="C4768">
        <v>250</v>
      </c>
      <c r="D4768">
        <v>750</v>
      </c>
      <c r="E4768">
        <v>50</v>
      </c>
      <c r="F4768" s="61">
        <v>44861</v>
      </c>
    </row>
    <row r="4769" spans="1:6">
      <c r="A4769">
        <v>4768</v>
      </c>
      <c r="B4769" t="s">
        <v>15832</v>
      </c>
      <c r="C4769">
        <v>250</v>
      </c>
      <c r="D4769">
        <v>750</v>
      </c>
      <c r="E4769">
        <v>50</v>
      </c>
      <c r="F4769" s="61">
        <v>44916</v>
      </c>
    </row>
    <row r="4770" spans="1:6">
      <c r="A4770">
        <v>4769</v>
      </c>
      <c r="B4770" t="s">
        <v>15836</v>
      </c>
      <c r="C4770">
        <v>100000</v>
      </c>
      <c r="D4770">
        <v>0</v>
      </c>
      <c r="E4770" t="s">
        <v>16642</v>
      </c>
      <c r="F4770" s="76">
        <v>44880</v>
      </c>
    </row>
    <row r="4771" spans="1:6">
      <c r="A4771">
        <v>4770</v>
      </c>
      <c r="B4771" t="s">
        <v>15841</v>
      </c>
      <c r="C4771">
        <v>250</v>
      </c>
      <c r="D4771">
        <v>750</v>
      </c>
      <c r="E4771">
        <v>50</v>
      </c>
      <c r="F4771" s="61">
        <v>44873</v>
      </c>
    </row>
    <row r="4772" spans="1:6">
      <c r="A4772">
        <v>4771</v>
      </c>
      <c r="B4772" t="s">
        <v>15844</v>
      </c>
      <c r="C4772">
        <v>250</v>
      </c>
      <c r="D4772">
        <v>750</v>
      </c>
      <c r="E4772">
        <v>50</v>
      </c>
      <c r="F4772" s="73">
        <v>44867</v>
      </c>
    </row>
    <row r="4773" spans="1:6">
      <c r="A4773">
        <v>4772</v>
      </c>
      <c r="B4773" t="s">
        <v>15848</v>
      </c>
      <c r="C4773">
        <v>250</v>
      </c>
      <c r="D4773">
        <v>750</v>
      </c>
      <c r="E4773">
        <v>50</v>
      </c>
      <c r="F4773" s="60">
        <v>44865</v>
      </c>
    </row>
    <row r="4774" spans="1:6">
      <c r="A4774">
        <v>4773</v>
      </c>
      <c r="B4774" t="s">
        <v>15851</v>
      </c>
      <c r="C4774">
        <v>750</v>
      </c>
      <c r="D4774">
        <v>2250</v>
      </c>
      <c r="E4774">
        <v>150</v>
      </c>
      <c r="F4774" s="65">
        <v>44729</v>
      </c>
    </row>
    <row r="4775" spans="1:6">
      <c r="A4775">
        <v>4774</v>
      </c>
      <c r="B4775" t="s">
        <v>15855</v>
      </c>
      <c r="C4775">
        <v>250</v>
      </c>
      <c r="D4775">
        <v>750</v>
      </c>
      <c r="E4775">
        <v>50</v>
      </c>
      <c r="F4775" s="60">
        <v>44846</v>
      </c>
    </row>
    <row r="4776" spans="1:6">
      <c r="A4776">
        <v>4775</v>
      </c>
      <c r="B4776" t="s">
        <v>15859</v>
      </c>
      <c r="C4776">
        <v>250</v>
      </c>
      <c r="D4776">
        <v>750</v>
      </c>
      <c r="E4776">
        <v>50</v>
      </c>
      <c r="F4776" s="60">
        <v>44950</v>
      </c>
    </row>
    <row r="4777" spans="1:6">
      <c r="A4777">
        <v>4776</v>
      </c>
      <c r="B4777" t="s">
        <v>15862</v>
      </c>
      <c r="C4777">
        <v>1000</v>
      </c>
      <c r="D4777">
        <v>0</v>
      </c>
      <c r="E4777">
        <v>50</v>
      </c>
      <c r="F4777" s="73">
        <v>45016</v>
      </c>
    </row>
    <row r="4778" spans="1:6">
      <c r="A4778">
        <v>4777</v>
      </c>
      <c r="B4778" t="s">
        <v>15865</v>
      </c>
      <c r="C4778">
        <v>2500</v>
      </c>
      <c r="D4778">
        <v>7500</v>
      </c>
      <c r="E4778">
        <v>500</v>
      </c>
      <c r="F4778" s="87" t="s">
        <v>16887</v>
      </c>
    </row>
    <row r="4779" spans="1:6">
      <c r="A4779">
        <v>4778</v>
      </c>
      <c r="B4779" t="s">
        <v>15868</v>
      </c>
      <c r="C4779">
        <v>1000</v>
      </c>
      <c r="D4779">
        <v>3000</v>
      </c>
      <c r="E4779">
        <v>200</v>
      </c>
      <c r="F4779" s="77">
        <v>44793</v>
      </c>
    </row>
    <row r="4780" spans="1:6">
      <c r="A4780">
        <v>4779</v>
      </c>
      <c r="B4780" t="s">
        <v>15871</v>
      </c>
      <c r="C4780">
        <v>250</v>
      </c>
      <c r="D4780">
        <v>750</v>
      </c>
      <c r="E4780">
        <v>50</v>
      </c>
      <c r="F4780" s="75">
        <v>44904</v>
      </c>
    </row>
    <row r="4781" spans="1:6">
      <c r="A4781">
        <v>4780</v>
      </c>
      <c r="B4781" t="s">
        <v>15875</v>
      </c>
      <c r="C4781">
        <v>2000</v>
      </c>
      <c r="D4781">
        <v>0</v>
      </c>
      <c r="E4781">
        <v>100</v>
      </c>
      <c r="F4781" s="79">
        <v>44939</v>
      </c>
    </row>
    <row r="4782" spans="1:6">
      <c r="A4782">
        <v>4781</v>
      </c>
      <c r="B4782" t="s">
        <v>15878</v>
      </c>
      <c r="C4782">
        <v>250</v>
      </c>
      <c r="D4782">
        <v>750</v>
      </c>
      <c r="E4782">
        <v>50</v>
      </c>
      <c r="F4782" s="61">
        <v>44949</v>
      </c>
    </row>
    <row r="4783" spans="1:6">
      <c r="A4783">
        <v>4782</v>
      </c>
      <c r="B4783" t="s">
        <v>15881</v>
      </c>
      <c r="C4783">
        <v>250</v>
      </c>
      <c r="D4783">
        <v>750</v>
      </c>
      <c r="E4783">
        <v>50</v>
      </c>
      <c r="F4783" s="73">
        <v>45055</v>
      </c>
    </row>
    <row r="4784" spans="1:6">
      <c r="A4784">
        <v>4783</v>
      </c>
      <c r="B4784" t="s">
        <v>15884</v>
      </c>
      <c r="C4784">
        <v>10</v>
      </c>
      <c r="D4784">
        <v>990</v>
      </c>
      <c r="E4784">
        <v>50</v>
      </c>
      <c r="F4784" s="74">
        <v>44937</v>
      </c>
    </row>
    <row r="4785" spans="1:6">
      <c r="A4785">
        <v>4784</v>
      </c>
      <c r="B4785" t="s">
        <v>15887</v>
      </c>
      <c r="C4785">
        <v>250</v>
      </c>
      <c r="D4785">
        <v>750</v>
      </c>
      <c r="E4785">
        <v>50</v>
      </c>
      <c r="F4785" s="61">
        <v>45012</v>
      </c>
    </row>
    <row r="4786" spans="1:6">
      <c r="A4786">
        <v>4785</v>
      </c>
      <c r="B4786" t="s">
        <v>15890</v>
      </c>
      <c r="C4786">
        <v>10000</v>
      </c>
      <c r="D4786">
        <v>0</v>
      </c>
      <c r="E4786">
        <v>500</v>
      </c>
      <c r="F4786" s="67">
        <v>45042</v>
      </c>
    </row>
    <row r="4787" spans="1:6">
      <c r="A4787">
        <v>4786</v>
      </c>
      <c r="B4787" t="s">
        <v>15893</v>
      </c>
      <c r="C4787">
        <v>250</v>
      </c>
      <c r="D4787">
        <v>750</v>
      </c>
      <c r="E4787">
        <v>50</v>
      </c>
      <c r="F4787" s="61">
        <v>44845</v>
      </c>
    </row>
    <row r="4788" spans="1:6">
      <c r="A4788">
        <v>4787</v>
      </c>
      <c r="B4788" t="s">
        <v>15896</v>
      </c>
      <c r="C4788">
        <v>1000</v>
      </c>
      <c r="D4788">
        <v>3000</v>
      </c>
      <c r="E4788">
        <v>200</v>
      </c>
      <c r="F4788" s="67">
        <v>44925</v>
      </c>
    </row>
    <row r="4789" spans="1:6">
      <c r="A4789">
        <v>4788</v>
      </c>
      <c r="B4789" t="s">
        <v>15899</v>
      </c>
      <c r="C4789">
        <v>250</v>
      </c>
      <c r="D4789">
        <v>750</v>
      </c>
      <c r="E4789">
        <v>50</v>
      </c>
      <c r="F4789" s="60">
        <v>44949</v>
      </c>
    </row>
    <row r="4790" ht="15" spans="1:6">
      <c r="A4790">
        <v>4789</v>
      </c>
      <c r="B4790" t="s">
        <v>15903</v>
      </c>
      <c r="C4790">
        <v>1000000</v>
      </c>
      <c r="D4790">
        <v>500000</v>
      </c>
      <c r="E4790" t="s">
        <v>16642</v>
      </c>
      <c r="F4790" s="81">
        <f>IFERROR(__xludf.DUMMYFUNCTION("""COMPUTED_VALUE"""),45082)</f>
        <v>45082</v>
      </c>
    </row>
    <row r="4791" spans="1:6">
      <c r="A4791">
        <v>4790</v>
      </c>
      <c r="B4791" t="s">
        <v>15904</v>
      </c>
      <c r="C4791">
        <v>250</v>
      </c>
      <c r="D4791">
        <v>750</v>
      </c>
      <c r="E4791">
        <v>50</v>
      </c>
      <c r="F4791" s="61">
        <v>44845</v>
      </c>
    </row>
    <row r="4792" spans="1:6">
      <c r="A4792">
        <v>4791</v>
      </c>
      <c r="B4792" t="s">
        <v>15908</v>
      </c>
      <c r="C4792">
        <v>1000</v>
      </c>
      <c r="D4792">
        <v>0</v>
      </c>
      <c r="E4792">
        <v>50</v>
      </c>
      <c r="F4792" s="60">
        <v>44925</v>
      </c>
    </row>
    <row r="4793" spans="1:6">
      <c r="A4793">
        <v>4792</v>
      </c>
      <c r="B4793" t="s">
        <v>15912</v>
      </c>
      <c r="C4793">
        <v>250</v>
      </c>
      <c r="D4793">
        <v>750</v>
      </c>
      <c r="E4793">
        <v>50</v>
      </c>
      <c r="F4793" s="73">
        <v>45043</v>
      </c>
    </row>
    <row r="4794" spans="1:6">
      <c r="A4794">
        <v>4793</v>
      </c>
      <c r="B4794" t="s">
        <v>15916</v>
      </c>
      <c r="C4794">
        <v>250</v>
      </c>
      <c r="D4794">
        <v>750</v>
      </c>
      <c r="E4794">
        <v>50</v>
      </c>
      <c r="F4794" s="60">
        <v>44856</v>
      </c>
    </row>
    <row r="4795" spans="1:6">
      <c r="A4795">
        <v>4794</v>
      </c>
      <c r="B4795" t="s">
        <v>15919</v>
      </c>
      <c r="C4795">
        <v>250</v>
      </c>
      <c r="D4795">
        <v>750</v>
      </c>
      <c r="E4795">
        <v>50</v>
      </c>
      <c r="F4795" s="60">
        <v>44916</v>
      </c>
    </row>
    <row r="4796" spans="1:6">
      <c r="A4796">
        <v>4795</v>
      </c>
      <c r="B4796" t="s">
        <v>15923</v>
      </c>
      <c r="C4796">
        <v>250</v>
      </c>
      <c r="D4796">
        <v>750</v>
      </c>
      <c r="E4796">
        <v>50</v>
      </c>
      <c r="F4796" s="70">
        <v>44893</v>
      </c>
    </row>
    <row r="4797" spans="1:6">
      <c r="A4797">
        <v>4796</v>
      </c>
      <c r="B4797" t="s">
        <v>15927</v>
      </c>
      <c r="C4797">
        <v>300</v>
      </c>
      <c r="D4797">
        <v>700</v>
      </c>
      <c r="E4797">
        <v>50</v>
      </c>
      <c r="F4797" s="61">
        <v>44859</v>
      </c>
    </row>
    <row r="4798" spans="1:6">
      <c r="A4798">
        <v>4797</v>
      </c>
      <c r="B4798" t="s">
        <v>15931</v>
      </c>
      <c r="C4798">
        <v>250</v>
      </c>
      <c r="D4798">
        <v>750</v>
      </c>
      <c r="E4798">
        <v>50</v>
      </c>
      <c r="F4798" s="60">
        <v>44930</v>
      </c>
    </row>
    <row r="4799" spans="1:6">
      <c r="A4799">
        <v>4798</v>
      </c>
      <c r="B4799" t="s">
        <v>15934</v>
      </c>
      <c r="C4799">
        <v>100000</v>
      </c>
      <c r="D4799">
        <v>0</v>
      </c>
      <c r="E4799" t="s">
        <v>16642</v>
      </c>
      <c r="F4799" s="76">
        <v>44929</v>
      </c>
    </row>
    <row r="4800" spans="1:6">
      <c r="A4800">
        <v>4799</v>
      </c>
      <c r="B4800" t="s">
        <v>15938</v>
      </c>
      <c r="C4800">
        <v>100000</v>
      </c>
      <c r="D4800">
        <v>0</v>
      </c>
      <c r="E4800" t="s">
        <v>16642</v>
      </c>
      <c r="F4800" s="76">
        <v>45065</v>
      </c>
    </row>
    <row r="4801" spans="1:6">
      <c r="A4801">
        <v>4800</v>
      </c>
      <c r="B4801" t="s">
        <v>15943</v>
      </c>
      <c r="C4801">
        <v>250</v>
      </c>
      <c r="D4801">
        <v>750</v>
      </c>
      <c r="E4801">
        <v>50</v>
      </c>
      <c r="F4801" s="60">
        <v>44946</v>
      </c>
    </row>
    <row r="4802" spans="1:6">
      <c r="A4802">
        <v>4801</v>
      </c>
      <c r="B4802" t="s">
        <v>15946</v>
      </c>
      <c r="C4802">
        <v>250</v>
      </c>
      <c r="D4802">
        <v>750</v>
      </c>
      <c r="E4802">
        <v>50</v>
      </c>
      <c r="F4802" s="60">
        <v>44957</v>
      </c>
    </row>
    <row r="4803" spans="1:6">
      <c r="A4803">
        <v>4802</v>
      </c>
      <c r="B4803" t="s">
        <v>15949</v>
      </c>
      <c r="C4803">
        <v>2000</v>
      </c>
      <c r="D4803">
        <v>0</v>
      </c>
      <c r="E4803">
        <v>100</v>
      </c>
      <c r="F4803" s="79">
        <v>44939</v>
      </c>
    </row>
    <row r="4804" spans="1:6">
      <c r="A4804">
        <v>4803</v>
      </c>
      <c r="B4804" t="s">
        <v>15952</v>
      </c>
      <c r="C4804">
        <v>100000</v>
      </c>
      <c r="D4804">
        <v>0</v>
      </c>
      <c r="E4804" t="s">
        <v>16642</v>
      </c>
      <c r="F4804" s="82">
        <v>44789</v>
      </c>
    </row>
    <row r="4805" spans="1:6">
      <c r="A4805">
        <v>4804</v>
      </c>
      <c r="B4805" t="s">
        <v>15956</v>
      </c>
      <c r="C4805">
        <v>250</v>
      </c>
      <c r="D4805">
        <v>750</v>
      </c>
      <c r="E4805">
        <v>50</v>
      </c>
      <c r="F4805" s="60">
        <v>44913</v>
      </c>
    </row>
    <row r="4806" spans="1:6">
      <c r="A4806">
        <v>4805</v>
      </c>
      <c r="B4806" t="s">
        <v>15959</v>
      </c>
      <c r="C4806">
        <v>100000</v>
      </c>
      <c r="D4806">
        <v>0</v>
      </c>
      <c r="E4806" t="s">
        <v>16642</v>
      </c>
      <c r="F4806" s="76">
        <v>44923</v>
      </c>
    </row>
    <row r="4807" spans="1:6">
      <c r="A4807">
        <v>4806</v>
      </c>
      <c r="B4807" t="s">
        <v>15964</v>
      </c>
      <c r="C4807">
        <v>2000</v>
      </c>
      <c r="D4807">
        <v>0</v>
      </c>
      <c r="E4807">
        <v>100</v>
      </c>
      <c r="F4807" s="61">
        <v>44910</v>
      </c>
    </row>
    <row r="4808" spans="1:6">
      <c r="A4808">
        <v>4807</v>
      </c>
      <c r="B4808" t="s">
        <v>15968</v>
      </c>
      <c r="C4808">
        <v>250</v>
      </c>
      <c r="D4808">
        <v>750</v>
      </c>
      <c r="E4808">
        <v>50</v>
      </c>
      <c r="F4808" s="61">
        <v>44867</v>
      </c>
    </row>
    <row r="4809" spans="1:6">
      <c r="A4809">
        <v>4808</v>
      </c>
      <c r="B4809" t="s">
        <v>15971</v>
      </c>
      <c r="C4809">
        <v>250</v>
      </c>
      <c r="D4809">
        <v>750</v>
      </c>
      <c r="E4809">
        <v>50</v>
      </c>
      <c r="F4809" s="61">
        <v>44853</v>
      </c>
    </row>
    <row r="4810" spans="1:6">
      <c r="A4810">
        <v>4809</v>
      </c>
      <c r="B4810" t="s">
        <v>15974</v>
      </c>
      <c r="C4810">
        <v>1000</v>
      </c>
      <c r="D4810">
        <v>0</v>
      </c>
      <c r="E4810">
        <v>50</v>
      </c>
      <c r="F4810" s="79">
        <v>44908</v>
      </c>
    </row>
    <row r="4811" spans="1:6">
      <c r="A4811">
        <v>4810</v>
      </c>
      <c r="B4811" t="s">
        <v>15977</v>
      </c>
      <c r="C4811">
        <v>250</v>
      </c>
      <c r="D4811">
        <v>750</v>
      </c>
      <c r="E4811">
        <v>50</v>
      </c>
      <c r="F4811" s="61">
        <v>44860</v>
      </c>
    </row>
    <row r="4812" spans="1:6">
      <c r="A4812">
        <v>4811</v>
      </c>
      <c r="B4812" t="s">
        <v>15980</v>
      </c>
      <c r="C4812">
        <v>250</v>
      </c>
      <c r="D4812">
        <v>750</v>
      </c>
      <c r="E4812">
        <v>50</v>
      </c>
      <c r="F4812" s="60">
        <v>44854</v>
      </c>
    </row>
    <row r="4813" spans="1:6">
      <c r="A4813">
        <v>4812</v>
      </c>
      <c r="B4813" t="s">
        <v>15983</v>
      </c>
      <c r="C4813">
        <v>2500</v>
      </c>
      <c r="D4813">
        <v>0</v>
      </c>
      <c r="E4813">
        <v>125</v>
      </c>
      <c r="F4813" s="77">
        <v>44659</v>
      </c>
    </row>
    <row r="4814" spans="1:6">
      <c r="A4814">
        <v>4813</v>
      </c>
      <c r="B4814" t="s">
        <v>15986</v>
      </c>
      <c r="C4814">
        <v>3000</v>
      </c>
      <c r="D4814">
        <v>0</v>
      </c>
      <c r="E4814">
        <v>150</v>
      </c>
      <c r="F4814" s="74">
        <v>44972</v>
      </c>
    </row>
    <row r="4815" spans="1:6">
      <c r="A4815">
        <v>4814</v>
      </c>
      <c r="B4815" t="s">
        <v>15989</v>
      </c>
      <c r="C4815">
        <v>3000</v>
      </c>
      <c r="D4815">
        <v>0</v>
      </c>
      <c r="E4815">
        <v>150</v>
      </c>
      <c r="F4815" s="67">
        <v>44973</v>
      </c>
    </row>
    <row r="4816" spans="1:6">
      <c r="A4816">
        <v>4815</v>
      </c>
      <c r="B4816" t="s">
        <v>15992</v>
      </c>
      <c r="C4816">
        <v>250</v>
      </c>
      <c r="D4816">
        <v>750</v>
      </c>
      <c r="E4816">
        <v>50</v>
      </c>
      <c r="F4816" s="60">
        <v>44858</v>
      </c>
    </row>
    <row r="4817" spans="1:6">
      <c r="A4817">
        <v>4816</v>
      </c>
      <c r="B4817" t="s">
        <v>15995</v>
      </c>
      <c r="C4817">
        <v>250</v>
      </c>
      <c r="D4817">
        <v>750</v>
      </c>
      <c r="E4817">
        <v>50</v>
      </c>
      <c r="F4817" s="61">
        <v>44907</v>
      </c>
    </row>
    <row r="4818" spans="1:6">
      <c r="A4818">
        <v>4817</v>
      </c>
      <c r="B4818" t="s">
        <v>15998</v>
      </c>
      <c r="C4818">
        <v>1000</v>
      </c>
      <c r="D4818">
        <v>0</v>
      </c>
      <c r="E4818">
        <v>50</v>
      </c>
      <c r="F4818" s="67">
        <v>44515</v>
      </c>
    </row>
    <row r="4819" spans="1:6">
      <c r="A4819">
        <v>4818</v>
      </c>
      <c r="B4819" t="s">
        <v>16001</v>
      </c>
      <c r="C4819">
        <v>250</v>
      </c>
      <c r="D4819">
        <v>750</v>
      </c>
      <c r="E4819">
        <v>50</v>
      </c>
      <c r="F4819" s="60">
        <v>44919</v>
      </c>
    </row>
    <row r="4820" spans="1:6">
      <c r="A4820">
        <v>4819</v>
      </c>
      <c r="B4820" t="s">
        <v>16005</v>
      </c>
      <c r="C4820">
        <v>4500</v>
      </c>
      <c r="D4820">
        <v>5500</v>
      </c>
      <c r="E4820">
        <v>500</v>
      </c>
      <c r="F4820" s="77">
        <v>44880</v>
      </c>
    </row>
    <row r="4821" spans="1:6">
      <c r="A4821">
        <v>4820</v>
      </c>
      <c r="B4821" t="s">
        <v>16008</v>
      </c>
      <c r="C4821">
        <v>250</v>
      </c>
      <c r="D4821">
        <v>750</v>
      </c>
      <c r="E4821">
        <v>50</v>
      </c>
      <c r="F4821" s="100" t="s">
        <v>16669</v>
      </c>
    </row>
    <row r="4822" spans="1:6">
      <c r="A4822">
        <v>4821</v>
      </c>
      <c r="B4822" t="s">
        <v>16011</v>
      </c>
      <c r="C4822">
        <v>200000</v>
      </c>
      <c r="D4822">
        <v>0</v>
      </c>
      <c r="E4822" t="s">
        <v>16642</v>
      </c>
      <c r="F4822" s="66"/>
    </row>
    <row r="4823" spans="1:6">
      <c r="A4823">
        <v>4822</v>
      </c>
      <c r="B4823" t="s">
        <v>16016</v>
      </c>
      <c r="C4823">
        <v>250</v>
      </c>
      <c r="D4823">
        <v>750</v>
      </c>
      <c r="E4823">
        <v>50</v>
      </c>
      <c r="F4823" s="60">
        <v>44854</v>
      </c>
    </row>
    <row r="4824" spans="1:6">
      <c r="A4824">
        <v>4823</v>
      </c>
      <c r="B4824" t="s">
        <v>16019</v>
      </c>
      <c r="C4824">
        <v>250</v>
      </c>
      <c r="D4824">
        <v>750</v>
      </c>
      <c r="E4824">
        <v>50</v>
      </c>
      <c r="F4824" s="60">
        <v>44868</v>
      </c>
    </row>
    <row r="4825" spans="1:6">
      <c r="A4825">
        <v>4824</v>
      </c>
      <c r="B4825" t="s">
        <v>16022</v>
      </c>
      <c r="C4825">
        <v>3000</v>
      </c>
      <c r="D4825">
        <v>0</v>
      </c>
      <c r="E4825">
        <v>150</v>
      </c>
      <c r="F4825" s="64" t="s">
        <v>16888</v>
      </c>
    </row>
    <row r="4826" spans="1:6">
      <c r="A4826">
        <v>4825</v>
      </c>
      <c r="B4826" t="s">
        <v>16026</v>
      </c>
      <c r="C4826">
        <v>1000</v>
      </c>
      <c r="D4826">
        <v>0</v>
      </c>
      <c r="E4826">
        <v>50</v>
      </c>
      <c r="F4826" s="77">
        <v>44900</v>
      </c>
    </row>
    <row r="4827" spans="1:6">
      <c r="A4827">
        <v>4826</v>
      </c>
      <c r="B4827" t="s">
        <v>16029</v>
      </c>
      <c r="C4827">
        <v>20000</v>
      </c>
      <c r="D4827">
        <v>0</v>
      </c>
      <c r="E4827">
        <v>1000</v>
      </c>
      <c r="F4827" s="77">
        <v>44768</v>
      </c>
    </row>
    <row r="4828" spans="1:6">
      <c r="A4828">
        <v>4827</v>
      </c>
      <c r="B4828" t="s">
        <v>16033</v>
      </c>
      <c r="C4828">
        <v>250</v>
      </c>
      <c r="D4828">
        <v>750</v>
      </c>
      <c r="E4828">
        <v>50</v>
      </c>
      <c r="F4828" s="61">
        <v>44925</v>
      </c>
    </row>
    <row r="4829" spans="1:6">
      <c r="A4829">
        <v>4828</v>
      </c>
      <c r="B4829" t="s">
        <v>16036</v>
      </c>
      <c r="C4829">
        <v>250</v>
      </c>
      <c r="D4829">
        <v>750</v>
      </c>
      <c r="E4829">
        <v>50</v>
      </c>
      <c r="F4829" s="61">
        <v>44881</v>
      </c>
    </row>
    <row r="4830" spans="1:6">
      <c r="A4830">
        <v>4829</v>
      </c>
      <c r="B4830" t="s">
        <v>16039</v>
      </c>
      <c r="C4830">
        <v>250</v>
      </c>
      <c r="D4830">
        <v>750</v>
      </c>
      <c r="E4830">
        <v>50</v>
      </c>
      <c r="F4830" s="75">
        <v>44914</v>
      </c>
    </row>
    <row r="4831" spans="1:6">
      <c r="A4831">
        <v>4830</v>
      </c>
      <c r="B4831" t="s">
        <v>16043</v>
      </c>
      <c r="C4831">
        <v>250</v>
      </c>
      <c r="D4831">
        <v>750</v>
      </c>
      <c r="E4831">
        <v>50</v>
      </c>
      <c r="F4831" s="61">
        <v>44880</v>
      </c>
    </row>
    <row r="4832" spans="1:6">
      <c r="A4832">
        <v>4831</v>
      </c>
      <c r="B4832" t="s">
        <v>16046</v>
      </c>
      <c r="C4832">
        <v>250</v>
      </c>
      <c r="D4832">
        <v>750</v>
      </c>
      <c r="E4832">
        <v>50</v>
      </c>
      <c r="F4832" s="71">
        <v>44872</v>
      </c>
    </row>
    <row r="4833" spans="1:6">
      <c r="A4833">
        <v>4832</v>
      </c>
      <c r="B4833" t="s">
        <v>16049</v>
      </c>
      <c r="C4833">
        <v>1000</v>
      </c>
      <c r="D4833">
        <v>0</v>
      </c>
      <c r="E4833">
        <v>50</v>
      </c>
      <c r="F4833" s="61">
        <v>44874</v>
      </c>
    </row>
    <row r="4834" spans="1:6">
      <c r="A4834">
        <v>4833</v>
      </c>
      <c r="B4834" t="s">
        <v>16052</v>
      </c>
      <c r="C4834">
        <v>250</v>
      </c>
      <c r="D4834">
        <v>750</v>
      </c>
      <c r="E4834">
        <v>50</v>
      </c>
      <c r="F4834" s="69">
        <v>44947</v>
      </c>
    </row>
    <row r="4835" spans="1:6">
      <c r="A4835">
        <v>4834</v>
      </c>
      <c r="B4835" t="s">
        <v>16055</v>
      </c>
      <c r="C4835">
        <v>250</v>
      </c>
      <c r="D4835">
        <v>750</v>
      </c>
      <c r="E4835">
        <v>50</v>
      </c>
      <c r="F4835" s="61">
        <v>44932</v>
      </c>
    </row>
    <row r="4836" spans="1:6">
      <c r="A4836">
        <v>4835</v>
      </c>
      <c r="B4836" t="s">
        <v>16058</v>
      </c>
      <c r="C4836">
        <v>2000</v>
      </c>
      <c r="D4836">
        <v>0</v>
      </c>
      <c r="E4836">
        <v>100</v>
      </c>
      <c r="F4836" s="67">
        <v>45050</v>
      </c>
    </row>
    <row r="4837" spans="1:6">
      <c r="A4837">
        <v>4836</v>
      </c>
      <c r="B4837" t="s">
        <v>16061</v>
      </c>
      <c r="C4837">
        <v>100000</v>
      </c>
      <c r="D4837">
        <v>0</v>
      </c>
      <c r="E4837" t="s">
        <v>16642</v>
      </c>
      <c r="F4837" s="76">
        <v>44959</v>
      </c>
    </row>
    <row r="4838" spans="1:6">
      <c r="A4838">
        <v>4837</v>
      </c>
      <c r="B4838" t="s">
        <v>16065</v>
      </c>
      <c r="C4838">
        <v>1000</v>
      </c>
      <c r="D4838">
        <v>0</v>
      </c>
      <c r="E4838">
        <v>50</v>
      </c>
      <c r="F4838" s="65">
        <v>44712</v>
      </c>
    </row>
    <row r="4839" spans="1:6">
      <c r="A4839">
        <v>4838</v>
      </c>
      <c r="B4839" t="s">
        <v>16069</v>
      </c>
      <c r="C4839">
        <v>11000</v>
      </c>
      <c r="D4839">
        <v>30000</v>
      </c>
      <c r="E4839">
        <v>50</v>
      </c>
      <c r="F4839" s="65">
        <v>44728</v>
      </c>
    </row>
    <row r="4840" spans="1:6">
      <c r="A4840">
        <v>4839</v>
      </c>
      <c r="B4840" t="s">
        <v>16073</v>
      </c>
      <c r="C4840">
        <v>250</v>
      </c>
      <c r="D4840">
        <v>750</v>
      </c>
      <c r="E4840">
        <v>50</v>
      </c>
      <c r="F4840" s="61">
        <v>44858</v>
      </c>
    </row>
    <row r="4841" spans="1:6">
      <c r="A4841">
        <v>4840</v>
      </c>
      <c r="B4841" t="s">
        <v>16076</v>
      </c>
      <c r="C4841">
        <v>1000</v>
      </c>
      <c r="D4841">
        <v>0</v>
      </c>
      <c r="E4841">
        <v>50</v>
      </c>
      <c r="F4841" s="60">
        <v>44870</v>
      </c>
    </row>
    <row r="4842" spans="1:6">
      <c r="A4842">
        <v>4841</v>
      </c>
      <c r="B4842" t="s">
        <v>16079</v>
      </c>
      <c r="C4842">
        <v>250</v>
      </c>
      <c r="D4842">
        <v>750</v>
      </c>
      <c r="E4842">
        <v>50</v>
      </c>
      <c r="F4842" s="61">
        <v>45055</v>
      </c>
    </row>
    <row r="4843" spans="1:6">
      <c r="A4843">
        <v>4842</v>
      </c>
      <c r="B4843" t="s">
        <v>16082</v>
      </c>
      <c r="C4843">
        <v>250</v>
      </c>
      <c r="D4843">
        <v>750</v>
      </c>
      <c r="E4843">
        <v>50</v>
      </c>
      <c r="F4843" s="60">
        <v>44873</v>
      </c>
    </row>
    <row r="4844" spans="1:6">
      <c r="A4844">
        <v>4843</v>
      </c>
      <c r="B4844" t="s">
        <v>16086</v>
      </c>
      <c r="C4844">
        <v>250</v>
      </c>
      <c r="D4844">
        <v>750</v>
      </c>
      <c r="E4844">
        <v>50</v>
      </c>
      <c r="F4844" s="61">
        <v>44909</v>
      </c>
    </row>
    <row r="4845" spans="1:6">
      <c r="A4845">
        <v>4844</v>
      </c>
      <c r="B4845" t="s">
        <v>16090</v>
      </c>
      <c r="C4845">
        <v>250</v>
      </c>
      <c r="D4845">
        <v>750</v>
      </c>
      <c r="E4845">
        <v>50</v>
      </c>
      <c r="F4845" s="61">
        <v>44844</v>
      </c>
    </row>
    <row r="4846" spans="1:6">
      <c r="A4846">
        <v>4845</v>
      </c>
      <c r="B4846" t="s">
        <v>16093</v>
      </c>
      <c r="C4846">
        <v>5000</v>
      </c>
      <c r="D4846">
        <v>0</v>
      </c>
      <c r="E4846">
        <v>250</v>
      </c>
      <c r="F4846" s="67" t="s">
        <v>16825</v>
      </c>
    </row>
    <row r="4847" spans="1:6">
      <c r="A4847">
        <v>4846</v>
      </c>
      <c r="B4847" t="s">
        <v>16096</v>
      </c>
      <c r="C4847">
        <v>250</v>
      </c>
      <c r="D4847">
        <v>750</v>
      </c>
      <c r="E4847">
        <v>50</v>
      </c>
      <c r="F4847" s="99">
        <v>44563</v>
      </c>
    </row>
    <row r="4848" spans="1:6">
      <c r="A4848">
        <v>4847</v>
      </c>
      <c r="B4848" t="s">
        <v>16099</v>
      </c>
      <c r="C4848">
        <v>1000</v>
      </c>
      <c r="D4848">
        <v>1000</v>
      </c>
      <c r="E4848">
        <v>100</v>
      </c>
      <c r="F4848" s="67">
        <v>45062</v>
      </c>
    </row>
    <row r="4849" spans="1:6">
      <c r="A4849">
        <v>4848</v>
      </c>
      <c r="B4849" t="s">
        <v>16102</v>
      </c>
      <c r="C4849">
        <v>10000</v>
      </c>
      <c r="D4849">
        <v>30000</v>
      </c>
      <c r="E4849">
        <v>2000</v>
      </c>
      <c r="F4849" s="65">
        <v>44695</v>
      </c>
    </row>
    <row r="4850" ht="15" spans="1:6">
      <c r="A4850">
        <v>4849</v>
      </c>
      <c r="B4850" t="s">
        <v>16106</v>
      </c>
      <c r="C4850">
        <v>1500000</v>
      </c>
      <c r="D4850">
        <v>0</v>
      </c>
      <c r="E4850" t="s">
        <v>16642</v>
      </c>
      <c r="F4850" s="81">
        <f>IFERROR(__xludf.DUMMYFUNCTION("""COMPUTED_VALUE"""),45082)</f>
        <v>45082</v>
      </c>
    </row>
    <row r="4851" spans="1:6">
      <c r="A4851">
        <v>4850</v>
      </c>
      <c r="B4851" t="s">
        <v>16107</v>
      </c>
      <c r="C4851">
        <v>250</v>
      </c>
      <c r="D4851">
        <v>750</v>
      </c>
      <c r="E4851">
        <v>50</v>
      </c>
      <c r="F4851" s="73">
        <v>44980</v>
      </c>
    </row>
    <row r="4852" spans="1:6">
      <c r="A4852">
        <v>4851</v>
      </c>
      <c r="B4852" t="s">
        <v>16111</v>
      </c>
      <c r="C4852">
        <v>300</v>
      </c>
      <c r="D4852">
        <v>700</v>
      </c>
      <c r="E4852">
        <v>50</v>
      </c>
      <c r="F4852" s="146">
        <v>44784</v>
      </c>
    </row>
    <row r="4853" spans="1:6">
      <c r="A4853">
        <v>4852</v>
      </c>
      <c r="B4853" t="s">
        <v>16114</v>
      </c>
      <c r="C4853">
        <v>250</v>
      </c>
      <c r="D4853">
        <v>750</v>
      </c>
      <c r="E4853">
        <v>50</v>
      </c>
      <c r="F4853" s="73">
        <v>44883</v>
      </c>
    </row>
    <row r="4854" spans="1:6">
      <c r="A4854">
        <v>4853</v>
      </c>
      <c r="B4854" t="s">
        <v>16117</v>
      </c>
      <c r="C4854">
        <v>250</v>
      </c>
      <c r="D4854">
        <v>750</v>
      </c>
      <c r="E4854">
        <v>50</v>
      </c>
      <c r="F4854" s="71">
        <v>44881</v>
      </c>
    </row>
    <row r="4855" spans="1:6">
      <c r="A4855">
        <v>4854</v>
      </c>
      <c r="B4855" t="s">
        <v>16120</v>
      </c>
      <c r="C4855">
        <v>1000</v>
      </c>
      <c r="D4855">
        <v>0</v>
      </c>
      <c r="E4855">
        <v>50</v>
      </c>
      <c r="F4855" s="69">
        <v>44963</v>
      </c>
    </row>
    <row r="4856" spans="1:6">
      <c r="A4856">
        <v>4855</v>
      </c>
      <c r="B4856" t="s">
        <v>16124</v>
      </c>
      <c r="C4856">
        <v>250</v>
      </c>
      <c r="D4856">
        <v>750</v>
      </c>
      <c r="E4856">
        <v>50</v>
      </c>
      <c r="F4856" s="61">
        <v>44881</v>
      </c>
    </row>
    <row r="4857" spans="1:6">
      <c r="A4857">
        <v>4856</v>
      </c>
      <c r="B4857" t="s">
        <v>16127</v>
      </c>
      <c r="C4857">
        <v>5000</v>
      </c>
      <c r="D4857">
        <v>0</v>
      </c>
      <c r="E4857">
        <v>250</v>
      </c>
      <c r="F4857" s="67">
        <v>44974</v>
      </c>
    </row>
    <row r="4858" spans="1:6">
      <c r="A4858">
        <v>4857</v>
      </c>
      <c r="B4858" t="s">
        <v>16130</v>
      </c>
      <c r="C4858">
        <v>250</v>
      </c>
      <c r="D4858">
        <v>750</v>
      </c>
      <c r="E4858">
        <v>50</v>
      </c>
      <c r="F4858" s="61">
        <v>44985</v>
      </c>
    </row>
    <row r="4859" spans="1:6">
      <c r="A4859">
        <v>4858</v>
      </c>
      <c r="B4859" t="s">
        <v>16133</v>
      </c>
      <c r="C4859">
        <v>250</v>
      </c>
      <c r="D4859">
        <v>750</v>
      </c>
      <c r="E4859">
        <v>50</v>
      </c>
      <c r="F4859" s="61">
        <v>44877</v>
      </c>
    </row>
    <row r="4860" spans="1:6">
      <c r="A4860">
        <v>4859</v>
      </c>
      <c r="B4860" t="s">
        <v>16136</v>
      </c>
      <c r="C4860">
        <v>250</v>
      </c>
      <c r="D4860">
        <v>750</v>
      </c>
      <c r="E4860">
        <v>50</v>
      </c>
      <c r="F4860" s="70">
        <v>44900</v>
      </c>
    </row>
    <row r="4861" spans="1:6">
      <c r="A4861">
        <v>4860</v>
      </c>
      <c r="B4861" t="s">
        <v>16139</v>
      </c>
      <c r="C4861">
        <v>7500</v>
      </c>
      <c r="D4861">
        <v>22500</v>
      </c>
      <c r="E4861">
        <v>1500</v>
      </c>
      <c r="F4861" s="109">
        <v>45010</v>
      </c>
    </row>
    <row r="4862" ht="15" spans="1:6">
      <c r="A4862">
        <v>4861</v>
      </c>
      <c r="B4862" t="s">
        <v>16142</v>
      </c>
      <c r="C4862">
        <v>1000000</v>
      </c>
      <c r="D4862">
        <v>500000</v>
      </c>
      <c r="E4862" t="s">
        <v>16642</v>
      </c>
      <c r="F4862" s="88">
        <f>IFERROR(__xludf.DUMMYFUNCTION("""COMPUTED_VALUE"""),45084)</f>
        <v>45084</v>
      </c>
    </row>
    <row r="4863" spans="1:6">
      <c r="A4863">
        <v>4862</v>
      </c>
      <c r="B4863" t="s">
        <v>16143</v>
      </c>
      <c r="C4863">
        <v>250</v>
      </c>
      <c r="D4863">
        <v>750</v>
      </c>
      <c r="E4863">
        <v>50</v>
      </c>
      <c r="F4863" s="60">
        <v>44926</v>
      </c>
    </row>
    <row r="4864" spans="1:6">
      <c r="A4864">
        <v>4863</v>
      </c>
      <c r="B4864" t="s">
        <v>16146</v>
      </c>
      <c r="C4864">
        <v>7500</v>
      </c>
      <c r="D4864">
        <v>22500</v>
      </c>
      <c r="E4864">
        <v>1500</v>
      </c>
      <c r="F4864" s="67">
        <v>45040</v>
      </c>
    </row>
    <row r="4865" spans="1:6">
      <c r="A4865">
        <v>4864</v>
      </c>
      <c r="B4865" t="s">
        <v>16149</v>
      </c>
      <c r="C4865">
        <v>250</v>
      </c>
      <c r="D4865">
        <v>750</v>
      </c>
      <c r="E4865">
        <v>50</v>
      </c>
      <c r="F4865" s="133">
        <v>44930</v>
      </c>
    </row>
    <row r="4866" spans="1:6">
      <c r="A4866">
        <v>4865</v>
      </c>
      <c r="B4866" t="s">
        <v>16152</v>
      </c>
      <c r="C4866">
        <v>250</v>
      </c>
      <c r="D4866">
        <v>750</v>
      </c>
      <c r="E4866">
        <v>50</v>
      </c>
      <c r="F4866" s="138">
        <v>44875</v>
      </c>
    </row>
    <row r="4867" spans="1:6">
      <c r="A4867">
        <v>4866</v>
      </c>
      <c r="B4867" t="s">
        <v>16155</v>
      </c>
      <c r="C4867">
        <v>250</v>
      </c>
      <c r="D4867">
        <v>750</v>
      </c>
      <c r="E4867">
        <v>50</v>
      </c>
      <c r="F4867" s="60">
        <v>44807</v>
      </c>
    </row>
    <row r="4868" spans="1:6">
      <c r="A4868">
        <v>4867</v>
      </c>
      <c r="B4868" t="s">
        <v>16158</v>
      </c>
      <c r="C4868">
        <v>250</v>
      </c>
      <c r="D4868">
        <v>750</v>
      </c>
      <c r="E4868">
        <v>50</v>
      </c>
      <c r="F4868" s="60">
        <v>44886</v>
      </c>
    </row>
    <row r="4869" ht="15" spans="1:6">
      <c r="A4869">
        <v>4868</v>
      </c>
      <c r="B4869" t="s">
        <v>16161</v>
      </c>
      <c r="C4869">
        <v>3500000</v>
      </c>
      <c r="D4869">
        <v>0</v>
      </c>
      <c r="E4869" t="s">
        <v>16642</v>
      </c>
      <c r="F4869" s="92">
        <v>45125</v>
      </c>
    </row>
    <row r="4870" spans="1:6">
      <c r="A4870">
        <v>4869</v>
      </c>
      <c r="B4870" t="s">
        <v>16165</v>
      </c>
      <c r="C4870">
        <v>250</v>
      </c>
      <c r="D4870">
        <v>750</v>
      </c>
      <c r="E4870">
        <v>50</v>
      </c>
      <c r="F4870" s="60">
        <v>44897</v>
      </c>
    </row>
    <row r="4871" spans="1:6">
      <c r="A4871">
        <v>4870</v>
      </c>
      <c r="B4871" t="s">
        <v>16169</v>
      </c>
      <c r="C4871">
        <v>100000</v>
      </c>
      <c r="D4871">
        <v>0</v>
      </c>
      <c r="E4871" t="s">
        <v>16642</v>
      </c>
      <c r="F4871" s="100"/>
    </row>
    <row r="4872" spans="1:6">
      <c r="A4872">
        <v>4871</v>
      </c>
      <c r="B4872" t="s">
        <v>16174</v>
      </c>
      <c r="C4872">
        <v>250</v>
      </c>
      <c r="D4872">
        <v>750</v>
      </c>
      <c r="E4872">
        <v>50</v>
      </c>
      <c r="F4872" s="60">
        <v>44946</v>
      </c>
    </row>
    <row r="4873" ht="15" spans="1:6">
      <c r="A4873">
        <v>4872</v>
      </c>
      <c r="B4873" t="s">
        <v>16177</v>
      </c>
      <c r="C4873">
        <v>1000000</v>
      </c>
      <c r="D4873">
        <v>500000</v>
      </c>
      <c r="E4873" t="s">
        <v>16642</v>
      </c>
      <c r="F4873" s="81">
        <f>IFERROR(__xludf.DUMMYFUNCTION("""COMPUTED_VALUE"""),45082)</f>
        <v>45082</v>
      </c>
    </row>
    <row r="4874" spans="1:6">
      <c r="A4874">
        <v>4873</v>
      </c>
      <c r="B4874" t="s">
        <v>16178</v>
      </c>
      <c r="C4874">
        <v>250</v>
      </c>
      <c r="D4874">
        <v>750</v>
      </c>
      <c r="E4874">
        <v>50</v>
      </c>
      <c r="F4874" s="61">
        <v>44807</v>
      </c>
    </row>
    <row r="4875" spans="1:6">
      <c r="A4875">
        <v>4874</v>
      </c>
      <c r="B4875" t="s">
        <v>16181</v>
      </c>
      <c r="C4875">
        <v>1500000</v>
      </c>
      <c r="D4875">
        <v>0</v>
      </c>
      <c r="E4875" t="s">
        <v>16642</v>
      </c>
      <c r="F4875" s="80">
        <f>IFERROR(__xludf.DUMMYFUNCTION("""COMPUTED_VALUE"""),45080)</f>
        <v>45080</v>
      </c>
    </row>
    <row r="4876" spans="1:6">
      <c r="A4876">
        <v>4875</v>
      </c>
      <c r="B4876" t="s">
        <v>16182</v>
      </c>
      <c r="C4876">
        <v>100000</v>
      </c>
      <c r="D4876">
        <v>0</v>
      </c>
      <c r="E4876" t="s">
        <v>16642</v>
      </c>
      <c r="F4876" s="76">
        <v>44841</v>
      </c>
    </row>
    <row r="4877" spans="1:6">
      <c r="A4877">
        <v>4876</v>
      </c>
      <c r="B4877" t="s">
        <v>16187</v>
      </c>
      <c r="C4877">
        <v>1000</v>
      </c>
      <c r="D4877">
        <v>0</v>
      </c>
      <c r="E4877">
        <v>50</v>
      </c>
      <c r="F4877" s="67">
        <v>44961</v>
      </c>
    </row>
    <row r="4878" spans="1:6">
      <c r="A4878">
        <v>4877</v>
      </c>
      <c r="B4878" t="s">
        <v>16190</v>
      </c>
      <c r="C4878">
        <v>250</v>
      </c>
      <c r="D4878">
        <v>750</v>
      </c>
      <c r="E4878">
        <v>50</v>
      </c>
      <c r="F4878" s="73">
        <v>45017</v>
      </c>
    </row>
    <row r="4879" spans="1:6">
      <c r="A4879">
        <v>4878</v>
      </c>
      <c r="B4879" t="s">
        <v>16194</v>
      </c>
      <c r="C4879">
        <v>100000</v>
      </c>
      <c r="D4879">
        <v>0</v>
      </c>
      <c r="E4879" t="s">
        <v>16642</v>
      </c>
      <c r="F4879" s="100"/>
    </row>
    <row r="4880" spans="1:6">
      <c r="A4880">
        <v>4879</v>
      </c>
      <c r="B4880" t="s">
        <v>16199</v>
      </c>
      <c r="C4880">
        <v>10000</v>
      </c>
      <c r="D4880">
        <v>0</v>
      </c>
      <c r="E4880">
        <v>500</v>
      </c>
      <c r="F4880" s="77">
        <v>44917</v>
      </c>
    </row>
    <row r="4881" spans="1:6">
      <c r="A4881">
        <v>4880</v>
      </c>
      <c r="B4881" t="s">
        <v>16202</v>
      </c>
      <c r="C4881">
        <v>10000</v>
      </c>
      <c r="D4881">
        <v>0</v>
      </c>
      <c r="E4881">
        <v>500</v>
      </c>
      <c r="F4881" s="77">
        <v>44879</v>
      </c>
    </row>
    <row r="4882" spans="1:6">
      <c r="A4882">
        <v>4881</v>
      </c>
      <c r="B4882" t="s">
        <v>16205</v>
      </c>
      <c r="C4882">
        <v>250</v>
      </c>
      <c r="D4882">
        <v>750</v>
      </c>
      <c r="E4882">
        <v>50</v>
      </c>
      <c r="F4882" s="77">
        <v>44793</v>
      </c>
    </row>
    <row r="4883" spans="1:6">
      <c r="A4883">
        <v>4882</v>
      </c>
      <c r="B4883" t="s">
        <v>16208</v>
      </c>
      <c r="C4883">
        <v>100000</v>
      </c>
      <c r="D4883">
        <v>0</v>
      </c>
      <c r="E4883" t="s">
        <v>16642</v>
      </c>
      <c r="F4883" s="76">
        <v>45063</v>
      </c>
    </row>
    <row r="4884" spans="1:6">
      <c r="A4884">
        <v>4883</v>
      </c>
      <c r="B4884" t="s">
        <v>16211</v>
      </c>
      <c r="C4884">
        <v>2500</v>
      </c>
      <c r="D4884">
        <v>7500</v>
      </c>
      <c r="E4884">
        <v>500</v>
      </c>
      <c r="F4884" s="64" t="s">
        <v>16824</v>
      </c>
    </row>
    <row r="4885" spans="1:6">
      <c r="A4885">
        <v>4884</v>
      </c>
      <c r="B4885" t="s">
        <v>16215</v>
      </c>
      <c r="C4885">
        <v>30000</v>
      </c>
      <c r="D4885">
        <v>0</v>
      </c>
      <c r="E4885">
        <v>1500</v>
      </c>
      <c r="F4885" s="77">
        <v>44805</v>
      </c>
    </row>
    <row r="4886" spans="1:6">
      <c r="A4886">
        <v>4885</v>
      </c>
      <c r="B4886" t="s">
        <v>16218</v>
      </c>
      <c r="C4886">
        <v>25000</v>
      </c>
      <c r="D4886">
        <v>15000</v>
      </c>
      <c r="E4886">
        <v>2000</v>
      </c>
      <c r="F4886" s="64" t="s">
        <v>16853</v>
      </c>
    </row>
    <row r="4887" spans="1:6">
      <c r="A4887">
        <v>4886</v>
      </c>
      <c r="B4887" t="s">
        <v>16222</v>
      </c>
      <c r="C4887">
        <v>100000</v>
      </c>
      <c r="D4887">
        <v>0</v>
      </c>
      <c r="E4887" t="s">
        <v>16642</v>
      </c>
      <c r="F4887" s="100"/>
    </row>
    <row r="4888" spans="1:6">
      <c r="A4888">
        <v>4887</v>
      </c>
      <c r="B4888" t="s">
        <v>16227</v>
      </c>
      <c r="C4888">
        <v>250</v>
      </c>
      <c r="D4888">
        <v>750</v>
      </c>
      <c r="E4888">
        <v>50</v>
      </c>
      <c r="F4888" s="60">
        <v>44931</v>
      </c>
    </row>
    <row r="4889" spans="1:6">
      <c r="A4889">
        <v>4888</v>
      </c>
      <c r="B4889" t="s">
        <v>16230</v>
      </c>
      <c r="C4889">
        <v>10000</v>
      </c>
      <c r="D4889">
        <v>0</v>
      </c>
      <c r="E4889">
        <v>500</v>
      </c>
      <c r="F4889" s="77">
        <v>44775</v>
      </c>
    </row>
    <row r="4890" spans="1:6">
      <c r="A4890">
        <v>4889</v>
      </c>
      <c r="B4890" t="s">
        <v>16233</v>
      </c>
      <c r="C4890">
        <v>250</v>
      </c>
      <c r="D4890">
        <v>750</v>
      </c>
      <c r="E4890">
        <v>50</v>
      </c>
      <c r="F4890" s="70">
        <v>44901</v>
      </c>
    </row>
    <row r="4891" spans="1:6">
      <c r="A4891">
        <v>4890</v>
      </c>
      <c r="B4891" t="s">
        <v>16237</v>
      </c>
      <c r="C4891">
        <v>250</v>
      </c>
      <c r="D4891">
        <v>750</v>
      </c>
      <c r="E4891">
        <v>50</v>
      </c>
      <c r="F4891" s="70">
        <v>44883</v>
      </c>
    </row>
    <row r="4892" spans="1:6">
      <c r="A4892">
        <v>4891</v>
      </c>
      <c r="B4892" t="s">
        <v>16241</v>
      </c>
      <c r="C4892">
        <v>250</v>
      </c>
      <c r="D4892">
        <v>750</v>
      </c>
      <c r="E4892">
        <v>50</v>
      </c>
      <c r="F4892" s="87" t="s">
        <v>16667</v>
      </c>
    </row>
    <row r="4893" spans="1:6">
      <c r="A4893">
        <v>4892</v>
      </c>
      <c r="B4893" t="s">
        <v>16244</v>
      </c>
      <c r="C4893">
        <v>250</v>
      </c>
      <c r="D4893">
        <v>750</v>
      </c>
      <c r="E4893">
        <v>50</v>
      </c>
      <c r="F4893" s="61">
        <v>44961</v>
      </c>
    </row>
    <row r="4894" spans="1:6">
      <c r="A4894">
        <v>4893</v>
      </c>
      <c r="B4894" t="s">
        <v>16248</v>
      </c>
      <c r="C4894">
        <v>100000</v>
      </c>
      <c r="D4894">
        <v>0</v>
      </c>
      <c r="E4894" t="s">
        <v>16642</v>
      </c>
      <c r="F4894" s="76">
        <v>45042</v>
      </c>
    </row>
    <row r="4895" spans="1:6">
      <c r="A4895">
        <v>4894</v>
      </c>
      <c r="B4895" t="s">
        <v>16253</v>
      </c>
      <c r="C4895">
        <v>15500</v>
      </c>
      <c r="D4895">
        <v>37500</v>
      </c>
      <c r="E4895">
        <v>150</v>
      </c>
      <c r="F4895" s="64" t="s">
        <v>16889</v>
      </c>
    </row>
    <row r="4896" spans="1:6">
      <c r="A4896">
        <v>4895</v>
      </c>
      <c r="B4896" t="s">
        <v>16257</v>
      </c>
      <c r="C4896">
        <v>100000</v>
      </c>
      <c r="D4896">
        <v>0</v>
      </c>
      <c r="E4896" t="s">
        <v>16642</v>
      </c>
      <c r="F4896" s="96">
        <v>44817</v>
      </c>
    </row>
    <row r="4897" spans="1:6">
      <c r="A4897">
        <v>4896</v>
      </c>
      <c r="B4897" t="s">
        <v>16257</v>
      </c>
      <c r="C4897">
        <v>200000</v>
      </c>
      <c r="D4897">
        <v>0</v>
      </c>
      <c r="E4897" t="s">
        <v>16642</v>
      </c>
      <c r="F4897" s="8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07"/>
  <sheetViews>
    <sheetView topLeftCell="A10" workbookViewId="0">
      <selection activeCell="B24" sqref="B24"/>
    </sheetView>
  </sheetViews>
  <sheetFormatPr defaultColWidth="9" defaultRowHeight="15" outlineLevelCol="2"/>
  <cols>
    <col min="1" max="1" width="12.8190476190476" customWidth="1"/>
    <col min="2" max="2" width="34.4571428571429" customWidth="1"/>
    <col min="3" max="3" width="21.7238095238095" customWidth="1"/>
  </cols>
  <sheetData>
    <row r="1" ht="26.25" spans="1:3">
      <c r="A1" s="22" t="s">
        <v>16635</v>
      </c>
      <c r="B1" s="23" t="s">
        <v>16890</v>
      </c>
      <c r="C1" s="24" t="s">
        <v>16891</v>
      </c>
    </row>
    <row r="2" ht="21" spans="1:3">
      <c r="A2">
        <v>1</v>
      </c>
      <c r="B2" s="25" t="s">
        <v>16892</v>
      </c>
      <c r="C2" s="26"/>
    </row>
    <row r="3" ht="21" spans="1:3">
      <c r="A3">
        <v>2</v>
      </c>
      <c r="B3" s="27" t="s">
        <v>16892</v>
      </c>
      <c r="C3" s="26"/>
    </row>
    <row r="4" ht="21" spans="1:3">
      <c r="A4">
        <v>3</v>
      </c>
      <c r="B4" s="25" t="s">
        <v>16892</v>
      </c>
      <c r="C4" s="26"/>
    </row>
    <row r="5" ht="21" spans="1:3">
      <c r="A5">
        <v>4</v>
      </c>
      <c r="B5" s="27" t="s">
        <v>16892</v>
      </c>
      <c r="C5" s="26"/>
    </row>
    <row r="6" ht="21" spans="1:3">
      <c r="A6">
        <v>5</v>
      </c>
      <c r="B6" s="25" t="s">
        <v>16892</v>
      </c>
      <c r="C6" s="26"/>
    </row>
    <row r="7" ht="21" spans="1:3">
      <c r="A7">
        <v>6</v>
      </c>
      <c r="B7" s="27" t="s">
        <v>16892</v>
      </c>
      <c r="C7" s="26"/>
    </row>
    <row r="8" ht="21" spans="1:3">
      <c r="A8">
        <v>7</v>
      </c>
      <c r="B8" s="27" t="s">
        <v>16892</v>
      </c>
      <c r="C8" s="26"/>
    </row>
    <row r="9" ht="21" spans="1:3">
      <c r="A9">
        <v>8</v>
      </c>
      <c r="B9" s="25" t="s">
        <v>16892</v>
      </c>
      <c r="C9" s="26"/>
    </row>
    <row r="10" ht="21" spans="1:3">
      <c r="A10">
        <v>9</v>
      </c>
      <c r="B10" s="27" t="s">
        <v>16892</v>
      </c>
      <c r="C10" s="26"/>
    </row>
    <row r="11" ht="21" spans="1:3">
      <c r="A11">
        <v>10</v>
      </c>
      <c r="B11" s="28" t="s">
        <v>16892</v>
      </c>
      <c r="C11" s="29"/>
    </row>
    <row r="12" ht="21" spans="1:3">
      <c r="A12">
        <v>11</v>
      </c>
      <c r="B12" s="28" t="s">
        <v>16892</v>
      </c>
      <c r="C12" s="29"/>
    </row>
    <row r="13" ht="21" spans="1:3">
      <c r="A13">
        <v>12</v>
      </c>
      <c r="B13" s="25" t="s">
        <v>16892</v>
      </c>
      <c r="C13" s="26"/>
    </row>
    <row r="14" ht="21" spans="1:3">
      <c r="A14">
        <v>13</v>
      </c>
      <c r="B14" s="25" t="s">
        <v>16892</v>
      </c>
      <c r="C14" s="26"/>
    </row>
    <row r="15" ht="21" spans="1:3">
      <c r="A15">
        <v>14</v>
      </c>
      <c r="B15" s="25" t="s">
        <v>16892</v>
      </c>
      <c r="C15" s="26"/>
    </row>
    <row r="16" ht="21" spans="1:3">
      <c r="A16">
        <v>15</v>
      </c>
      <c r="B16" s="27" t="s">
        <v>16892</v>
      </c>
      <c r="C16" s="26"/>
    </row>
    <row r="17" ht="21" spans="1:3">
      <c r="A17">
        <v>16</v>
      </c>
      <c r="B17" s="27" t="s">
        <v>16892</v>
      </c>
      <c r="C17" s="26"/>
    </row>
    <row r="18" ht="21" spans="1:3">
      <c r="A18">
        <v>17</v>
      </c>
      <c r="B18" s="25" t="s">
        <v>16892</v>
      </c>
      <c r="C18" s="26"/>
    </row>
    <row r="19" ht="21" spans="1:3">
      <c r="A19">
        <v>18</v>
      </c>
      <c r="B19" s="25" t="s">
        <v>16892</v>
      </c>
      <c r="C19" s="26"/>
    </row>
    <row r="20" ht="21" spans="1:3">
      <c r="A20">
        <v>19</v>
      </c>
      <c r="B20" s="25" t="s">
        <v>16892</v>
      </c>
      <c r="C20" s="26"/>
    </row>
    <row r="21" ht="21" spans="1:3">
      <c r="A21">
        <v>20</v>
      </c>
      <c r="B21" s="27" t="s">
        <v>16892</v>
      </c>
      <c r="C21" s="26"/>
    </row>
    <row r="22" ht="21" spans="1:3">
      <c r="A22">
        <v>21</v>
      </c>
      <c r="B22" s="25" t="s">
        <v>16892</v>
      </c>
      <c r="C22" s="26"/>
    </row>
    <row r="23" ht="21" spans="1:3">
      <c r="A23">
        <v>22</v>
      </c>
      <c r="B23" s="25" t="s">
        <v>16892</v>
      </c>
      <c r="C23" s="26"/>
    </row>
    <row r="24" ht="15.75" spans="1:3">
      <c r="A24">
        <v>23</v>
      </c>
      <c r="B24" s="26"/>
      <c r="C24" s="26"/>
    </row>
    <row r="25" ht="15.75" spans="1:3">
      <c r="A25">
        <v>24</v>
      </c>
      <c r="B25" s="26"/>
      <c r="C25" s="26"/>
    </row>
    <row r="26" ht="21" spans="1:3">
      <c r="A26">
        <v>25</v>
      </c>
      <c r="B26" s="25" t="s">
        <v>16892</v>
      </c>
      <c r="C26" s="26"/>
    </row>
    <row r="27" ht="21" spans="1:3">
      <c r="A27">
        <v>26</v>
      </c>
      <c r="B27" s="25" t="s">
        <v>16892</v>
      </c>
      <c r="C27" s="26"/>
    </row>
    <row r="28" ht="21" spans="1:3">
      <c r="A28">
        <v>27</v>
      </c>
      <c r="B28" s="25" t="s">
        <v>16892</v>
      </c>
      <c r="C28" s="26"/>
    </row>
    <row r="29" ht="21" spans="1:3">
      <c r="A29">
        <v>28</v>
      </c>
      <c r="B29" s="27" t="s">
        <v>16892</v>
      </c>
      <c r="C29" s="26"/>
    </row>
    <row r="30" ht="21" spans="1:3">
      <c r="A30">
        <v>29</v>
      </c>
      <c r="B30" s="27" t="s">
        <v>16892</v>
      </c>
      <c r="C30" s="26"/>
    </row>
    <row r="31" ht="15.75" spans="1:3">
      <c r="A31">
        <v>30</v>
      </c>
      <c r="B31" s="26"/>
      <c r="C31" s="26"/>
    </row>
    <row r="32" ht="21" spans="1:3">
      <c r="A32">
        <v>31</v>
      </c>
      <c r="B32" s="27" t="s">
        <v>16892</v>
      </c>
      <c r="C32" s="26"/>
    </row>
    <row r="33" ht="21" spans="1:3">
      <c r="A33">
        <v>32</v>
      </c>
      <c r="B33" s="27" t="s">
        <v>16892</v>
      </c>
      <c r="C33" s="26"/>
    </row>
    <row r="34" ht="21" spans="1:3">
      <c r="A34">
        <v>33</v>
      </c>
      <c r="B34" s="25" t="s">
        <v>16892</v>
      </c>
      <c r="C34" s="26"/>
    </row>
    <row r="35" ht="15.75" spans="1:3">
      <c r="A35">
        <v>34</v>
      </c>
      <c r="B35" s="26"/>
      <c r="C35" s="26"/>
    </row>
    <row r="36" ht="21" spans="1:3">
      <c r="A36">
        <v>35</v>
      </c>
      <c r="B36" s="27" t="s">
        <v>16892</v>
      </c>
      <c r="C36" s="26"/>
    </row>
    <row r="37" ht="21" spans="1:3">
      <c r="A37">
        <v>36</v>
      </c>
      <c r="B37" s="27" t="s">
        <v>16892</v>
      </c>
      <c r="C37" s="26"/>
    </row>
    <row r="38" ht="21" spans="1:3">
      <c r="A38">
        <v>37</v>
      </c>
      <c r="B38" s="25" t="s">
        <v>16892</v>
      </c>
      <c r="C38" s="26"/>
    </row>
    <row r="39" ht="21" spans="1:3">
      <c r="A39">
        <v>38</v>
      </c>
      <c r="B39" s="25" t="s">
        <v>16892</v>
      </c>
      <c r="C39" s="26"/>
    </row>
    <row r="40" ht="21" spans="1:3">
      <c r="A40">
        <v>39</v>
      </c>
      <c r="B40" s="27" t="s">
        <v>16892</v>
      </c>
      <c r="C40" s="26"/>
    </row>
    <row r="41" ht="21" spans="1:3">
      <c r="A41">
        <v>40</v>
      </c>
      <c r="B41" s="27" t="s">
        <v>16892</v>
      </c>
      <c r="C41" s="26"/>
    </row>
    <row r="42" ht="21" spans="1:3">
      <c r="A42">
        <v>41</v>
      </c>
      <c r="B42" s="27" t="s">
        <v>16892</v>
      </c>
      <c r="C42" s="26"/>
    </row>
    <row r="43" ht="21" spans="1:3">
      <c r="A43">
        <v>42</v>
      </c>
      <c r="B43" s="27" t="s">
        <v>16892</v>
      </c>
      <c r="C43" s="26"/>
    </row>
    <row r="44" ht="21" spans="1:3">
      <c r="A44">
        <v>43</v>
      </c>
      <c r="B44" s="27" t="s">
        <v>16892</v>
      </c>
      <c r="C44" s="26"/>
    </row>
    <row r="45" ht="21" spans="1:3">
      <c r="A45">
        <v>44</v>
      </c>
      <c r="B45" s="27" t="s">
        <v>16892</v>
      </c>
      <c r="C45" s="26"/>
    </row>
    <row r="46" ht="21" spans="1:3">
      <c r="A46">
        <v>45</v>
      </c>
      <c r="B46" s="25" t="s">
        <v>16892</v>
      </c>
      <c r="C46" s="26"/>
    </row>
    <row r="47" ht="21" spans="1:3">
      <c r="A47">
        <v>46</v>
      </c>
      <c r="B47" s="27" t="s">
        <v>16892</v>
      </c>
      <c r="C47" s="26"/>
    </row>
    <row r="48" ht="21" spans="1:3">
      <c r="A48">
        <v>47</v>
      </c>
      <c r="B48" s="27" t="s">
        <v>16892</v>
      </c>
      <c r="C48" s="26"/>
    </row>
    <row r="49" ht="21" spans="1:3">
      <c r="A49">
        <v>48</v>
      </c>
      <c r="B49" s="25" t="s">
        <v>16892</v>
      </c>
      <c r="C49" s="26"/>
    </row>
    <row r="50" ht="21" spans="1:3">
      <c r="A50">
        <v>49</v>
      </c>
      <c r="B50" s="27" t="s">
        <v>16892</v>
      </c>
      <c r="C50" s="26"/>
    </row>
    <row r="51" ht="21" spans="1:3">
      <c r="A51">
        <v>50</v>
      </c>
      <c r="B51" s="25" t="s">
        <v>16892</v>
      </c>
      <c r="C51" s="26"/>
    </row>
    <row r="52" ht="21" spans="1:3">
      <c r="A52">
        <v>51</v>
      </c>
      <c r="B52" s="27" t="s">
        <v>16892</v>
      </c>
      <c r="C52" s="26"/>
    </row>
    <row r="53" ht="21" spans="1:3">
      <c r="A53">
        <v>52</v>
      </c>
      <c r="B53" s="27" t="s">
        <v>16892</v>
      </c>
      <c r="C53" s="26"/>
    </row>
    <row r="54" ht="21" spans="1:3">
      <c r="A54">
        <v>53</v>
      </c>
      <c r="B54" s="25" t="s">
        <v>16892</v>
      </c>
      <c r="C54" s="26"/>
    </row>
    <row r="55" ht="21" spans="1:3">
      <c r="A55">
        <v>54</v>
      </c>
      <c r="B55" s="27" t="s">
        <v>16892</v>
      </c>
      <c r="C55" s="26"/>
    </row>
    <row r="56" ht="21" spans="1:3">
      <c r="A56">
        <v>55</v>
      </c>
      <c r="B56" s="27" t="s">
        <v>16892</v>
      </c>
      <c r="C56" s="26"/>
    </row>
    <row r="57" ht="21" spans="1:3">
      <c r="A57">
        <v>56</v>
      </c>
      <c r="B57" s="27" t="s">
        <v>16892</v>
      </c>
      <c r="C57" s="26"/>
    </row>
    <row r="58" ht="21" spans="1:3">
      <c r="A58">
        <v>57</v>
      </c>
      <c r="B58" s="25" t="s">
        <v>16892</v>
      </c>
      <c r="C58" s="26"/>
    </row>
    <row r="59" ht="21" spans="1:3">
      <c r="A59">
        <v>58</v>
      </c>
      <c r="B59" s="25" t="s">
        <v>16892</v>
      </c>
      <c r="C59" s="26"/>
    </row>
    <row r="60" ht="21" spans="1:3">
      <c r="A60">
        <v>59</v>
      </c>
      <c r="B60" s="25" t="s">
        <v>16892</v>
      </c>
      <c r="C60" s="26"/>
    </row>
    <row r="61" ht="21" spans="1:3">
      <c r="A61">
        <v>60</v>
      </c>
      <c r="B61" s="25" t="s">
        <v>16892</v>
      </c>
      <c r="C61" s="26"/>
    </row>
    <row r="62" ht="21" spans="1:3">
      <c r="A62">
        <v>61</v>
      </c>
      <c r="B62" s="27" t="s">
        <v>16892</v>
      </c>
      <c r="C62" s="26"/>
    </row>
    <row r="63" ht="21" spans="1:3">
      <c r="A63">
        <v>62</v>
      </c>
      <c r="B63" s="27" t="s">
        <v>16892</v>
      </c>
      <c r="C63" s="26"/>
    </row>
    <row r="64" ht="21" spans="1:3">
      <c r="A64">
        <v>63</v>
      </c>
      <c r="B64" s="27" t="s">
        <v>16892</v>
      </c>
      <c r="C64" s="26"/>
    </row>
    <row r="65" ht="21" spans="1:3">
      <c r="A65">
        <v>64</v>
      </c>
      <c r="B65" s="27" t="s">
        <v>16892</v>
      </c>
      <c r="C65" s="26"/>
    </row>
    <row r="66" ht="21" spans="1:3">
      <c r="A66">
        <v>65</v>
      </c>
      <c r="B66" s="27" t="s">
        <v>16892</v>
      </c>
      <c r="C66" s="26"/>
    </row>
    <row r="67" ht="21" spans="1:3">
      <c r="A67">
        <v>66</v>
      </c>
      <c r="B67" s="25" t="s">
        <v>16892</v>
      </c>
      <c r="C67" s="26"/>
    </row>
    <row r="68" ht="21" spans="1:3">
      <c r="A68">
        <v>67</v>
      </c>
      <c r="B68" s="27" t="s">
        <v>16892</v>
      </c>
      <c r="C68" s="26"/>
    </row>
    <row r="69" ht="21" spans="1:3">
      <c r="A69">
        <v>68</v>
      </c>
      <c r="B69" s="25" t="s">
        <v>16892</v>
      </c>
      <c r="C69" s="26"/>
    </row>
    <row r="70" ht="21" spans="1:3">
      <c r="A70">
        <v>69</v>
      </c>
      <c r="B70" s="27" t="s">
        <v>16892</v>
      </c>
      <c r="C70" s="26"/>
    </row>
    <row r="71" ht="21" spans="1:3">
      <c r="A71">
        <v>70</v>
      </c>
      <c r="B71" s="27" t="s">
        <v>16892</v>
      </c>
      <c r="C71" s="26"/>
    </row>
    <row r="72" ht="21" spans="1:3">
      <c r="A72">
        <v>71</v>
      </c>
      <c r="B72" s="25" t="s">
        <v>16892</v>
      </c>
      <c r="C72" s="26"/>
    </row>
    <row r="73" ht="15.75" spans="1:3">
      <c r="A73">
        <v>72</v>
      </c>
      <c r="B73" s="26"/>
      <c r="C73" s="26"/>
    </row>
    <row r="74" ht="21" spans="1:3">
      <c r="A74">
        <v>73</v>
      </c>
      <c r="B74" s="25" t="s">
        <v>16892</v>
      </c>
      <c r="C74" s="26"/>
    </row>
    <row r="75" ht="21" spans="1:3">
      <c r="A75">
        <v>74</v>
      </c>
      <c r="B75" s="25" t="s">
        <v>16892</v>
      </c>
      <c r="C75" s="26"/>
    </row>
    <row r="76" ht="21" spans="1:3">
      <c r="A76">
        <v>75</v>
      </c>
      <c r="B76" s="25" t="s">
        <v>16892</v>
      </c>
      <c r="C76" s="26"/>
    </row>
    <row r="77" ht="21" spans="1:3">
      <c r="A77">
        <v>76</v>
      </c>
      <c r="B77" s="27" t="s">
        <v>16892</v>
      </c>
      <c r="C77" s="26"/>
    </row>
    <row r="78" ht="21" spans="1:3">
      <c r="A78">
        <v>77</v>
      </c>
      <c r="B78" s="27" t="s">
        <v>16892</v>
      </c>
      <c r="C78" s="26"/>
    </row>
    <row r="79" ht="21" spans="1:3">
      <c r="A79">
        <v>78</v>
      </c>
      <c r="B79" s="27" t="s">
        <v>16892</v>
      </c>
      <c r="C79" s="26"/>
    </row>
    <row r="80" ht="21" spans="1:3">
      <c r="A80">
        <v>79</v>
      </c>
      <c r="B80" s="27" t="s">
        <v>16892</v>
      </c>
      <c r="C80" s="26"/>
    </row>
    <row r="81" ht="21" spans="1:3">
      <c r="A81">
        <v>80</v>
      </c>
      <c r="B81" s="25" t="s">
        <v>16892</v>
      </c>
      <c r="C81" s="26"/>
    </row>
    <row r="82" ht="21" spans="1:3">
      <c r="A82">
        <v>81</v>
      </c>
      <c r="B82" s="27" t="s">
        <v>16892</v>
      </c>
      <c r="C82" s="26"/>
    </row>
    <row r="83" ht="21" spans="1:3">
      <c r="A83">
        <v>82</v>
      </c>
      <c r="B83" s="25" t="s">
        <v>16892</v>
      </c>
      <c r="C83" s="26"/>
    </row>
    <row r="84" ht="21" spans="1:3">
      <c r="A84">
        <v>83</v>
      </c>
      <c r="B84" s="27" t="s">
        <v>16892</v>
      </c>
      <c r="C84" s="26"/>
    </row>
    <row r="85" ht="21" spans="1:3">
      <c r="A85">
        <v>84</v>
      </c>
      <c r="B85" s="25" t="s">
        <v>16892</v>
      </c>
      <c r="C85" s="26"/>
    </row>
    <row r="86" ht="21" spans="1:3">
      <c r="A86">
        <v>85</v>
      </c>
      <c r="B86" s="27" t="s">
        <v>16892</v>
      </c>
      <c r="C86" s="26"/>
    </row>
    <row r="87" ht="15.75" spans="1:3">
      <c r="A87">
        <v>86</v>
      </c>
      <c r="B87" s="26"/>
      <c r="C87" s="26"/>
    </row>
    <row r="88" ht="21" spans="1:3">
      <c r="A88">
        <v>87</v>
      </c>
      <c r="B88" s="27" t="s">
        <v>16892</v>
      </c>
      <c r="C88" s="26"/>
    </row>
    <row r="89" ht="15.75" spans="1:3">
      <c r="A89">
        <v>88</v>
      </c>
      <c r="B89" s="26"/>
      <c r="C89" s="26"/>
    </row>
    <row r="90" ht="21" spans="1:3">
      <c r="A90">
        <v>89</v>
      </c>
      <c r="B90" s="27" t="s">
        <v>16892</v>
      </c>
      <c r="C90" s="26"/>
    </row>
    <row r="91" ht="21" spans="1:3">
      <c r="A91">
        <v>90</v>
      </c>
      <c r="B91" s="25" t="s">
        <v>16892</v>
      </c>
      <c r="C91" s="26"/>
    </row>
    <row r="92" ht="21" spans="1:3">
      <c r="A92">
        <v>91</v>
      </c>
      <c r="B92" s="27" t="s">
        <v>16892</v>
      </c>
      <c r="C92" s="26"/>
    </row>
    <row r="93" ht="21" spans="1:3">
      <c r="A93">
        <v>92</v>
      </c>
      <c r="B93" s="25" t="s">
        <v>16892</v>
      </c>
      <c r="C93" s="26"/>
    </row>
    <row r="94" ht="21" spans="1:3">
      <c r="A94">
        <v>93</v>
      </c>
      <c r="B94" s="27" t="s">
        <v>16892</v>
      </c>
      <c r="C94" s="26"/>
    </row>
    <row r="95" ht="21" spans="1:3">
      <c r="A95">
        <v>94</v>
      </c>
      <c r="B95" s="25" t="s">
        <v>16892</v>
      </c>
      <c r="C95" s="26"/>
    </row>
    <row r="96" ht="21" spans="1:3">
      <c r="A96">
        <v>95</v>
      </c>
      <c r="B96" s="25" t="s">
        <v>16892</v>
      </c>
      <c r="C96" s="26"/>
    </row>
    <row r="97" ht="21" spans="1:3">
      <c r="A97">
        <v>96</v>
      </c>
      <c r="B97" s="27" t="s">
        <v>16892</v>
      </c>
      <c r="C97" s="26"/>
    </row>
    <row r="98" ht="21" spans="1:3">
      <c r="A98">
        <v>97</v>
      </c>
      <c r="B98" s="25" t="s">
        <v>16892</v>
      </c>
      <c r="C98" s="26"/>
    </row>
    <row r="99" ht="15.75" spans="1:3">
      <c r="A99">
        <v>98</v>
      </c>
      <c r="B99" s="26"/>
      <c r="C99" s="26"/>
    </row>
    <row r="100" ht="21" spans="1:3">
      <c r="A100">
        <v>99</v>
      </c>
      <c r="B100" s="25" t="s">
        <v>16892</v>
      </c>
      <c r="C100" s="26"/>
    </row>
    <row r="101" ht="21" spans="1:3">
      <c r="A101">
        <v>100</v>
      </c>
      <c r="B101" s="25" t="s">
        <v>16892</v>
      </c>
      <c r="C101" s="26"/>
    </row>
    <row r="102" ht="21" spans="1:3">
      <c r="A102">
        <v>101</v>
      </c>
      <c r="B102" s="27" t="s">
        <v>16892</v>
      </c>
      <c r="C102" s="26"/>
    </row>
    <row r="103" ht="21" spans="1:3">
      <c r="A103">
        <v>102</v>
      </c>
      <c r="B103" s="25" t="s">
        <v>16892</v>
      </c>
      <c r="C103" s="26"/>
    </row>
    <row r="104" ht="21" spans="1:3">
      <c r="A104">
        <v>103</v>
      </c>
      <c r="B104" s="25" t="s">
        <v>16892</v>
      </c>
      <c r="C104" s="26"/>
    </row>
    <row r="105" ht="21" spans="1:3">
      <c r="A105">
        <v>104</v>
      </c>
      <c r="B105" s="25" t="s">
        <v>16892</v>
      </c>
      <c r="C105" s="26"/>
    </row>
    <row r="106" ht="21" spans="1:3">
      <c r="A106">
        <v>105</v>
      </c>
      <c r="B106" s="27" t="s">
        <v>16892</v>
      </c>
      <c r="C106" s="26"/>
    </row>
    <row r="107" ht="15.75" spans="1:3">
      <c r="A107">
        <v>106</v>
      </c>
      <c r="B107" s="26"/>
      <c r="C107" s="26"/>
    </row>
    <row r="108" ht="21" spans="1:3">
      <c r="A108">
        <v>107</v>
      </c>
      <c r="B108" s="25" t="s">
        <v>16892</v>
      </c>
      <c r="C108" s="26"/>
    </row>
    <row r="109" ht="15.75" spans="1:3">
      <c r="A109">
        <v>108</v>
      </c>
      <c r="B109" s="26"/>
      <c r="C109" s="26"/>
    </row>
    <row r="110" ht="21" spans="1:3">
      <c r="A110">
        <v>109</v>
      </c>
      <c r="B110" s="25" t="s">
        <v>16892</v>
      </c>
      <c r="C110" s="26"/>
    </row>
    <row r="111" ht="18.75" spans="1:3">
      <c r="A111">
        <v>110</v>
      </c>
      <c r="B111" s="30" t="s">
        <v>16893</v>
      </c>
      <c r="C111" s="30" t="s">
        <v>16894</v>
      </c>
    </row>
    <row r="112" ht="21" spans="1:3">
      <c r="A112">
        <v>111</v>
      </c>
      <c r="B112" s="25" t="s">
        <v>16892</v>
      </c>
      <c r="C112" s="26"/>
    </row>
    <row r="113" ht="18.75" spans="1:3">
      <c r="A113">
        <v>112</v>
      </c>
      <c r="B113" s="31" t="str">
        <f>IFERROR(__xludf.DUMMYFUNCTION("""COMPUTED_VALUE"""),"tadele seyfu")</f>
        <v>tadele seyfu</v>
      </c>
      <c r="C113" s="30">
        <v>947476565</v>
      </c>
    </row>
    <row r="114" ht="15.75" spans="1:3">
      <c r="A114">
        <v>113</v>
      </c>
      <c r="B114" s="26"/>
      <c r="C114" s="26"/>
    </row>
    <row r="115" ht="21" spans="1:3">
      <c r="A115">
        <v>114</v>
      </c>
      <c r="B115" s="27" t="s">
        <v>16892</v>
      </c>
      <c r="C115" s="26"/>
    </row>
    <row r="116" ht="21" spans="1:3">
      <c r="A116">
        <v>115</v>
      </c>
      <c r="B116" s="25" t="s">
        <v>16892</v>
      </c>
      <c r="C116" s="26"/>
    </row>
    <row r="117" ht="21" spans="1:3">
      <c r="A117">
        <v>116</v>
      </c>
      <c r="B117" s="25" t="s">
        <v>16892</v>
      </c>
      <c r="C117" s="26"/>
    </row>
    <row r="118" ht="15.75" spans="1:3">
      <c r="A118">
        <v>117</v>
      </c>
      <c r="B118" s="26"/>
      <c r="C118" s="26"/>
    </row>
    <row r="119" ht="21" spans="1:3">
      <c r="A119">
        <v>118</v>
      </c>
      <c r="B119" s="27" t="s">
        <v>16892</v>
      </c>
      <c r="C119" s="26"/>
    </row>
    <row r="120" ht="15.75" spans="1:3">
      <c r="A120">
        <v>119</v>
      </c>
      <c r="B120" s="26"/>
      <c r="C120" s="26"/>
    </row>
    <row r="121" ht="15.75" spans="1:3">
      <c r="A121">
        <v>120</v>
      </c>
      <c r="B121" s="29"/>
      <c r="C121" s="29"/>
    </row>
    <row r="122" ht="15.75" spans="1:3">
      <c r="A122">
        <v>121</v>
      </c>
      <c r="B122" s="29"/>
      <c r="C122" s="29"/>
    </row>
    <row r="123" ht="15.75" spans="1:3">
      <c r="A123">
        <v>122</v>
      </c>
      <c r="B123" s="29"/>
      <c r="C123" s="29"/>
    </row>
    <row r="124" ht="15.75" spans="1:3">
      <c r="A124">
        <v>123</v>
      </c>
      <c r="B124" s="26"/>
      <c r="C124" s="26"/>
    </row>
    <row r="125" ht="21" spans="1:3">
      <c r="A125">
        <v>124</v>
      </c>
      <c r="B125" s="27" t="s">
        <v>16892</v>
      </c>
      <c r="C125" s="26"/>
    </row>
    <row r="126" ht="15.75" spans="1:3">
      <c r="A126">
        <v>125</v>
      </c>
      <c r="B126" s="26"/>
      <c r="C126" s="26"/>
    </row>
    <row r="127" ht="15.75" spans="1:3">
      <c r="A127">
        <v>126</v>
      </c>
      <c r="B127" s="26"/>
      <c r="C127" s="26"/>
    </row>
    <row r="128" ht="21" spans="1:3">
      <c r="A128">
        <v>127</v>
      </c>
      <c r="B128" s="25" t="s">
        <v>16892</v>
      </c>
      <c r="C128" s="26"/>
    </row>
    <row r="129" ht="21" spans="1:3">
      <c r="A129">
        <v>128</v>
      </c>
      <c r="B129" s="25" t="s">
        <v>16892</v>
      </c>
      <c r="C129" s="26"/>
    </row>
    <row r="130" ht="21" spans="1:3">
      <c r="A130">
        <v>129</v>
      </c>
      <c r="B130" s="27" t="s">
        <v>16892</v>
      </c>
      <c r="C130" s="26"/>
    </row>
    <row r="131" ht="21" spans="1:3">
      <c r="A131">
        <v>130</v>
      </c>
      <c r="B131" s="25" t="s">
        <v>16892</v>
      </c>
      <c r="C131" s="26"/>
    </row>
    <row r="132" ht="21" spans="1:3">
      <c r="A132">
        <v>131</v>
      </c>
      <c r="B132" s="25" t="s">
        <v>16892</v>
      </c>
      <c r="C132" s="26"/>
    </row>
    <row r="133" ht="21" spans="1:3">
      <c r="A133">
        <v>132</v>
      </c>
      <c r="B133" s="27" t="s">
        <v>16892</v>
      </c>
      <c r="C133" s="26"/>
    </row>
    <row r="134" ht="21" spans="1:3">
      <c r="A134">
        <v>133</v>
      </c>
      <c r="B134" s="27" t="s">
        <v>16892</v>
      </c>
      <c r="C134" s="26"/>
    </row>
    <row r="135" ht="15.75" spans="1:3">
      <c r="A135">
        <v>134</v>
      </c>
      <c r="B135" s="26"/>
      <c r="C135" s="26"/>
    </row>
    <row r="136" ht="15.75" spans="1:3">
      <c r="A136">
        <v>135</v>
      </c>
      <c r="B136" s="26"/>
      <c r="C136" s="26"/>
    </row>
    <row r="137" ht="21" spans="1:3">
      <c r="A137">
        <v>136</v>
      </c>
      <c r="B137" s="27" t="s">
        <v>16892</v>
      </c>
      <c r="C137" s="26"/>
    </row>
    <row r="138" ht="15.75" spans="1:3">
      <c r="A138">
        <v>137</v>
      </c>
      <c r="B138" s="26"/>
      <c r="C138" s="26"/>
    </row>
    <row r="139" ht="15.75" spans="1:3">
      <c r="A139">
        <v>138</v>
      </c>
      <c r="B139" s="26"/>
      <c r="C139" s="26"/>
    </row>
    <row r="140" ht="15.75" spans="1:3">
      <c r="A140">
        <v>139</v>
      </c>
      <c r="B140" s="26"/>
      <c r="C140" s="26"/>
    </row>
    <row r="141" ht="21" spans="1:3">
      <c r="A141">
        <v>140</v>
      </c>
      <c r="B141" s="25" t="s">
        <v>16892</v>
      </c>
      <c r="C141" s="26"/>
    </row>
    <row r="142" ht="21" spans="1:3">
      <c r="A142">
        <v>141</v>
      </c>
      <c r="B142" s="27" t="s">
        <v>16892</v>
      </c>
      <c r="C142" s="26"/>
    </row>
    <row r="143" ht="21" spans="1:3">
      <c r="A143">
        <v>142</v>
      </c>
      <c r="B143" s="25" t="s">
        <v>16892</v>
      </c>
      <c r="C143" s="26"/>
    </row>
    <row r="144" ht="15.75" spans="1:3">
      <c r="A144">
        <v>143</v>
      </c>
      <c r="B144" s="26"/>
      <c r="C144" s="26"/>
    </row>
    <row r="145" ht="15.75" spans="1:3">
      <c r="A145">
        <v>144</v>
      </c>
      <c r="B145" s="26"/>
      <c r="C145" s="26"/>
    </row>
    <row r="146" ht="21" spans="1:3">
      <c r="A146">
        <v>145</v>
      </c>
      <c r="B146" s="25" t="s">
        <v>16892</v>
      </c>
      <c r="C146" s="26"/>
    </row>
    <row r="147" ht="18.75" spans="1:3">
      <c r="A147">
        <v>146</v>
      </c>
      <c r="B147" s="31" t="str">
        <f>IFERROR(__xludf.DUMMYFUNCTION("""COMPUTED_VALUE"""),"ቤዛዊት አስራት")</f>
        <v>ቤዛዊት አስራት</v>
      </c>
      <c r="C147" s="30">
        <v>966782167</v>
      </c>
    </row>
    <row r="148" ht="21" spans="1:3">
      <c r="A148">
        <v>147</v>
      </c>
      <c r="B148" s="25" t="s">
        <v>16892</v>
      </c>
      <c r="C148" s="26"/>
    </row>
    <row r="149" ht="15.75" spans="1:3">
      <c r="A149">
        <v>148</v>
      </c>
      <c r="B149" s="26"/>
      <c r="C149" s="26"/>
    </row>
    <row r="150" ht="18.75" spans="1:3">
      <c r="A150">
        <v>149</v>
      </c>
      <c r="B150" s="32" t="str">
        <f>IFERROR(__xludf.DUMMYFUNCTION("""COMPUTED_VALUE"""),"rahel asfaw")</f>
        <v>rahel asfaw</v>
      </c>
      <c r="C150" s="33">
        <v>910708706</v>
      </c>
    </row>
    <row r="151" ht="15.75" spans="1:3">
      <c r="A151">
        <v>150</v>
      </c>
      <c r="B151" s="26"/>
      <c r="C151" s="26"/>
    </row>
    <row r="152" ht="21" spans="1:3">
      <c r="A152">
        <v>151</v>
      </c>
      <c r="B152" s="27" t="s">
        <v>16892</v>
      </c>
      <c r="C152" s="26"/>
    </row>
    <row r="153" ht="21" spans="1:3">
      <c r="A153">
        <v>152</v>
      </c>
      <c r="B153" s="27" t="s">
        <v>16892</v>
      </c>
      <c r="C153" s="26"/>
    </row>
    <row r="154" ht="21" spans="1:3">
      <c r="A154">
        <v>153</v>
      </c>
      <c r="B154" s="25" t="s">
        <v>16892</v>
      </c>
      <c r="C154" s="26"/>
    </row>
    <row r="155" ht="21" spans="1:3">
      <c r="A155">
        <v>154</v>
      </c>
      <c r="B155" s="25" t="s">
        <v>16892</v>
      </c>
      <c r="C155" s="26"/>
    </row>
    <row r="156" ht="21" spans="1:3">
      <c r="A156">
        <v>155</v>
      </c>
      <c r="B156" s="25" t="s">
        <v>16892</v>
      </c>
      <c r="C156" s="26"/>
    </row>
    <row r="157" ht="21" spans="1:3">
      <c r="A157">
        <v>156</v>
      </c>
      <c r="B157" s="27" t="s">
        <v>16892</v>
      </c>
      <c r="C157" s="26"/>
    </row>
    <row r="158" ht="21" spans="1:3">
      <c r="A158">
        <v>157</v>
      </c>
      <c r="B158" s="27" t="s">
        <v>16892</v>
      </c>
      <c r="C158" s="26"/>
    </row>
    <row r="159" ht="18" spans="1:3">
      <c r="A159">
        <v>158</v>
      </c>
      <c r="B159" s="32" t="str">
        <f>IFERROR(__xludf.DUMMYFUNCTION("""COMPUTED_VALUE"""),"Melat girma Y")</f>
        <v>Melat girma Y</v>
      </c>
      <c r="C159" s="32">
        <v>930805071</v>
      </c>
    </row>
    <row r="160" ht="21" spans="1:3">
      <c r="A160">
        <v>159</v>
      </c>
      <c r="B160" s="27" t="s">
        <v>16892</v>
      </c>
      <c r="C160" s="26"/>
    </row>
    <row r="161" ht="15.75" spans="1:3">
      <c r="A161">
        <v>160</v>
      </c>
      <c r="B161" s="26"/>
      <c r="C161" s="26"/>
    </row>
    <row r="162" ht="15.75" spans="1:3">
      <c r="A162">
        <v>161</v>
      </c>
      <c r="B162" s="26"/>
      <c r="C162" s="26"/>
    </row>
    <row r="163" ht="21" spans="1:3">
      <c r="A163">
        <v>162</v>
      </c>
      <c r="B163" s="27" t="s">
        <v>16892</v>
      </c>
      <c r="C163" s="26"/>
    </row>
    <row r="164" ht="15.75" spans="1:3">
      <c r="A164">
        <v>163</v>
      </c>
      <c r="B164" s="29"/>
      <c r="C164" s="29"/>
    </row>
    <row r="165" ht="15.75" spans="1:3">
      <c r="A165">
        <v>164</v>
      </c>
      <c r="B165" s="29"/>
      <c r="C165" s="29"/>
    </row>
    <row r="166" ht="18.75" spans="1:3">
      <c r="A166">
        <v>165</v>
      </c>
      <c r="B166" s="34" t="str">
        <f>IFERROR(__xludf.DUMMYFUNCTION("""COMPUTED_VALUE"""),"hiwot solomon")</f>
        <v>hiwot solomon</v>
      </c>
      <c r="C166" s="34">
        <v>986569386</v>
      </c>
    </row>
    <row r="167" ht="15.75" spans="1:3">
      <c r="A167">
        <v>166</v>
      </c>
      <c r="B167" s="29"/>
      <c r="C167" s="29"/>
    </row>
    <row r="168" ht="15.75" spans="1:3">
      <c r="A168">
        <v>167</v>
      </c>
      <c r="B168" s="29"/>
      <c r="C168" s="29"/>
    </row>
    <row r="169" ht="21" spans="1:3">
      <c r="A169">
        <v>168</v>
      </c>
      <c r="B169" s="27" t="s">
        <v>16892</v>
      </c>
      <c r="C169" s="26"/>
    </row>
    <row r="170" ht="21" spans="1:3">
      <c r="A170">
        <v>169</v>
      </c>
      <c r="B170" s="25" t="s">
        <v>16892</v>
      </c>
      <c r="C170" s="26"/>
    </row>
    <row r="171" ht="15.75" spans="1:3">
      <c r="A171">
        <v>170</v>
      </c>
      <c r="B171" s="26"/>
      <c r="C171" s="26"/>
    </row>
    <row r="172" ht="15.75" spans="1:3">
      <c r="A172">
        <v>171</v>
      </c>
      <c r="B172" s="26"/>
      <c r="C172" s="26"/>
    </row>
    <row r="173" ht="21" spans="1:3">
      <c r="A173">
        <v>172</v>
      </c>
      <c r="B173" s="25" t="s">
        <v>16892</v>
      </c>
      <c r="C173" s="26"/>
    </row>
    <row r="174" ht="21" spans="1:3">
      <c r="A174">
        <v>173</v>
      </c>
      <c r="B174" s="27" t="s">
        <v>16892</v>
      </c>
      <c r="C174" s="26"/>
    </row>
    <row r="175" ht="21" spans="1:3">
      <c r="A175">
        <v>174</v>
      </c>
      <c r="B175" s="25" t="s">
        <v>16892</v>
      </c>
      <c r="C175" s="26"/>
    </row>
    <row r="176" ht="21" spans="1:3">
      <c r="A176">
        <v>175</v>
      </c>
      <c r="B176" s="25" t="s">
        <v>16892</v>
      </c>
      <c r="C176" s="26"/>
    </row>
    <row r="177" ht="15.75" spans="1:3">
      <c r="A177">
        <v>176</v>
      </c>
      <c r="B177" s="26"/>
      <c r="C177" s="26"/>
    </row>
    <row r="178" ht="15.75" spans="1:3">
      <c r="A178">
        <v>177</v>
      </c>
      <c r="B178" s="26"/>
      <c r="C178" s="26"/>
    </row>
    <row r="179" ht="21" spans="1:3">
      <c r="A179">
        <v>178</v>
      </c>
      <c r="B179" s="27" t="s">
        <v>16892</v>
      </c>
      <c r="C179" s="26"/>
    </row>
    <row r="180" ht="21" spans="1:3">
      <c r="A180">
        <v>179</v>
      </c>
      <c r="B180" s="25" t="s">
        <v>16892</v>
      </c>
      <c r="C180" s="26"/>
    </row>
    <row r="181" ht="15.75" spans="1:3">
      <c r="A181">
        <v>180</v>
      </c>
      <c r="B181" s="26"/>
      <c r="C181" s="26"/>
    </row>
    <row r="182" ht="15.75" spans="1:3">
      <c r="A182">
        <v>181</v>
      </c>
      <c r="B182" s="26"/>
      <c r="C182" s="26"/>
    </row>
    <row r="183" ht="21" spans="1:3">
      <c r="A183">
        <v>182</v>
      </c>
      <c r="B183" s="25" t="s">
        <v>16892</v>
      </c>
      <c r="C183" s="26"/>
    </row>
    <row r="184" ht="15.75" spans="1:3">
      <c r="A184">
        <v>183</v>
      </c>
      <c r="B184" s="26"/>
      <c r="C184" s="26"/>
    </row>
    <row r="185" ht="21" spans="1:3">
      <c r="A185">
        <v>184</v>
      </c>
      <c r="B185" s="25" t="s">
        <v>16892</v>
      </c>
      <c r="C185" s="26"/>
    </row>
    <row r="186" ht="15.75" spans="1:3">
      <c r="A186">
        <v>185</v>
      </c>
      <c r="B186" s="26"/>
      <c r="C186" s="26"/>
    </row>
    <row r="187" ht="15.75" spans="1:3">
      <c r="A187">
        <v>186</v>
      </c>
      <c r="B187" s="26"/>
      <c r="C187" s="26"/>
    </row>
    <row r="188" ht="21" spans="1:3">
      <c r="A188">
        <v>187</v>
      </c>
      <c r="B188" s="25" t="s">
        <v>16892</v>
      </c>
      <c r="C188" s="26"/>
    </row>
    <row r="189" ht="15.75" spans="1:3">
      <c r="A189">
        <v>188</v>
      </c>
      <c r="B189" s="29"/>
      <c r="C189" s="29"/>
    </row>
    <row r="190" ht="15.75" spans="1:3">
      <c r="A190">
        <v>189</v>
      </c>
      <c r="B190" s="29"/>
      <c r="C190" s="29"/>
    </row>
    <row r="191" ht="15.75" spans="1:3">
      <c r="A191">
        <v>190</v>
      </c>
      <c r="B191" s="26"/>
      <c r="C191" s="26"/>
    </row>
    <row r="192" ht="18.75" spans="1:3">
      <c r="A192">
        <v>191</v>
      </c>
      <c r="B192" s="31" t="str">
        <f>IFERROR(__xludf.DUMMYFUNCTION("""COMPUTED_VALUE"""),"hiwot kelil")</f>
        <v>hiwot kelil</v>
      </c>
      <c r="C192" s="30">
        <v>913721593</v>
      </c>
    </row>
    <row r="193" ht="21" spans="1:3">
      <c r="A193">
        <v>192</v>
      </c>
      <c r="B193" s="27" t="s">
        <v>16892</v>
      </c>
      <c r="C193" s="26"/>
    </row>
    <row r="194" ht="15.75" spans="1:3">
      <c r="A194">
        <v>193</v>
      </c>
      <c r="B194" s="29"/>
      <c r="C194" s="29"/>
    </row>
    <row r="195" ht="15.75" spans="1:3">
      <c r="A195">
        <v>194</v>
      </c>
      <c r="B195" s="29"/>
      <c r="C195" s="29"/>
    </row>
    <row r="196" ht="15.75" spans="1:3">
      <c r="A196">
        <v>195</v>
      </c>
      <c r="B196" s="26"/>
      <c r="C196" s="26"/>
    </row>
    <row r="197" spans="1:3">
      <c r="A197">
        <v>196</v>
      </c>
      <c r="B197" s="35" t="s">
        <v>16895</v>
      </c>
      <c r="C197" s="36">
        <v>910659346</v>
      </c>
    </row>
    <row r="198" ht="18.75" spans="1:3">
      <c r="A198">
        <v>197</v>
      </c>
      <c r="B198" s="31" t="str">
        <f>IFERROR(__xludf.DUMMYFUNCTION("""COMPUTED_VALUE"""),"hiwot solomon")</f>
        <v>hiwot solomon</v>
      </c>
      <c r="C198" s="30">
        <v>986569786</v>
      </c>
    </row>
    <row r="199" ht="21" spans="1:3">
      <c r="A199">
        <v>198</v>
      </c>
      <c r="B199" s="25" t="s">
        <v>16892</v>
      </c>
      <c r="C199" s="26"/>
    </row>
    <row r="200" ht="15.75" spans="1:3">
      <c r="A200">
        <v>199</v>
      </c>
      <c r="B200" s="26"/>
      <c r="C200" s="26"/>
    </row>
    <row r="201" ht="21" spans="1:3">
      <c r="A201">
        <v>200</v>
      </c>
      <c r="B201" s="27" t="s">
        <v>16892</v>
      </c>
      <c r="C201" s="26"/>
    </row>
    <row r="202" ht="15.75" spans="1:3">
      <c r="A202">
        <v>201</v>
      </c>
      <c r="B202" s="26"/>
      <c r="C202" s="26"/>
    </row>
    <row r="203" ht="21" spans="1:3">
      <c r="A203">
        <v>202</v>
      </c>
      <c r="B203" s="25" t="s">
        <v>16892</v>
      </c>
      <c r="C203" s="26"/>
    </row>
    <row r="204" ht="15.75" spans="1:3">
      <c r="A204">
        <v>203</v>
      </c>
      <c r="B204" s="26"/>
      <c r="C204" s="26"/>
    </row>
    <row r="205" ht="15.75" spans="1:3">
      <c r="A205">
        <v>204</v>
      </c>
      <c r="B205" s="26"/>
      <c r="C205" s="26"/>
    </row>
    <row r="206" ht="21" spans="1:3">
      <c r="A206">
        <v>205</v>
      </c>
      <c r="B206" s="25" t="s">
        <v>16892</v>
      </c>
      <c r="C206" s="26"/>
    </row>
    <row r="207" ht="15.75" spans="1:3">
      <c r="A207">
        <v>206</v>
      </c>
      <c r="B207" s="26"/>
      <c r="C207" s="26"/>
    </row>
    <row r="208" ht="15.75" spans="1:3">
      <c r="A208">
        <v>207</v>
      </c>
      <c r="B208" s="26"/>
      <c r="C208" s="26"/>
    </row>
    <row r="209" ht="21" spans="1:3">
      <c r="A209">
        <v>208</v>
      </c>
      <c r="B209" s="27" t="s">
        <v>16892</v>
      </c>
      <c r="C209" s="26"/>
    </row>
    <row r="210" ht="15.75" spans="1:3">
      <c r="A210">
        <v>209</v>
      </c>
      <c r="B210" s="26"/>
      <c r="C210" s="26"/>
    </row>
    <row r="211" ht="21" spans="1:3">
      <c r="A211">
        <v>210</v>
      </c>
      <c r="B211" s="25" t="s">
        <v>16892</v>
      </c>
      <c r="C211" s="26"/>
    </row>
    <row r="212" ht="21" spans="1:3">
      <c r="A212">
        <v>211</v>
      </c>
      <c r="B212" s="27" t="s">
        <v>16892</v>
      </c>
      <c r="C212" s="26"/>
    </row>
    <row r="213" ht="15.75" spans="1:3">
      <c r="A213">
        <v>212</v>
      </c>
      <c r="B213" s="26"/>
      <c r="C213" s="26"/>
    </row>
    <row r="214" ht="15.75" spans="1:3">
      <c r="A214">
        <v>213</v>
      </c>
      <c r="B214" s="29"/>
      <c r="C214" s="29"/>
    </row>
    <row r="215" ht="15.75" spans="1:3">
      <c r="A215">
        <v>214</v>
      </c>
      <c r="B215" s="29"/>
      <c r="C215" s="29"/>
    </row>
    <row r="216" ht="15.75" spans="1:3">
      <c r="A216">
        <v>215</v>
      </c>
      <c r="B216" s="26"/>
      <c r="C216" s="26"/>
    </row>
    <row r="217" ht="21" spans="1:3">
      <c r="A217">
        <v>216</v>
      </c>
      <c r="B217" s="25" t="s">
        <v>16892</v>
      </c>
      <c r="C217" s="26"/>
    </row>
    <row r="218" ht="15.75" spans="1:3">
      <c r="A218">
        <v>217</v>
      </c>
      <c r="B218" s="26"/>
      <c r="C218" s="26"/>
    </row>
    <row r="219" ht="21" spans="1:3">
      <c r="A219">
        <v>218</v>
      </c>
      <c r="B219" s="25" t="s">
        <v>16892</v>
      </c>
      <c r="C219" s="26"/>
    </row>
    <row r="220" ht="21" spans="1:3">
      <c r="A220">
        <v>219</v>
      </c>
      <c r="B220" s="25" t="s">
        <v>16892</v>
      </c>
      <c r="C220" s="26"/>
    </row>
    <row r="221" ht="15.75" spans="1:3">
      <c r="A221">
        <v>220</v>
      </c>
      <c r="B221" s="26"/>
      <c r="C221" s="26"/>
    </row>
    <row r="222" ht="15.75" spans="1:3">
      <c r="A222">
        <v>221</v>
      </c>
      <c r="B222" s="26"/>
      <c r="C222" s="26"/>
    </row>
    <row r="223" ht="15.75" spans="1:3">
      <c r="A223">
        <v>222</v>
      </c>
      <c r="B223" s="26"/>
      <c r="C223" s="26"/>
    </row>
    <row r="224" ht="21" spans="1:3">
      <c r="A224">
        <v>223</v>
      </c>
      <c r="B224" s="25" t="s">
        <v>16892</v>
      </c>
      <c r="C224" s="26"/>
    </row>
    <row r="225" ht="21" spans="1:3">
      <c r="A225">
        <v>224</v>
      </c>
      <c r="B225" s="25" t="s">
        <v>16892</v>
      </c>
      <c r="C225" s="26"/>
    </row>
    <row r="226" ht="15.75" spans="1:3">
      <c r="A226">
        <v>225</v>
      </c>
      <c r="B226" s="26"/>
      <c r="C226" s="26"/>
    </row>
    <row r="227" ht="21" spans="1:3">
      <c r="A227">
        <v>226</v>
      </c>
      <c r="B227" s="25" t="s">
        <v>16892</v>
      </c>
      <c r="C227" s="26"/>
    </row>
    <row r="228" ht="15.75" spans="1:3">
      <c r="A228">
        <v>227</v>
      </c>
      <c r="B228" s="26"/>
      <c r="C228" s="26"/>
    </row>
    <row r="229" ht="15.75" spans="1:3">
      <c r="A229">
        <v>228</v>
      </c>
      <c r="B229" s="26"/>
      <c r="C229" s="26"/>
    </row>
    <row r="230" ht="15.75" spans="1:3">
      <c r="A230">
        <v>229</v>
      </c>
      <c r="B230" s="26"/>
      <c r="C230" s="26"/>
    </row>
    <row r="231" ht="21" spans="1:3">
      <c r="A231">
        <v>230</v>
      </c>
      <c r="B231" s="27" t="s">
        <v>16892</v>
      </c>
      <c r="C231" s="26"/>
    </row>
    <row r="232" ht="21" spans="1:3">
      <c r="A232">
        <v>231</v>
      </c>
      <c r="B232" s="27" t="s">
        <v>16892</v>
      </c>
      <c r="C232" s="26"/>
    </row>
    <row r="233" ht="15.75" spans="1:3">
      <c r="A233">
        <v>232</v>
      </c>
      <c r="B233" s="26"/>
      <c r="C233" s="26"/>
    </row>
    <row r="234" ht="15.75" spans="1:3">
      <c r="A234">
        <v>233</v>
      </c>
      <c r="B234" s="26"/>
      <c r="C234" s="26"/>
    </row>
    <row r="235" ht="15.75" spans="1:3">
      <c r="A235">
        <v>234</v>
      </c>
      <c r="B235" s="26"/>
      <c r="C235" s="26"/>
    </row>
    <row r="236" ht="21" spans="1:3">
      <c r="A236">
        <v>235</v>
      </c>
      <c r="B236" s="25" t="s">
        <v>16892</v>
      </c>
      <c r="C236" s="26"/>
    </row>
    <row r="237" ht="15.75" spans="1:3">
      <c r="A237">
        <v>236</v>
      </c>
      <c r="B237" s="26"/>
      <c r="C237" s="26"/>
    </row>
    <row r="238" ht="15.75" spans="1:3">
      <c r="A238">
        <v>237</v>
      </c>
      <c r="B238" s="26"/>
      <c r="C238" s="26"/>
    </row>
    <row r="239" ht="15.75" spans="1:3">
      <c r="A239">
        <v>238</v>
      </c>
      <c r="B239" s="26"/>
      <c r="C239" s="26"/>
    </row>
    <row r="240" ht="15.75" spans="1:3">
      <c r="A240">
        <v>239</v>
      </c>
      <c r="B240" s="29"/>
      <c r="C240" s="29"/>
    </row>
    <row r="241" ht="15.75" spans="1:3">
      <c r="A241">
        <v>240</v>
      </c>
      <c r="B241" s="29"/>
      <c r="C241" s="29"/>
    </row>
    <row r="242" ht="15.75" spans="1:3">
      <c r="A242">
        <v>241</v>
      </c>
      <c r="B242" s="26"/>
      <c r="C242" s="26"/>
    </row>
    <row r="243" ht="15.75" spans="1:3">
      <c r="A243">
        <v>242</v>
      </c>
      <c r="B243" s="26"/>
      <c r="C243" s="26"/>
    </row>
    <row r="244" ht="15.75" spans="1:3">
      <c r="A244">
        <v>243</v>
      </c>
      <c r="B244" s="26"/>
      <c r="C244" s="26"/>
    </row>
    <row r="245" ht="18.75" spans="1:3">
      <c r="A245">
        <v>244</v>
      </c>
      <c r="B245" s="31" t="str">
        <f>IFERROR(__xludf.DUMMYFUNCTION("""COMPUTED_VALUE"""),"የምስራች ስዩም")</f>
        <v>የምስራች ስዩም</v>
      </c>
      <c r="C245" s="30">
        <v>921123170</v>
      </c>
    </row>
    <row r="246" ht="15.75" spans="1:3">
      <c r="A246">
        <v>245</v>
      </c>
      <c r="B246" s="26"/>
      <c r="C246" s="26"/>
    </row>
    <row r="247" ht="15.75" spans="1:3">
      <c r="A247">
        <v>246</v>
      </c>
      <c r="B247" s="26"/>
      <c r="C247" s="26"/>
    </row>
    <row r="248" ht="15.75" spans="1:3">
      <c r="A248">
        <v>247</v>
      </c>
      <c r="B248" s="26"/>
      <c r="C248" s="26"/>
    </row>
    <row r="249" ht="15.75" spans="1:3">
      <c r="A249">
        <v>248</v>
      </c>
      <c r="B249" s="26"/>
      <c r="C249" s="26"/>
    </row>
    <row r="250" ht="15.75" spans="1:3">
      <c r="A250">
        <v>249</v>
      </c>
      <c r="B250" s="26"/>
      <c r="C250" s="26"/>
    </row>
    <row r="251" ht="15.75" spans="1:3">
      <c r="A251">
        <v>250</v>
      </c>
      <c r="B251" s="26"/>
      <c r="C251" s="26"/>
    </row>
    <row r="252" ht="15.75" spans="1:3">
      <c r="A252">
        <v>251</v>
      </c>
      <c r="B252" s="26"/>
      <c r="C252" s="26"/>
    </row>
    <row r="253" ht="18.75" spans="1:3">
      <c r="A253">
        <v>252</v>
      </c>
      <c r="B253" s="32" t="str">
        <f>IFERROR(__xludf.DUMMYFUNCTION("""COMPUTED_VALUE"""),"Senay samuael")</f>
        <v>Senay samuael</v>
      </c>
      <c r="C253" s="33">
        <v>909336363</v>
      </c>
    </row>
    <row r="254" ht="21" spans="1:3">
      <c r="A254">
        <v>253</v>
      </c>
      <c r="B254" s="25" t="s">
        <v>16892</v>
      </c>
      <c r="C254" s="26"/>
    </row>
    <row r="255" ht="21" spans="1:3">
      <c r="A255">
        <v>254</v>
      </c>
      <c r="B255" s="25" t="s">
        <v>16892</v>
      </c>
      <c r="C255" s="26"/>
    </row>
    <row r="256" ht="21" spans="1:3">
      <c r="A256">
        <v>255</v>
      </c>
      <c r="B256" s="25" t="s">
        <v>16892</v>
      </c>
      <c r="C256" s="26"/>
    </row>
    <row r="257" ht="21" spans="1:3">
      <c r="A257">
        <v>256</v>
      </c>
      <c r="B257" s="27" t="s">
        <v>16892</v>
      </c>
      <c r="C257" s="26"/>
    </row>
    <row r="258" ht="21" spans="1:3">
      <c r="A258">
        <v>257</v>
      </c>
      <c r="B258" s="25" t="s">
        <v>16892</v>
      </c>
      <c r="C258" s="26"/>
    </row>
    <row r="259" ht="21" spans="1:3">
      <c r="A259">
        <v>258</v>
      </c>
      <c r="B259" s="25" t="s">
        <v>16892</v>
      </c>
      <c r="C259" s="26"/>
    </row>
    <row r="260" ht="15.75" spans="1:3">
      <c r="A260">
        <v>259</v>
      </c>
      <c r="B260" s="26"/>
      <c r="C260" s="26"/>
    </row>
    <row r="261" ht="21" spans="1:3">
      <c r="A261">
        <v>260</v>
      </c>
      <c r="B261" s="25" t="s">
        <v>16892</v>
      </c>
      <c r="C261" s="26"/>
    </row>
    <row r="262" ht="15.75" spans="1:3">
      <c r="A262">
        <v>261</v>
      </c>
      <c r="B262" s="26"/>
      <c r="C262" s="26"/>
    </row>
    <row r="263" ht="21" spans="1:3">
      <c r="A263">
        <v>262</v>
      </c>
      <c r="B263" s="25" t="s">
        <v>16892</v>
      </c>
      <c r="C263" s="26"/>
    </row>
    <row r="264" ht="21" spans="1:3">
      <c r="A264">
        <v>263</v>
      </c>
      <c r="B264" s="27" t="s">
        <v>16892</v>
      </c>
      <c r="C264" s="26"/>
    </row>
    <row r="265" ht="21" spans="1:3">
      <c r="A265">
        <v>264</v>
      </c>
      <c r="B265" s="27" t="s">
        <v>16892</v>
      </c>
      <c r="C265" s="26"/>
    </row>
    <row r="266" ht="21" spans="1:3">
      <c r="A266">
        <v>265</v>
      </c>
      <c r="B266" s="27" t="s">
        <v>16892</v>
      </c>
      <c r="C266" s="26"/>
    </row>
    <row r="267" ht="21" spans="1:3">
      <c r="A267">
        <v>266</v>
      </c>
      <c r="B267" s="27" t="s">
        <v>16892</v>
      </c>
      <c r="C267" s="26"/>
    </row>
    <row r="268" ht="21" spans="1:3">
      <c r="A268">
        <v>267</v>
      </c>
      <c r="B268" s="27" t="s">
        <v>16892</v>
      </c>
      <c r="C268" s="26"/>
    </row>
    <row r="269" ht="21" spans="1:3">
      <c r="A269">
        <v>268</v>
      </c>
      <c r="B269" s="27" t="s">
        <v>16892</v>
      </c>
      <c r="C269" s="26"/>
    </row>
    <row r="270" ht="21" spans="1:3">
      <c r="A270">
        <v>269</v>
      </c>
      <c r="B270" s="25" t="s">
        <v>16892</v>
      </c>
      <c r="C270" s="26"/>
    </row>
    <row r="271" ht="21" spans="1:3">
      <c r="A271">
        <v>270</v>
      </c>
      <c r="B271" s="25" t="s">
        <v>16892</v>
      </c>
      <c r="C271" s="26"/>
    </row>
    <row r="272" ht="21" spans="1:3">
      <c r="A272">
        <v>271</v>
      </c>
      <c r="B272" s="27" t="s">
        <v>16892</v>
      </c>
      <c r="C272" s="26"/>
    </row>
    <row r="273" ht="21" spans="1:3">
      <c r="A273">
        <v>272</v>
      </c>
      <c r="B273" s="27" t="s">
        <v>16892</v>
      </c>
      <c r="C273" s="26"/>
    </row>
    <row r="274" ht="21" spans="1:3">
      <c r="A274">
        <v>273</v>
      </c>
      <c r="B274" s="27" t="s">
        <v>16892</v>
      </c>
      <c r="C274" s="26"/>
    </row>
    <row r="275" ht="21" spans="1:3">
      <c r="A275">
        <v>274</v>
      </c>
      <c r="B275" s="27" t="s">
        <v>16892</v>
      </c>
      <c r="C275" s="26"/>
    </row>
    <row r="276" ht="21" spans="1:3">
      <c r="A276">
        <v>275</v>
      </c>
      <c r="B276" s="27" t="s">
        <v>16892</v>
      </c>
      <c r="C276" s="26"/>
    </row>
    <row r="277" ht="30" spans="1:3">
      <c r="A277">
        <v>276</v>
      </c>
      <c r="B277" s="37" t="s">
        <v>16896</v>
      </c>
      <c r="C277" s="38">
        <v>911600498</v>
      </c>
    </row>
    <row r="278" ht="18.75" spans="1:3">
      <c r="A278">
        <v>277</v>
      </c>
      <c r="B278" s="39" t="str">
        <f>IFERROR(__xludf.DUMMYFUNCTION("""COMPUTED_VALUE"""),"Meseret Biru")</f>
        <v>Meseret Biru</v>
      </c>
      <c r="C278" s="34">
        <v>939485829</v>
      </c>
    </row>
    <row r="279" ht="21" spans="1:3">
      <c r="A279">
        <v>278</v>
      </c>
      <c r="B279" s="27" t="s">
        <v>16892</v>
      </c>
      <c r="C279" s="26"/>
    </row>
    <row r="280" ht="21" spans="1:3">
      <c r="A280">
        <v>279</v>
      </c>
      <c r="B280" s="25" t="s">
        <v>16892</v>
      </c>
      <c r="C280" s="26"/>
    </row>
    <row r="281" ht="21" spans="1:3">
      <c r="A281">
        <v>280</v>
      </c>
      <c r="B281" s="25" t="s">
        <v>16892</v>
      </c>
      <c r="C281" s="26"/>
    </row>
    <row r="282" ht="21" spans="1:3">
      <c r="A282">
        <v>281</v>
      </c>
      <c r="B282" s="25" t="s">
        <v>16892</v>
      </c>
      <c r="C282" s="26"/>
    </row>
    <row r="283" ht="21" spans="1:3">
      <c r="A283">
        <v>282</v>
      </c>
      <c r="B283" s="25" t="s">
        <v>16892</v>
      </c>
      <c r="C283" s="26"/>
    </row>
    <row r="284" ht="21" spans="1:3">
      <c r="A284">
        <v>283</v>
      </c>
      <c r="B284" s="27" t="s">
        <v>16892</v>
      </c>
      <c r="C284" s="26"/>
    </row>
    <row r="285" ht="21" spans="1:3">
      <c r="A285">
        <v>284</v>
      </c>
      <c r="B285" s="27" t="s">
        <v>16892</v>
      </c>
      <c r="C285" s="26"/>
    </row>
    <row r="286" ht="15.75" spans="1:3">
      <c r="A286">
        <v>285</v>
      </c>
      <c r="B286" s="26"/>
      <c r="C286" s="26"/>
    </row>
    <row r="287" ht="15.75" spans="1:3">
      <c r="A287">
        <v>286</v>
      </c>
      <c r="B287" s="26"/>
      <c r="C287" s="26"/>
    </row>
    <row r="288" ht="21" spans="1:3">
      <c r="A288">
        <v>287</v>
      </c>
      <c r="B288" s="25" t="s">
        <v>16892</v>
      </c>
      <c r="C288" s="26"/>
    </row>
    <row r="289" ht="21" spans="1:3">
      <c r="A289">
        <v>288</v>
      </c>
      <c r="B289" s="27" t="s">
        <v>16892</v>
      </c>
      <c r="C289" s="26"/>
    </row>
    <row r="290" ht="15.75" spans="1:3">
      <c r="A290">
        <v>289</v>
      </c>
      <c r="B290" s="26"/>
      <c r="C290" s="26"/>
    </row>
    <row r="291" ht="15.75" spans="1:3">
      <c r="A291">
        <v>290</v>
      </c>
      <c r="B291" s="26"/>
      <c r="C291" s="26"/>
    </row>
    <row r="292" ht="21" spans="1:3">
      <c r="A292">
        <v>291</v>
      </c>
      <c r="B292" s="27" t="s">
        <v>16892</v>
      </c>
      <c r="C292" s="26"/>
    </row>
    <row r="293" ht="21" spans="1:3">
      <c r="A293">
        <v>292</v>
      </c>
      <c r="B293" s="27" t="s">
        <v>16892</v>
      </c>
      <c r="C293" s="26"/>
    </row>
    <row r="294" ht="21" spans="1:3">
      <c r="A294">
        <v>293</v>
      </c>
      <c r="B294" s="25" t="s">
        <v>16892</v>
      </c>
      <c r="C294" s="26"/>
    </row>
    <row r="295" ht="15.75" spans="1:3">
      <c r="A295">
        <v>294</v>
      </c>
      <c r="B295" s="26"/>
      <c r="C295" s="26"/>
    </row>
    <row r="296" ht="15.75" spans="1:3">
      <c r="A296">
        <v>295</v>
      </c>
      <c r="B296" s="26"/>
      <c r="C296" s="26"/>
    </row>
    <row r="297" ht="21" spans="1:3">
      <c r="A297">
        <v>296</v>
      </c>
      <c r="B297" s="27" t="s">
        <v>16892</v>
      </c>
      <c r="C297" s="26"/>
    </row>
    <row r="298" ht="15.75" spans="1:3">
      <c r="A298">
        <v>297</v>
      </c>
      <c r="B298" s="26"/>
      <c r="C298" s="26"/>
    </row>
    <row r="299" ht="15.75" spans="1:3">
      <c r="A299">
        <v>298</v>
      </c>
      <c r="B299" s="26"/>
      <c r="C299" s="26"/>
    </row>
    <row r="300" ht="21" spans="1:3">
      <c r="A300">
        <v>299</v>
      </c>
      <c r="B300" s="27" t="s">
        <v>16892</v>
      </c>
      <c r="C300" s="26"/>
    </row>
    <row r="301" ht="21" spans="1:3">
      <c r="A301">
        <v>300</v>
      </c>
      <c r="B301" s="27" t="s">
        <v>16892</v>
      </c>
      <c r="C301" s="26"/>
    </row>
    <row r="302" ht="21" spans="1:3">
      <c r="A302">
        <v>301</v>
      </c>
      <c r="B302" s="25" t="s">
        <v>16892</v>
      </c>
      <c r="C302" s="26"/>
    </row>
    <row r="303" ht="21" spans="1:3">
      <c r="A303">
        <v>302</v>
      </c>
      <c r="B303" s="27" t="s">
        <v>16892</v>
      </c>
      <c r="C303" s="26"/>
    </row>
    <row r="304" ht="21" spans="1:3">
      <c r="A304">
        <v>303</v>
      </c>
      <c r="B304" s="27" t="s">
        <v>16892</v>
      </c>
      <c r="C304" s="26"/>
    </row>
    <row r="305" ht="21" spans="1:3">
      <c r="A305">
        <v>304</v>
      </c>
      <c r="B305" s="25" t="s">
        <v>16892</v>
      </c>
      <c r="C305" s="26"/>
    </row>
    <row r="306" ht="21" spans="1:3">
      <c r="A306">
        <v>305</v>
      </c>
      <c r="B306" s="27" t="s">
        <v>16892</v>
      </c>
      <c r="C306" s="26"/>
    </row>
    <row r="307" ht="21" spans="1:3">
      <c r="A307">
        <v>306</v>
      </c>
      <c r="B307" s="25" t="s">
        <v>16892</v>
      </c>
      <c r="C307" s="26"/>
    </row>
    <row r="308" ht="21" spans="1:3">
      <c r="A308">
        <v>307</v>
      </c>
      <c r="B308" s="27" t="s">
        <v>16892</v>
      </c>
      <c r="C308" s="26"/>
    </row>
    <row r="309" ht="21" spans="1:3">
      <c r="A309">
        <v>308</v>
      </c>
      <c r="B309" s="27" t="s">
        <v>16892</v>
      </c>
      <c r="C309" s="26"/>
    </row>
    <row r="310" ht="21" spans="1:3">
      <c r="A310">
        <v>309</v>
      </c>
      <c r="B310" s="27" t="s">
        <v>16892</v>
      </c>
      <c r="C310" s="26"/>
    </row>
    <row r="311" ht="21" spans="1:3">
      <c r="A311">
        <v>310</v>
      </c>
      <c r="B311" s="40" t="s">
        <v>16892</v>
      </c>
      <c r="C311" s="41"/>
    </row>
    <row r="312" ht="21" spans="1:3">
      <c r="A312">
        <v>311</v>
      </c>
      <c r="B312" s="40" t="s">
        <v>16892</v>
      </c>
      <c r="C312" s="41"/>
    </row>
    <row r="313" ht="21" spans="1:3">
      <c r="A313">
        <v>312</v>
      </c>
      <c r="B313" s="40" t="s">
        <v>16892</v>
      </c>
      <c r="C313" s="41"/>
    </row>
    <row r="314" ht="21" spans="1:3">
      <c r="A314">
        <v>313</v>
      </c>
      <c r="B314" s="27" t="s">
        <v>16892</v>
      </c>
      <c r="C314" s="26"/>
    </row>
    <row r="315" ht="21" spans="1:3">
      <c r="A315">
        <v>314</v>
      </c>
      <c r="B315" s="25" t="s">
        <v>16897</v>
      </c>
      <c r="C315" s="26"/>
    </row>
    <row r="316" ht="21" spans="1:3">
      <c r="A316">
        <v>315</v>
      </c>
      <c r="B316" s="27" t="s">
        <v>16892</v>
      </c>
      <c r="C316" s="26"/>
    </row>
    <row r="317" ht="21" spans="1:3">
      <c r="A317">
        <v>316</v>
      </c>
      <c r="B317" s="25" t="s">
        <v>16892</v>
      </c>
      <c r="C317" s="26"/>
    </row>
    <row r="318" ht="21" spans="1:3">
      <c r="A318">
        <v>317</v>
      </c>
      <c r="B318" s="25" t="s">
        <v>16892</v>
      </c>
      <c r="C318" s="26"/>
    </row>
    <row r="319" ht="15.75" spans="1:3">
      <c r="A319">
        <v>318</v>
      </c>
      <c r="B319" s="26"/>
      <c r="C319" s="26"/>
    </row>
    <row r="320" ht="21" spans="1:3">
      <c r="A320">
        <v>319</v>
      </c>
      <c r="B320" s="25" t="s">
        <v>16892</v>
      </c>
      <c r="C320" s="26"/>
    </row>
    <row r="321" ht="21" spans="1:3">
      <c r="A321">
        <v>320</v>
      </c>
      <c r="B321" s="27" t="s">
        <v>16892</v>
      </c>
      <c r="C321" s="26"/>
    </row>
    <row r="322" ht="21" spans="1:3">
      <c r="A322">
        <v>321</v>
      </c>
      <c r="B322" s="25" t="s">
        <v>16892</v>
      </c>
      <c r="C322" s="26"/>
    </row>
    <row r="323" ht="21" spans="1:3">
      <c r="A323">
        <v>322</v>
      </c>
      <c r="B323" s="27" t="s">
        <v>16892</v>
      </c>
      <c r="C323" s="26"/>
    </row>
    <row r="324" ht="21" spans="1:3">
      <c r="A324">
        <v>323</v>
      </c>
      <c r="B324" s="27" t="s">
        <v>16892</v>
      </c>
      <c r="C324" s="26"/>
    </row>
    <row r="325" ht="15.75" spans="1:3">
      <c r="A325">
        <v>324</v>
      </c>
      <c r="B325" s="26"/>
      <c r="C325" s="26"/>
    </row>
    <row r="326" ht="21" spans="1:3">
      <c r="A326">
        <v>325</v>
      </c>
      <c r="B326" s="27" t="s">
        <v>16892</v>
      </c>
      <c r="C326" s="26"/>
    </row>
    <row r="327" ht="21" spans="1:3">
      <c r="A327">
        <v>326</v>
      </c>
      <c r="B327" s="27" t="s">
        <v>16892</v>
      </c>
      <c r="C327" s="26"/>
    </row>
    <row r="328" ht="21" spans="1:3">
      <c r="A328">
        <v>327</v>
      </c>
      <c r="B328" s="27" t="s">
        <v>16892</v>
      </c>
      <c r="C328" s="26"/>
    </row>
    <row r="329" ht="21" spans="1:3">
      <c r="A329">
        <v>328</v>
      </c>
      <c r="B329" s="27" t="s">
        <v>16892</v>
      </c>
      <c r="C329" s="26"/>
    </row>
    <row r="330" ht="21" spans="1:3">
      <c r="A330">
        <v>329</v>
      </c>
      <c r="B330" s="27" t="s">
        <v>16892</v>
      </c>
      <c r="C330" s="26"/>
    </row>
    <row r="331" ht="21" spans="1:3">
      <c r="A331">
        <v>330</v>
      </c>
      <c r="B331" s="25" t="s">
        <v>16892</v>
      </c>
      <c r="C331" s="26"/>
    </row>
    <row r="332" ht="21" spans="1:3">
      <c r="A332">
        <v>331</v>
      </c>
      <c r="B332" s="27" t="s">
        <v>16892</v>
      </c>
      <c r="C332" s="26"/>
    </row>
    <row r="333" ht="21" spans="1:3">
      <c r="A333">
        <v>332</v>
      </c>
      <c r="B333" s="27" t="s">
        <v>16892</v>
      </c>
      <c r="C333" s="26"/>
    </row>
    <row r="334" ht="15.75" spans="1:3">
      <c r="A334">
        <v>333</v>
      </c>
      <c r="B334" s="26"/>
      <c r="C334" s="26"/>
    </row>
    <row r="335" ht="21" spans="1:3">
      <c r="A335">
        <v>334</v>
      </c>
      <c r="B335" s="27" t="s">
        <v>16892</v>
      </c>
      <c r="C335" s="26"/>
    </row>
    <row r="336" ht="21" spans="1:3">
      <c r="A336">
        <v>335</v>
      </c>
      <c r="B336" s="27" t="s">
        <v>16892</v>
      </c>
      <c r="C336" s="26"/>
    </row>
    <row r="337" ht="21" spans="1:3">
      <c r="A337">
        <v>336</v>
      </c>
      <c r="B337" s="27" t="s">
        <v>16892</v>
      </c>
      <c r="C337" s="26"/>
    </row>
    <row r="338" ht="15.75" spans="1:3">
      <c r="A338">
        <v>337</v>
      </c>
      <c r="B338" s="26"/>
      <c r="C338" s="26"/>
    </row>
    <row r="339" ht="21" spans="1:3">
      <c r="A339">
        <v>338</v>
      </c>
      <c r="B339" s="27" t="s">
        <v>16892</v>
      </c>
      <c r="C339" s="26"/>
    </row>
    <row r="340" ht="15.75" spans="1:3">
      <c r="A340">
        <v>339</v>
      </c>
      <c r="B340" s="29"/>
      <c r="C340" s="29"/>
    </row>
    <row r="341" ht="15.75" spans="1:3">
      <c r="A341">
        <v>340</v>
      </c>
      <c r="B341" s="29"/>
      <c r="C341" s="29"/>
    </row>
    <row r="342" ht="21" spans="1:3">
      <c r="A342">
        <v>341</v>
      </c>
      <c r="B342" s="25" t="s">
        <v>16892</v>
      </c>
      <c r="C342" s="26"/>
    </row>
    <row r="343" ht="21" spans="1:3">
      <c r="A343">
        <v>342</v>
      </c>
      <c r="B343" s="25" t="s">
        <v>16892</v>
      </c>
      <c r="C343" s="26"/>
    </row>
    <row r="344" ht="15.75" spans="1:3">
      <c r="A344">
        <v>343</v>
      </c>
      <c r="B344" s="26"/>
      <c r="C344" s="26"/>
    </row>
    <row r="345" ht="21" spans="1:3">
      <c r="A345">
        <v>344</v>
      </c>
      <c r="B345" s="25" t="s">
        <v>16892</v>
      </c>
      <c r="C345" s="26"/>
    </row>
    <row r="346" ht="21" spans="1:3">
      <c r="A346">
        <v>345</v>
      </c>
      <c r="B346" s="27" t="s">
        <v>16892</v>
      </c>
      <c r="C346" s="26"/>
    </row>
    <row r="347" ht="21" spans="1:3">
      <c r="A347">
        <v>346</v>
      </c>
      <c r="B347" s="27" t="s">
        <v>16892</v>
      </c>
      <c r="C347" s="26"/>
    </row>
    <row r="348" ht="21" spans="1:3">
      <c r="A348">
        <v>347</v>
      </c>
      <c r="B348" s="25" t="s">
        <v>16892</v>
      </c>
      <c r="C348" s="26"/>
    </row>
    <row r="349" ht="21" spans="1:3">
      <c r="A349">
        <v>348</v>
      </c>
      <c r="B349" s="27" t="s">
        <v>16892</v>
      </c>
      <c r="C349" s="26"/>
    </row>
    <row r="350" ht="21" spans="1:3">
      <c r="A350">
        <v>349</v>
      </c>
      <c r="B350" s="25" t="s">
        <v>16892</v>
      </c>
      <c r="C350" s="26"/>
    </row>
    <row r="351" ht="21" spans="1:3">
      <c r="A351">
        <v>350</v>
      </c>
      <c r="B351" s="27" t="s">
        <v>16892</v>
      </c>
      <c r="C351" s="26"/>
    </row>
    <row r="352" ht="15.75" spans="1:3">
      <c r="A352">
        <v>351</v>
      </c>
      <c r="B352" s="26"/>
      <c r="C352" s="26"/>
    </row>
    <row r="353" ht="21" spans="1:3">
      <c r="A353">
        <v>352</v>
      </c>
      <c r="B353" s="25" t="s">
        <v>16892</v>
      </c>
      <c r="C353" s="26"/>
    </row>
    <row r="354" ht="21" spans="1:3">
      <c r="A354">
        <v>353</v>
      </c>
      <c r="B354" s="27" t="s">
        <v>16892</v>
      </c>
      <c r="C354" s="26"/>
    </row>
    <row r="355" ht="15.75" spans="1:3">
      <c r="A355">
        <v>354</v>
      </c>
      <c r="B355" s="26"/>
      <c r="C355" s="26"/>
    </row>
    <row r="356" ht="21" spans="1:3">
      <c r="A356">
        <v>355</v>
      </c>
      <c r="B356" s="25" t="s">
        <v>16892</v>
      </c>
      <c r="C356" s="26"/>
    </row>
    <row r="357" ht="21" spans="1:3">
      <c r="A357">
        <v>356</v>
      </c>
      <c r="B357" s="25" t="s">
        <v>16892</v>
      </c>
      <c r="C357" s="26"/>
    </row>
    <row r="358" ht="15.75" spans="1:3">
      <c r="A358">
        <v>357</v>
      </c>
      <c r="B358" s="26"/>
      <c r="C358" s="26"/>
    </row>
    <row r="359" ht="21" spans="1:3">
      <c r="A359">
        <v>358</v>
      </c>
      <c r="B359" s="25" t="s">
        <v>16892</v>
      </c>
      <c r="C359" s="26"/>
    </row>
    <row r="360" ht="15.75" spans="1:3">
      <c r="A360">
        <v>359</v>
      </c>
      <c r="B360" s="26"/>
      <c r="C360" s="26"/>
    </row>
    <row r="361" ht="21" spans="1:3">
      <c r="A361">
        <v>360</v>
      </c>
      <c r="B361" s="27" t="s">
        <v>16892</v>
      </c>
      <c r="C361" s="26"/>
    </row>
    <row r="362" ht="21" spans="1:3">
      <c r="A362">
        <v>361</v>
      </c>
      <c r="B362" s="25" t="s">
        <v>16892</v>
      </c>
      <c r="C362" s="26"/>
    </row>
    <row r="363" ht="21" spans="1:3">
      <c r="A363">
        <v>362</v>
      </c>
      <c r="B363" s="25" t="s">
        <v>16892</v>
      </c>
      <c r="C363" s="26"/>
    </row>
    <row r="364" ht="15.75" spans="1:3">
      <c r="A364">
        <v>363</v>
      </c>
      <c r="B364" s="26"/>
      <c r="C364" s="26"/>
    </row>
    <row r="365" ht="21" spans="1:3">
      <c r="A365">
        <v>364</v>
      </c>
      <c r="B365" s="27" t="s">
        <v>16892</v>
      </c>
      <c r="C365" s="26"/>
    </row>
    <row r="366" ht="21" spans="1:3">
      <c r="A366">
        <v>365</v>
      </c>
      <c r="B366" s="25" t="s">
        <v>16892</v>
      </c>
      <c r="C366" s="26"/>
    </row>
    <row r="367" ht="21" spans="1:3">
      <c r="A367">
        <v>366</v>
      </c>
      <c r="B367" s="27" t="s">
        <v>16892</v>
      </c>
      <c r="C367" s="26"/>
    </row>
    <row r="368" ht="21" spans="1:3">
      <c r="A368">
        <v>367</v>
      </c>
      <c r="B368" s="25" t="s">
        <v>16892</v>
      </c>
      <c r="C368" s="26"/>
    </row>
    <row r="369" ht="21" spans="1:3">
      <c r="A369">
        <v>368</v>
      </c>
      <c r="B369" s="25" t="s">
        <v>16892</v>
      </c>
      <c r="C369" s="26"/>
    </row>
    <row r="370" ht="15.75" spans="1:3">
      <c r="A370">
        <v>369</v>
      </c>
      <c r="B370" s="26"/>
      <c r="C370" s="26"/>
    </row>
    <row r="371" ht="21" spans="1:3">
      <c r="A371">
        <v>370</v>
      </c>
      <c r="B371" s="25" t="s">
        <v>16892</v>
      </c>
      <c r="C371" s="26"/>
    </row>
    <row r="372" ht="21" spans="1:3">
      <c r="A372">
        <v>371</v>
      </c>
      <c r="B372" s="27" t="s">
        <v>16892</v>
      </c>
      <c r="C372" s="26"/>
    </row>
    <row r="373" ht="21" spans="1:3">
      <c r="A373">
        <v>372</v>
      </c>
      <c r="B373" s="27" t="s">
        <v>16892</v>
      </c>
      <c r="C373" s="26"/>
    </row>
    <row r="374" ht="15.75" spans="1:3">
      <c r="A374">
        <v>373</v>
      </c>
      <c r="B374" s="26"/>
      <c r="C374" s="26"/>
    </row>
    <row r="375" ht="21" spans="1:3">
      <c r="A375">
        <v>374</v>
      </c>
      <c r="B375" s="27" t="s">
        <v>16892</v>
      </c>
      <c r="C375" s="26"/>
    </row>
    <row r="376" ht="21" spans="1:3">
      <c r="A376">
        <v>375</v>
      </c>
      <c r="B376" s="25" t="s">
        <v>16892</v>
      </c>
      <c r="C376" s="26"/>
    </row>
    <row r="377" ht="21" spans="1:3">
      <c r="A377">
        <v>376</v>
      </c>
      <c r="B377" s="25" t="s">
        <v>16892</v>
      </c>
      <c r="C377" s="26"/>
    </row>
    <row r="378" ht="21" spans="1:3">
      <c r="A378">
        <v>377</v>
      </c>
      <c r="B378" s="25" t="s">
        <v>16892</v>
      </c>
      <c r="C378" s="26"/>
    </row>
    <row r="379" ht="18" spans="1:3">
      <c r="A379">
        <v>378</v>
      </c>
      <c r="B379" s="31" t="str">
        <f>IFERROR(__xludf.DUMMYFUNCTION("""COMPUTED_VALUE"""),"ራዓይ ንብይ መኮንን")</f>
        <v>ራዓይ ንብይ መኮንን</v>
      </c>
      <c r="C379" s="31">
        <v>911444443</v>
      </c>
    </row>
    <row r="380" ht="21" spans="1:3">
      <c r="A380">
        <v>379</v>
      </c>
      <c r="B380" s="27" t="s">
        <v>16892</v>
      </c>
      <c r="C380" s="26"/>
    </row>
    <row r="381" ht="21" spans="1:3">
      <c r="A381">
        <v>380</v>
      </c>
      <c r="B381" s="25" t="s">
        <v>16892</v>
      </c>
      <c r="C381" s="26"/>
    </row>
    <row r="382" ht="15.75" spans="1:3">
      <c r="A382">
        <v>381</v>
      </c>
      <c r="B382" s="26"/>
      <c r="C382" s="26"/>
    </row>
    <row r="383" ht="21" spans="1:3">
      <c r="A383">
        <v>382</v>
      </c>
      <c r="B383" s="27" t="s">
        <v>16892</v>
      </c>
      <c r="C383" s="26"/>
    </row>
    <row r="384" ht="21" spans="1:3">
      <c r="A384">
        <v>383</v>
      </c>
      <c r="B384" s="27" t="s">
        <v>16892</v>
      </c>
      <c r="C384" s="26"/>
    </row>
    <row r="385" ht="15.75" spans="1:3">
      <c r="A385">
        <v>384</v>
      </c>
      <c r="B385" s="26"/>
      <c r="C385" s="26"/>
    </row>
    <row r="386" ht="21" spans="1:3">
      <c r="A386">
        <v>385</v>
      </c>
      <c r="B386" s="25" t="s">
        <v>16892</v>
      </c>
      <c r="C386" s="26"/>
    </row>
    <row r="387" ht="21" spans="1:3">
      <c r="A387">
        <v>386</v>
      </c>
      <c r="B387" s="27" t="s">
        <v>16892</v>
      </c>
      <c r="C387" s="26"/>
    </row>
    <row r="388" ht="21" spans="1:3">
      <c r="A388">
        <v>387</v>
      </c>
      <c r="B388" s="27" t="s">
        <v>16892</v>
      </c>
      <c r="C388" s="26"/>
    </row>
    <row r="389" ht="21" spans="1:3">
      <c r="A389">
        <v>388</v>
      </c>
      <c r="B389" s="27" t="s">
        <v>16892</v>
      </c>
      <c r="C389" s="26"/>
    </row>
    <row r="390" ht="21" spans="1:3">
      <c r="A390">
        <v>389</v>
      </c>
      <c r="B390" s="25" t="s">
        <v>16892</v>
      </c>
      <c r="C390" s="26"/>
    </row>
    <row r="391" ht="21" spans="1:3">
      <c r="A391">
        <v>390</v>
      </c>
      <c r="B391" s="27" t="s">
        <v>16892</v>
      </c>
      <c r="C391" s="26"/>
    </row>
    <row r="392" ht="21" spans="1:3">
      <c r="A392">
        <v>391</v>
      </c>
      <c r="B392" s="25" t="s">
        <v>16892</v>
      </c>
      <c r="C392" s="26"/>
    </row>
    <row r="393" ht="21" spans="1:3">
      <c r="A393">
        <v>392</v>
      </c>
      <c r="B393" s="25" t="s">
        <v>16892</v>
      </c>
      <c r="C393" s="26"/>
    </row>
    <row r="394" ht="21" spans="1:3">
      <c r="A394">
        <v>393</v>
      </c>
      <c r="B394" s="27" t="s">
        <v>16892</v>
      </c>
      <c r="C394" s="26"/>
    </row>
    <row r="395" ht="21" spans="1:3">
      <c r="A395">
        <v>394</v>
      </c>
      <c r="B395" s="25" t="s">
        <v>16892</v>
      </c>
      <c r="C395" s="26"/>
    </row>
    <row r="396" ht="15.75" spans="1:3">
      <c r="A396">
        <v>395</v>
      </c>
      <c r="B396" s="26"/>
      <c r="C396" s="26"/>
    </row>
    <row r="397" ht="21" spans="1:3">
      <c r="A397">
        <v>396</v>
      </c>
      <c r="B397" s="27" t="s">
        <v>16892</v>
      </c>
      <c r="C397" s="26"/>
    </row>
    <row r="398" ht="15.75" spans="1:3">
      <c r="A398">
        <v>397</v>
      </c>
      <c r="B398" s="26"/>
      <c r="C398" s="26"/>
    </row>
    <row r="399" ht="21" spans="1:3">
      <c r="A399">
        <v>398</v>
      </c>
      <c r="B399" s="27" t="s">
        <v>16892</v>
      </c>
      <c r="C399" s="26"/>
    </row>
    <row r="400" ht="21" spans="1:3">
      <c r="A400">
        <v>399</v>
      </c>
      <c r="B400" s="25" t="s">
        <v>16892</v>
      </c>
      <c r="C400" s="26"/>
    </row>
    <row r="401" ht="15.75" spans="1:3">
      <c r="A401">
        <v>400</v>
      </c>
      <c r="B401" s="26"/>
      <c r="C401" s="26"/>
    </row>
    <row r="402" ht="21" spans="1:3">
      <c r="A402">
        <v>401</v>
      </c>
      <c r="B402" s="25" t="s">
        <v>16892</v>
      </c>
      <c r="C402" s="26"/>
    </row>
    <row r="403" ht="21" spans="1:3">
      <c r="A403">
        <v>402</v>
      </c>
      <c r="B403" s="25" t="s">
        <v>16892</v>
      </c>
      <c r="C403" s="26"/>
    </row>
    <row r="404" ht="21" spans="1:3">
      <c r="A404">
        <v>403</v>
      </c>
      <c r="B404" s="27" t="s">
        <v>16892</v>
      </c>
      <c r="C404" s="26"/>
    </row>
    <row r="405" ht="21" spans="1:3">
      <c r="A405">
        <v>404</v>
      </c>
      <c r="B405" s="27" t="s">
        <v>16892</v>
      </c>
      <c r="C405" s="26"/>
    </row>
    <row r="406" ht="21" spans="1:3">
      <c r="A406">
        <v>405</v>
      </c>
      <c r="B406" s="25" t="s">
        <v>16892</v>
      </c>
      <c r="C406" s="26"/>
    </row>
    <row r="407" ht="21" spans="1:3">
      <c r="A407">
        <v>406</v>
      </c>
      <c r="B407" s="25" t="s">
        <v>16892</v>
      </c>
      <c r="C407" s="26"/>
    </row>
    <row r="408" ht="15.75" spans="1:3">
      <c r="A408">
        <v>407</v>
      </c>
      <c r="B408" s="26"/>
      <c r="C408" s="26"/>
    </row>
    <row r="409" ht="21" spans="1:3">
      <c r="A409">
        <v>408</v>
      </c>
      <c r="B409" s="25" t="s">
        <v>16892</v>
      </c>
      <c r="C409" s="26"/>
    </row>
    <row r="410" ht="21" spans="1:3">
      <c r="A410">
        <v>409</v>
      </c>
      <c r="B410" s="27" t="s">
        <v>16892</v>
      </c>
      <c r="C410" s="26"/>
    </row>
    <row r="411" ht="21" spans="1:3">
      <c r="A411">
        <v>410</v>
      </c>
      <c r="B411" s="25" t="s">
        <v>16892</v>
      </c>
      <c r="C411" s="26"/>
    </row>
    <row r="412" ht="21" spans="1:3">
      <c r="A412">
        <v>411</v>
      </c>
      <c r="B412" s="27" t="s">
        <v>16892</v>
      </c>
      <c r="C412" s="26"/>
    </row>
    <row r="413" ht="21" spans="1:3">
      <c r="A413">
        <v>412</v>
      </c>
      <c r="B413" s="27" t="s">
        <v>16892</v>
      </c>
      <c r="C413" s="26"/>
    </row>
    <row r="414" ht="21" spans="1:3">
      <c r="A414">
        <v>413</v>
      </c>
      <c r="B414" s="27" t="s">
        <v>16892</v>
      </c>
      <c r="C414" s="26"/>
    </row>
    <row r="415" ht="21" spans="1:3">
      <c r="A415">
        <v>414</v>
      </c>
      <c r="B415" s="27" t="s">
        <v>16892</v>
      </c>
      <c r="C415" s="26"/>
    </row>
    <row r="416" ht="21" spans="1:3">
      <c r="A416">
        <v>415</v>
      </c>
      <c r="B416" s="27" t="s">
        <v>16892</v>
      </c>
      <c r="C416" s="26"/>
    </row>
    <row r="417" ht="21" spans="1:3">
      <c r="A417">
        <v>416</v>
      </c>
      <c r="B417" s="27" t="s">
        <v>16892</v>
      </c>
      <c r="C417" s="26"/>
    </row>
    <row r="418" ht="21" spans="1:3">
      <c r="A418">
        <v>417</v>
      </c>
      <c r="B418" s="27" t="s">
        <v>16892</v>
      </c>
      <c r="C418" s="26"/>
    </row>
    <row r="419" ht="21" spans="1:3">
      <c r="A419">
        <v>418</v>
      </c>
      <c r="B419" s="25" t="s">
        <v>16892</v>
      </c>
      <c r="C419" s="26"/>
    </row>
    <row r="420" ht="21" spans="1:3">
      <c r="A420">
        <v>419</v>
      </c>
      <c r="B420" s="25" t="s">
        <v>16892</v>
      </c>
      <c r="C420" s="26"/>
    </row>
    <row r="421" ht="15.75" spans="1:3">
      <c r="A421">
        <v>420</v>
      </c>
      <c r="B421" s="26"/>
      <c r="C421" s="26"/>
    </row>
    <row r="422" ht="21" spans="1:3">
      <c r="A422">
        <v>421</v>
      </c>
      <c r="B422" s="25" t="s">
        <v>16892</v>
      </c>
      <c r="C422" s="26"/>
    </row>
    <row r="423" ht="21" spans="1:3">
      <c r="A423">
        <v>422</v>
      </c>
      <c r="B423" s="25" t="s">
        <v>16892</v>
      </c>
      <c r="C423" s="26"/>
    </row>
    <row r="424" ht="15.75" spans="1:3">
      <c r="A424">
        <v>423</v>
      </c>
      <c r="B424" s="29"/>
      <c r="C424" s="29"/>
    </row>
    <row r="425" ht="15.75" spans="1:3">
      <c r="A425">
        <v>424</v>
      </c>
      <c r="B425" s="29"/>
      <c r="C425" s="29"/>
    </row>
    <row r="426" ht="21" spans="1:3">
      <c r="A426">
        <v>425</v>
      </c>
      <c r="B426" s="25" t="s">
        <v>16892</v>
      </c>
      <c r="C426" s="26"/>
    </row>
    <row r="427" ht="21" spans="1:3">
      <c r="A427">
        <v>426</v>
      </c>
      <c r="B427" s="25" t="s">
        <v>16892</v>
      </c>
      <c r="C427" s="26"/>
    </row>
    <row r="428" ht="21" spans="1:3">
      <c r="A428">
        <v>427</v>
      </c>
      <c r="B428" s="25" t="s">
        <v>16892</v>
      </c>
      <c r="C428" s="26"/>
    </row>
    <row r="429" ht="15.75" spans="1:3">
      <c r="A429">
        <v>428</v>
      </c>
      <c r="B429" s="26"/>
      <c r="C429" s="26"/>
    </row>
    <row r="430" ht="21" spans="1:3">
      <c r="A430">
        <v>429</v>
      </c>
      <c r="B430" s="27" t="s">
        <v>16892</v>
      </c>
      <c r="C430" s="26"/>
    </row>
    <row r="431" ht="15.75" spans="1:3">
      <c r="A431">
        <v>430</v>
      </c>
      <c r="B431" s="26"/>
      <c r="C431" s="26"/>
    </row>
    <row r="432" ht="21" spans="1:3">
      <c r="A432">
        <v>431</v>
      </c>
      <c r="B432" s="25" t="s">
        <v>16892</v>
      </c>
      <c r="C432" s="26"/>
    </row>
    <row r="433" ht="21" spans="1:3">
      <c r="A433">
        <v>432</v>
      </c>
      <c r="B433" s="27" t="s">
        <v>16892</v>
      </c>
      <c r="C433" s="26"/>
    </row>
    <row r="434" ht="21" spans="1:3">
      <c r="A434">
        <v>433</v>
      </c>
      <c r="B434" s="27" t="s">
        <v>16892</v>
      </c>
      <c r="C434" s="26"/>
    </row>
    <row r="435" ht="21" spans="1:3">
      <c r="A435">
        <v>434</v>
      </c>
      <c r="B435" s="25" t="s">
        <v>16892</v>
      </c>
      <c r="C435" s="26"/>
    </row>
    <row r="436" ht="21" spans="1:3">
      <c r="A436">
        <v>435</v>
      </c>
      <c r="B436" s="27" t="s">
        <v>16892</v>
      </c>
      <c r="C436" s="26"/>
    </row>
    <row r="437" ht="15.75" spans="1:3">
      <c r="A437">
        <v>436</v>
      </c>
      <c r="B437" s="26"/>
      <c r="C437" s="26"/>
    </row>
    <row r="438" ht="21" spans="1:3">
      <c r="A438">
        <v>437</v>
      </c>
      <c r="B438" s="27" t="s">
        <v>16892</v>
      </c>
      <c r="C438" s="26"/>
    </row>
    <row r="439" ht="15.75" spans="1:3">
      <c r="A439">
        <v>438</v>
      </c>
      <c r="B439" s="26"/>
      <c r="C439" s="26"/>
    </row>
    <row r="440" ht="15.75" spans="1:3">
      <c r="A440">
        <v>439</v>
      </c>
      <c r="B440" s="26"/>
      <c r="C440" s="26"/>
    </row>
    <row r="441" ht="21" spans="1:3">
      <c r="A441">
        <v>440</v>
      </c>
      <c r="B441" s="25" t="s">
        <v>16892</v>
      </c>
      <c r="C441" s="26"/>
    </row>
    <row r="442" ht="18.75" spans="1:3">
      <c r="A442">
        <v>441</v>
      </c>
      <c r="B442" s="30" t="str">
        <f>IFERROR(__xludf.DUMMYFUNCTION("""COMPUTED_VALUE"""),"muluken melese")</f>
        <v>muluken melese</v>
      </c>
      <c r="C442" s="30">
        <v>989204866</v>
      </c>
    </row>
    <row r="443" ht="21" spans="1:3">
      <c r="A443">
        <v>442</v>
      </c>
      <c r="B443" s="25" t="s">
        <v>16892</v>
      </c>
      <c r="C443" s="26"/>
    </row>
    <row r="444" ht="18.75" spans="1:3">
      <c r="A444">
        <v>443</v>
      </c>
      <c r="B444" s="31" t="str">
        <f>IFERROR(__xludf.DUMMYFUNCTION("""COMPUTED_VALUE"""),"ሶስና ቀለጫ")</f>
        <v>ሶስና ቀለጫ</v>
      </c>
      <c r="C444" s="30">
        <v>941148263</v>
      </c>
    </row>
    <row r="445" ht="15.75" spans="1:3">
      <c r="A445">
        <v>444</v>
      </c>
      <c r="B445" s="26"/>
      <c r="C445" s="26"/>
    </row>
    <row r="446" ht="21" spans="1:3">
      <c r="A446">
        <v>445</v>
      </c>
      <c r="B446" s="25" t="s">
        <v>16892</v>
      </c>
      <c r="C446" s="26"/>
    </row>
    <row r="447" ht="21" spans="1:3">
      <c r="A447">
        <v>446</v>
      </c>
      <c r="B447" s="27" t="s">
        <v>16892</v>
      </c>
      <c r="C447" s="26"/>
    </row>
    <row r="448" ht="21" spans="1:3">
      <c r="A448">
        <v>447</v>
      </c>
      <c r="B448" s="25" t="s">
        <v>16892</v>
      </c>
      <c r="C448" s="26"/>
    </row>
    <row r="449" ht="15.75" spans="1:3">
      <c r="A449">
        <v>448</v>
      </c>
      <c r="B449" s="26"/>
      <c r="C449" s="26"/>
    </row>
    <row r="450" ht="21" spans="1:3">
      <c r="A450">
        <v>449</v>
      </c>
      <c r="B450" s="25" t="s">
        <v>16892</v>
      </c>
      <c r="C450" s="26"/>
    </row>
    <row r="451" ht="15.75" spans="1:3">
      <c r="A451">
        <v>450</v>
      </c>
      <c r="B451" s="26"/>
      <c r="C451" s="26"/>
    </row>
    <row r="452" ht="15.75" spans="1:3">
      <c r="A452">
        <v>451</v>
      </c>
      <c r="B452" s="26"/>
      <c r="C452" s="26"/>
    </row>
    <row r="453" ht="15.75" spans="1:3">
      <c r="A453">
        <v>452</v>
      </c>
      <c r="B453" s="26"/>
      <c r="C453" s="26"/>
    </row>
    <row r="454" ht="15.75" spans="1:3">
      <c r="A454">
        <v>453</v>
      </c>
      <c r="B454" s="26"/>
      <c r="C454" s="26"/>
    </row>
    <row r="455" ht="21" spans="1:3">
      <c r="A455">
        <v>454</v>
      </c>
      <c r="B455" s="27" t="s">
        <v>16892</v>
      </c>
      <c r="C455" s="26"/>
    </row>
    <row r="456" ht="21" spans="1:3">
      <c r="A456">
        <v>455</v>
      </c>
      <c r="B456" s="25" t="s">
        <v>16892</v>
      </c>
      <c r="C456" s="26"/>
    </row>
    <row r="457" ht="21" spans="1:3">
      <c r="A457">
        <v>456</v>
      </c>
      <c r="B457" s="25" t="s">
        <v>16892</v>
      </c>
      <c r="C457" s="26"/>
    </row>
    <row r="458" ht="15.75" spans="1:3">
      <c r="A458">
        <v>457</v>
      </c>
      <c r="B458" s="26"/>
      <c r="C458" s="26"/>
    </row>
    <row r="459" ht="21" spans="1:3">
      <c r="A459">
        <v>458</v>
      </c>
      <c r="B459" s="25" t="s">
        <v>16892</v>
      </c>
      <c r="C459" s="26"/>
    </row>
    <row r="460" ht="21" spans="1:3">
      <c r="A460">
        <v>459</v>
      </c>
      <c r="B460" s="25" t="s">
        <v>16892</v>
      </c>
      <c r="C460" s="26"/>
    </row>
    <row r="461" ht="21" spans="1:3">
      <c r="A461">
        <v>460</v>
      </c>
      <c r="B461" s="27" t="s">
        <v>16892</v>
      </c>
      <c r="C461" s="26"/>
    </row>
    <row r="462" ht="15.75" spans="1:3">
      <c r="A462">
        <v>461</v>
      </c>
      <c r="B462" s="26"/>
      <c r="C462" s="26"/>
    </row>
    <row r="463" ht="21" spans="1:3">
      <c r="A463">
        <v>462</v>
      </c>
      <c r="B463" s="27" t="s">
        <v>16892</v>
      </c>
      <c r="C463" s="26"/>
    </row>
    <row r="464" ht="21" spans="1:3">
      <c r="A464">
        <v>463</v>
      </c>
      <c r="B464" s="25" t="s">
        <v>16892</v>
      </c>
      <c r="C464" s="26"/>
    </row>
    <row r="465" ht="21" spans="1:3">
      <c r="A465">
        <v>464</v>
      </c>
      <c r="B465" s="25" t="s">
        <v>16892</v>
      </c>
      <c r="C465" s="26"/>
    </row>
    <row r="466" ht="21" spans="1:3">
      <c r="A466">
        <v>465</v>
      </c>
      <c r="B466" s="27" t="s">
        <v>16892</v>
      </c>
      <c r="C466" s="26"/>
    </row>
    <row r="467" ht="21" spans="1:3">
      <c r="A467">
        <v>466</v>
      </c>
      <c r="B467" s="25" t="s">
        <v>16892</v>
      </c>
      <c r="C467" s="26"/>
    </row>
    <row r="468" ht="15.75" spans="1:3">
      <c r="A468">
        <v>467</v>
      </c>
      <c r="B468" s="29"/>
      <c r="C468" s="29"/>
    </row>
    <row r="469" ht="15.75" spans="1:3">
      <c r="A469">
        <v>468</v>
      </c>
      <c r="B469" s="29"/>
      <c r="C469" s="29"/>
    </row>
    <row r="470" ht="21" spans="1:3">
      <c r="A470">
        <v>469</v>
      </c>
      <c r="B470" s="25" t="s">
        <v>16892</v>
      </c>
      <c r="C470" s="26"/>
    </row>
    <row r="471" ht="15.75" spans="1:3">
      <c r="A471">
        <v>470</v>
      </c>
      <c r="B471" s="26"/>
      <c r="C471" s="26"/>
    </row>
    <row r="472" ht="21" spans="1:3">
      <c r="A472">
        <v>471</v>
      </c>
      <c r="B472" s="27" t="s">
        <v>16892</v>
      </c>
      <c r="C472" s="26"/>
    </row>
    <row r="473" ht="21" spans="1:3">
      <c r="A473">
        <v>472</v>
      </c>
      <c r="B473" s="27" t="s">
        <v>16892</v>
      </c>
      <c r="C473" s="26"/>
    </row>
    <row r="474" ht="21" spans="1:3">
      <c r="A474">
        <v>473</v>
      </c>
      <c r="B474" s="25" t="s">
        <v>16892</v>
      </c>
      <c r="C474" s="26"/>
    </row>
    <row r="475" ht="21" spans="1:3">
      <c r="A475">
        <v>474</v>
      </c>
      <c r="B475" s="27" t="s">
        <v>16892</v>
      </c>
      <c r="C475" s="26"/>
    </row>
    <row r="476" ht="21" spans="1:3">
      <c r="A476">
        <v>475</v>
      </c>
      <c r="B476" s="27" t="s">
        <v>16892</v>
      </c>
      <c r="C476" s="26"/>
    </row>
    <row r="477" ht="21" spans="1:3">
      <c r="A477">
        <v>476</v>
      </c>
      <c r="B477" s="27" t="s">
        <v>16892</v>
      </c>
      <c r="C477" s="26"/>
    </row>
    <row r="478" ht="21" spans="1:3">
      <c r="A478">
        <v>477</v>
      </c>
      <c r="B478" s="25" t="s">
        <v>16892</v>
      </c>
      <c r="C478" s="26"/>
    </row>
    <row r="479" ht="21" spans="1:3">
      <c r="A479">
        <v>478</v>
      </c>
      <c r="B479" s="25" t="s">
        <v>16892</v>
      </c>
      <c r="C479" s="26"/>
    </row>
    <row r="480" ht="21" spans="1:3">
      <c r="A480">
        <v>479</v>
      </c>
      <c r="B480" s="25" t="s">
        <v>16892</v>
      </c>
      <c r="C480" s="26"/>
    </row>
    <row r="481" ht="21" spans="1:3">
      <c r="A481">
        <v>480</v>
      </c>
      <c r="B481" s="25" t="s">
        <v>16892</v>
      </c>
      <c r="C481" s="26"/>
    </row>
    <row r="482" ht="21" spans="1:3">
      <c r="A482">
        <v>481</v>
      </c>
      <c r="B482" s="27" t="s">
        <v>16892</v>
      </c>
      <c r="C482" s="26"/>
    </row>
    <row r="483" ht="21" spans="1:3">
      <c r="A483">
        <v>482</v>
      </c>
      <c r="B483" s="25" t="s">
        <v>16892</v>
      </c>
      <c r="C483" s="26"/>
    </row>
    <row r="484" ht="21" spans="1:3">
      <c r="A484">
        <v>483</v>
      </c>
      <c r="B484" s="25" t="s">
        <v>16892</v>
      </c>
      <c r="C484" s="26"/>
    </row>
    <row r="485" ht="21" spans="1:3">
      <c r="A485">
        <v>484</v>
      </c>
      <c r="B485" s="27" t="s">
        <v>16892</v>
      </c>
      <c r="C485" s="26"/>
    </row>
    <row r="486" ht="21" spans="1:3">
      <c r="A486">
        <v>485</v>
      </c>
      <c r="B486" s="25" t="s">
        <v>16892</v>
      </c>
      <c r="C486" s="26"/>
    </row>
    <row r="487" ht="15.75" spans="1:3">
      <c r="A487">
        <v>486</v>
      </c>
      <c r="B487" s="26"/>
      <c r="C487" s="26"/>
    </row>
    <row r="488" ht="21" spans="1:3">
      <c r="A488">
        <v>487</v>
      </c>
      <c r="B488" s="27" t="s">
        <v>16892</v>
      </c>
      <c r="C488" s="26"/>
    </row>
    <row r="489" ht="21" spans="1:3">
      <c r="A489">
        <v>488</v>
      </c>
      <c r="B489" s="27" t="s">
        <v>16892</v>
      </c>
      <c r="C489" s="26"/>
    </row>
    <row r="490" ht="21" spans="1:3">
      <c r="A490">
        <v>489</v>
      </c>
      <c r="B490" s="27" t="s">
        <v>16892</v>
      </c>
      <c r="C490" s="26"/>
    </row>
    <row r="491" ht="15.75" spans="1:3">
      <c r="A491">
        <v>490</v>
      </c>
      <c r="B491" s="26"/>
      <c r="C491" s="26"/>
    </row>
    <row r="492" ht="15.75" spans="1:3">
      <c r="A492">
        <v>491</v>
      </c>
      <c r="B492" s="26"/>
      <c r="C492" s="26"/>
    </row>
    <row r="493" ht="15.75" spans="1:3">
      <c r="A493">
        <v>492</v>
      </c>
      <c r="B493" s="26"/>
      <c r="C493" s="26"/>
    </row>
    <row r="494" ht="15.75" spans="1:3">
      <c r="A494">
        <v>493</v>
      </c>
      <c r="B494" s="26"/>
      <c r="C494" s="26"/>
    </row>
    <row r="495" ht="15.75" spans="1:3">
      <c r="A495">
        <v>494</v>
      </c>
      <c r="B495" s="26"/>
      <c r="C495" s="26"/>
    </row>
    <row r="496" ht="15.75" spans="1:3">
      <c r="A496">
        <v>495</v>
      </c>
      <c r="B496" s="26"/>
      <c r="C496" s="26"/>
    </row>
    <row r="497" ht="18.75" spans="1:3">
      <c r="A497">
        <v>496</v>
      </c>
      <c r="B497" s="32" t="str">
        <f>IFERROR(__xludf.DUMMYFUNCTION("""COMPUTED_VALUE"""),"ሶፊያ ነጋሽ")</f>
        <v>ሶፊያ ነጋሽ</v>
      </c>
      <c r="C497" s="33">
        <v>973355594</v>
      </c>
    </row>
    <row r="498" ht="15.75" spans="1:3">
      <c r="A498">
        <v>497</v>
      </c>
      <c r="B498" s="26"/>
      <c r="C498" s="26"/>
    </row>
    <row r="499" ht="15.75" spans="1:3">
      <c r="A499">
        <v>498</v>
      </c>
      <c r="B499" s="26"/>
      <c r="C499" s="26"/>
    </row>
    <row r="500" ht="15.75" spans="1:3">
      <c r="A500">
        <v>499</v>
      </c>
      <c r="B500" s="26"/>
      <c r="C500" s="26"/>
    </row>
    <row r="501" ht="15.75" spans="1:3">
      <c r="A501">
        <v>500</v>
      </c>
      <c r="B501" s="26"/>
      <c r="C501" s="26"/>
    </row>
    <row r="502" ht="15.75" spans="1:3">
      <c r="A502">
        <v>501</v>
      </c>
      <c r="B502" s="26"/>
      <c r="C502" s="26"/>
    </row>
    <row r="503" ht="15.75" spans="1:3">
      <c r="A503">
        <v>502</v>
      </c>
      <c r="B503" s="26"/>
      <c r="C503" s="26"/>
    </row>
    <row r="504" ht="15.75" spans="1:3">
      <c r="A504">
        <v>503</v>
      </c>
      <c r="B504" s="26"/>
      <c r="C504" s="26"/>
    </row>
    <row r="505" ht="15.75" spans="1:3">
      <c r="A505">
        <v>504</v>
      </c>
      <c r="B505" s="26"/>
      <c r="C505" s="26"/>
    </row>
    <row r="506" ht="15.75" spans="1:3">
      <c r="A506">
        <v>505</v>
      </c>
      <c r="B506" s="26"/>
      <c r="C506" s="26"/>
    </row>
    <row r="507" ht="18.75" spans="1:3">
      <c r="A507">
        <v>506</v>
      </c>
      <c r="B507" s="31" t="str">
        <f>IFERROR(__xludf.DUMMYFUNCTION("""COMPUTED_VALUE"""),"ያፌት አማኑኤል")</f>
        <v>ያፌት አማኑኤል</v>
      </c>
      <c r="C507" s="30">
        <v>989007782</v>
      </c>
    </row>
    <row r="508" ht="15.75" spans="1:3">
      <c r="A508">
        <v>507</v>
      </c>
      <c r="B508" s="26"/>
      <c r="C508" s="26"/>
    </row>
    <row r="509" ht="15.75" spans="1:3">
      <c r="A509">
        <v>508</v>
      </c>
      <c r="B509" s="26"/>
      <c r="C509" s="26"/>
    </row>
    <row r="510" ht="15.75" spans="1:3">
      <c r="A510">
        <v>509</v>
      </c>
      <c r="B510" s="26"/>
      <c r="C510" s="26"/>
    </row>
    <row r="511" ht="21" spans="1:3">
      <c r="A511">
        <v>510</v>
      </c>
      <c r="B511" s="27" t="s">
        <v>16892</v>
      </c>
      <c r="C511" s="26"/>
    </row>
    <row r="512" ht="15.75" spans="1:3">
      <c r="A512">
        <v>511</v>
      </c>
      <c r="B512" s="26"/>
      <c r="C512" s="26"/>
    </row>
    <row r="513" ht="15.75" spans="1:3">
      <c r="A513">
        <v>512</v>
      </c>
      <c r="B513" s="26"/>
      <c r="C513" s="26"/>
    </row>
    <row r="514" ht="15.75" spans="1:3">
      <c r="A514">
        <v>513</v>
      </c>
      <c r="B514" s="26"/>
      <c r="C514" s="26"/>
    </row>
    <row r="515" ht="15.75" spans="1:3">
      <c r="A515">
        <v>514</v>
      </c>
      <c r="B515" s="26"/>
      <c r="C515" s="26"/>
    </row>
    <row r="516" ht="15.75" spans="1:3">
      <c r="A516">
        <v>515</v>
      </c>
      <c r="B516" s="26"/>
      <c r="C516" s="26"/>
    </row>
    <row r="517" ht="15.75" spans="1:3">
      <c r="A517">
        <v>516</v>
      </c>
      <c r="B517" s="29"/>
      <c r="C517" s="29"/>
    </row>
    <row r="518" ht="15.75" spans="1:3">
      <c r="A518">
        <v>517</v>
      </c>
      <c r="B518" s="29"/>
      <c r="C518" s="29"/>
    </row>
    <row r="519" ht="15.75" spans="1:3">
      <c r="A519">
        <v>518</v>
      </c>
      <c r="B519" s="26"/>
      <c r="C519" s="26"/>
    </row>
    <row r="520" ht="15.75" spans="1:3">
      <c r="A520">
        <v>519</v>
      </c>
      <c r="B520" s="26"/>
      <c r="C520" s="26"/>
    </row>
    <row r="521" ht="15.75" spans="1:3">
      <c r="A521">
        <v>520</v>
      </c>
      <c r="B521" s="26"/>
      <c r="C521" s="26"/>
    </row>
    <row r="522" ht="15.75" spans="1:3">
      <c r="A522">
        <v>521</v>
      </c>
      <c r="B522" s="26"/>
      <c r="C522" s="26"/>
    </row>
    <row r="523" ht="15.75" spans="1:3">
      <c r="A523">
        <v>522</v>
      </c>
      <c r="B523" s="26"/>
      <c r="C523" s="26"/>
    </row>
    <row r="524" ht="15.75" spans="1:3">
      <c r="A524">
        <v>523</v>
      </c>
      <c r="B524" s="26"/>
      <c r="C524" s="26"/>
    </row>
    <row r="525" ht="15.75" spans="1:3">
      <c r="A525">
        <v>524</v>
      </c>
      <c r="B525" s="26"/>
      <c r="C525" s="26"/>
    </row>
    <row r="526" ht="15.75" spans="1:3">
      <c r="A526">
        <v>525</v>
      </c>
      <c r="B526" s="26"/>
      <c r="C526" s="26"/>
    </row>
    <row r="527" ht="15.75" spans="1:3">
      <c r="A527">
        <v>526</v>
      </c>
      <c r="B527" s="26"/>
      <c r="C527" s="26"/>
    </row>
    <row r="528" ht="15.75" spans="1:3">
      <c r="A528">
        <v>527</v>
      </c>
      <c r="B528" s="26"/>
      <c r="C528" s="26"/>
    </row>
    <row r="529" ht="15.75" spans="1:3">
      <c r="A529">
        <v>528</v>
      </c>
      <c r="B529" s="26"/>
      <c r="C529" s="26"/>
    </row>
    <row r="530" ht="21" spans="1:3">
      <c r="A530">
        <v>529</v>
      </c>
      <c r="B530" s="25" t="s">
        <v>16892</v>
      </c>
      <c r="C530" s="26"/>
    </row>
    <row r="531" ht="18.75" spans="1:3">
      <c r="A531">
        <v>530</v>
      </c>
      <c r="B531" s="31" t="str">
        <f>IFERROR(__xludf.DUMMYFUNCTION("""COMPUTED_VALUE"""),"habetamu tesfaw ")</f>
        <v>habetamu tesfaw </v>
      </c>
      <c r="C531" s="30">
        <v>911796558</v>
      </c>
    </row>
    <row r="532" ht="15.75" spans="1:3">
      <c r="A532">
        <v>531</v>
      </c>
      <c r="B532" s="26"/>
      <c r="C532" s="26"/>
    </row>
    <row r="533" ht="15.75" spans="1:3">
      <c r="A533">
        <v>532</v>
      </c>
      <c r="B533" s="26"/>
      <c r="C533" s="26"/>
    </row>
    <row r="534" ht="21" spans="1:3">
      <c r="A534">
        <v>533</v>
      </c>
      <c r="B534" s="25" t="s">
        <v>16892</v>
      </c>
      <c r="C534" s="26"/>
    </row>
    <row r="535" ht="21" spans="1:3">
      <c r="A535">
        <v>534</v>
      </c>
      <c r="B535" s="27" t="s">
        <v>16898</v>
      </c>
      <c r="C535" s="26"/>
    </row>
    <row r="536" ht="15.75" spans="1:3">
      <c r="A536">
        <v>535</v>
      </c>
      <c r="B536" s="26"/>
      <c r="C536" s="26"/>
    </row>
    <row r="537" ht="15.75" spans="1:3">
      <c r="A537">
        <v>536</v>
      </c>
      <c r="B537" s="26"/>
      <c r="C537" s="26"/>
    </row>
    <row r="538" ht="15.75" spans="1:3">
      <c r="A538">
        <v>537</v>
      </c>
      <c r="B538" s="26"/>
      <c r="C538" s="26"/>
    </row>
    <row r="539" ht="15.75" spans="1:3">
      <c r="A539">
        <v>538</v>
      </c>
      <c r="B539" s="26"/>
      <c r="C539" s="26"/>
    </row>
    <row r="540" ht="21" spans="1:3">
      <c r="A540">
        <v>539</v>
      </c>
      <c r="B540" s="25" t="s">
        <v>16892</v>
      </c>
      <c r="C540" s="26"/>
    </row>
    <row r="541" ht="15.75" spans="1:3">
      <c r="A541">
        <v>540</v>
      </c>
      <c r="B541" s="26"/>
      <c r="C541" s="26"/>
    </row>
    <row r="542" ht="21" spans="1:3">
      <c r="A542">
        <v>541</v>
      </c>
      <c r="B542" s="25" t="s">
        <v>16892</v>
      </c>
      <c r="C542" s="26"/>
    </row>
    <row r="543" ht="15.75" spans="1:3">
      <c r="A543">
        <v>542</v>
      </c>
      <c r="B543" s="26"/>
      <c r="C543" s="26"/>
    </row>
    <row r="544" ht="15.75" spans="1:3">
      <c r="A544">
        <v>543</v>
      </c>
      <c r="B544" s="26"/>
      <c r="C544" s="26"/>
    </row>
    <row r="545" ht="15.75" spans="1:3">
      <c r="A545">
        <v>544</v>
      </c>
      <c r="B545" s="26"/>
      <c r="C545" s="26"/>
    </row>
    <row r="546" ht="15.75" spans="1:3">
      <c r="A546">
        <v>545</v>
      </c>
      <c r="B546" s="26"/>
      <c r="C546" s="26"/>
    </row>
    <row r="547" ht="15.75" spans="1:3">
      <c r="A547">
        <v>546</v>
      </c>
      <c r="B547" s="26"/>
      <c r="C547" s="26"/>
    </row>
    <row r="548" ht="15.75" spans="1:3">
      <c r="A548">
        <v>547</v>
      </c>
      <c r="B548" s="26"/>
      <c r="C548" s="26"/>
    </row>
    <row r="549" ht="15.75" spans="1:3">
      <c r="A549">
        <v>548</v>
      </c>
      <c r="B549" s="26"/>
      <c r="C549" s="26"/>
    </row>
    <row r="550" ht="15.75" spans="1:3">
      <c r="A550">
        <v>549</v>
      </c>
      <c r="B550" s="26"/>
      <c r="C550" s="26"/>
    </row>
    <row r="551" ht="15.75" spans="1:3">
      <c r="A551">
        <v>550</v>
      </c>
      <c r="B551" s="26"/>
      <c r="C551" s="26"/>
    </row>
    <row r="552" ht="15.75" spans="1:3">
      <c r="A552">
        <v>551</v>
      </c>
      <c r="B552" s="26"/>
      <c r="C552" s="26"/>
    </row>
    <row r="553" ht="15.75" spans="1:3">
      <c r="A553">
        <v>552</v>
      </c>
      <c r="B553" s="26"/>
      <c r="C553" s="26"/>
    </row>
    <row r="554" ht="15.75" spans="1:3">
      <c r="A554">
        <v>553</v>
      </c>
      <c r="B554" s="26"/>
      <c r="C554" s="26"/>
    </row>
    <row r="555" ht="21" spans="1:3">
      <c r="A555">
        <v>554</v>
      </c>
      <c r="B555" s="27" t="s">
        <v>16892</v>
      </c>
      <c r="C555" s="26"/>
    </row>
    <row r="556" ht="21" spans="1:3">
      <c r="A556">
        <v>555</v>
      </c>
      <c r="B556" s="25" t="s">
        <v>16892</v>
      </c>
      <c r="C556" s="26"/>
    </row>
    <row r="557" ht="21" spans="1:3">
      <c r="A557">
        <v>556</v>
      </c>
      <c r="B557" s="25" t="s">
        <v>16892</v>
      </c>
      <c r="C557" s="26"/>
    </row>
    <row r="558" ht="21" spans="1:3">
      <c r="A558">
        <v>557</v>
      </c>
      <c r="B558" s="27" t="s">
        <v>16892</v>
      </c>
      <c r="C558" s="26"/>
    </row>
    <row r="559" ht="21" spans="1:3">
      <c r="A559">
        <v>558</v>
      </c>
      <c r="B559" s="25" t="s">
        <v>16892</v>
      </c>
      <c r="C559" s="26"/>
    </row>
    <row r="560" ht="15.75" spans="1:3">
      <c r="A560">
        <v>559</v>
      </c>
      <c r="B560" s="26"/>
      <c r="C560" s="26"/>
    </row>
    <row r="561" ht="21" spans="1:3">
      <c r="A561">
        <v>560</v>
      </c>
      <c r="B561" s="27" t="s">
        <v>16892</v>
      </c>
      <c r="C561" s="26"/>
    </row>
    <row r="562" ht="21" spans="1:3">
      <c r="A562">
        <v>561</v>
      </c>
      <c r="B562" s="27" t="s">
        <v>16892</v>
      </c>
      <c r="C562" s="26"/>
    </row>
    <row r="563" ht="21" spans="1:3">
      <c r="A563">
        <v>562</v>
      </c>
      <c r="B563" s="27" t="s">
        <v>16892</v>
      </c>
      <c r="C563" s="26"/>
    </row>
    <row r="564" ht="21" spans="1:3">
      <c r="A564">
        <v>563</v>
      </c>
      <c r="B564" s="25" t="s">
        <v>16892</v>
      </c>
      <c r="C564" s="26"/>
    </row>
    <row r="565" ht="21" spans="1:3">
      <c r="A565">
        <v>564</v>
      </c>
      <c r="B565" s="27" t="s">
        <v>16892</v>
      </c>
      <c r="C565" s="26"/>
    </row>
    <row r="566" ht="21" spans="1:3">
      <c r="A566">
        <v>565</v>
      </c>
      <c r="B566" s="25" t="s">
        <v>16892</v>
      </c>
      <c r="C566" s="26"/>
    </row>
    <row r="567" ht="21" spans="1:3">
      <c r="A567">
        <v>566</v>
      </c>
      <c r="B567" s="25" t="s">
        <v>16892</v>
      </c>
      <c r="C567" s="26"/>
    </row>
    <row r="568" ht="21" spans="1:3">
      <c r="A568">
        <v>567</v>
      </c>
      <c r="B568" s="25" t="s">
        <v>16892</v>
      </c>
      <c r="C568" s="26"/>
    </row>
    <row r="569" ht="21" spans="1:3">
      <c r="A569">
        <v>568</v>
      </c>
      <c r="B569" s="25" t="s">
        <v>16892</v>
      </c>
      <c r="C569" s="26"/>
    </row>
    <row r="570" ht="21" spans="1:3">
      <c r="A570">
        <v>569</v>
      </c>
      <c r="B570" s="25" t="s">
        <v>16892</v>
      </c>
      <c r="C570" s="26"/>
    </row>
    <row r="571" ht="15.75" spans="1:3">
      <c r="A571">
        <v>570</v>
      </c>
      <c r="B571" s="26"/>
      <c r="C571" s="26"/>
    </row>
    <row r="572" ht="21" spans="1:3">
      <c r="A572">
        <v>571</v>
      </c>
      <c r="B572" s="27" t="s">
        <v>16892</v>
      </c>
      <c r="C572" s="26"/>
    </row>
    <row r="573" ht="21" spans="1:3">
      <c r="A573">
        <v>572</v>
      </c>
      <c r="B573" s="25" t="s">
        <v>16892</v>
      </c>
      <c r="C573" s="26"/>
    </row>
    <row r="574" ht="21" spans="1:3">
      <c r="A574">
        <v>573</v>
      </c>
      <c r="B574" s="27" t="s">
        <v>16892</v>
      </c>
      <c r="C574" s="26"/>
    </row>
    <row r="575" ht="21" spans="1:3">
      <c r="A575">
        <v>574</v>
      </c>
      <c r="B575" s="25" t="s">
        <v>16892</v>
      </c>
      <c r="C575" s="26"/>
    </row>
    <row r="576" ht="21" spans="1:3">
      <c r="A576">
        <v>575</v>
      </c>
      <c r="B576" s="25" t="s">
        <v>16892</v>
      </c>
      <c r="C576" s="26"/>
    </row>
    <row r="577" ht="21" spans="1:3">
      <c r="A577">
        <v>576</v>
      </c>
      <c r="B577" s="25" t="s">
        <v>16892</v>
      </c>
      <c r="C577" s="26"/>
    </row>
    <row r="578" ht="21" spans="1:3">
      <c r="A578">
        <v>577</v>
      </c>
      <c r="B578" s="27" t="s">
        <v>16892</v>
      </c>
      <c r="C578" s="26"/>
    </row>
    <row r="579" ht="21" spans="1:3">
      <c r="A579">
        <v>578</v>
      </c>
      <c r="B579" s="25" t="s">
        <v>16892</v>
      </c>
      <c r="C579" s="26"/>
    </row>
    <row r="580" ht="15.75" spans="1:3">
      <c r="A580">
        <v>579</v>
      </c>
      <c r="B580" s="29"/>
      <c r="C580" s="29"/>
    </row>
    <row r="581" ht="15.75" spans="1:3">
      <c r="A581">
        <v>580</v>
      </c>
      <c r="B581" s="29"/>
      <c r="C581" s="29"/>
    </row>
    <row r="582" ht="21" spans="1:3">
      <c r="A582">
        <v>581</v>
      </c>
      <c r="B582" s="27" t="s">
        <v>16892</v>
      </c>
      <c r="C582" s="26"/>
    </row>
    <row r="583" ht="21" spans="1:3">
      <c r="A583">
        <v>582</v>
      </c>
      <c r="B583" s="25" t="s">
        <v>16892</v>
      </c>
      <c r="C583" s="26"/>
    </row>
    <row r="584" ht="21" spans="1:3">
      <c r="A584">
        <v>583</v>
      </c>
      <c r="B584" s="25" t="s">
        <v>16892</v>
      </c>
      <c r="C584" s="26"/>
    </row>
    <row r="585" ht="15.75" spans="1:3">
      <c r="A585">
        <v>584</v>
      </c>
      <c r="B585" s="26"/>
      <c r="C585" s="26"/>
    </row>
    <row r="586" ht="21" spans="1:3">
      <c r="A586">
        <v>585</v>
      </c>
      <c r="B586" s="25" t="s">
        <v>16892</v>
      </c>
      <c r="C586" s="26"/>
    </row>
    <row r="587" ht="21" spans="1:3">
      <c r="A587">
        <v>586</v>
      </c>
      <c r="B587" s="27" t="s">
        <v>16892</v>
      </c>
      <c r="C587" s="26"/>
    </row>
    <row r="588" ht="15.75" spans="1:3">
      <c r="A588">
        <v>587</v>
      </c>
      <c r="B588" s="26"/>
      <c r="C588" s="26"/>
    </row>
    <row r="589" ht="21" spans="1:3">
      <c r="A589">
        <v>588</v>
      </c>
      <c r="B589" s="25" t="s">
        <v>16892</v>
      </c>
      <c r="C589" s="26"/>
    </row>
    <row r="590" ht="21" spans="1:3">
      <c r="A590">
        <v>589</v>
      </c>
      <c r="B590" s="25" t="s">
        <v>16892</v>
      </c>
      <c r="C590" s="26"/>
    </row>
    <row r="591" ht="15.75" spans="1:3">
      <c r="A591">
        <v>590</v>
      </c>
      <c r="B591" s="26"/>
      <c r="C591" s="26"/>
    </row>
    <row r="592" ht="21" spans="1:3">
      <c r="A592">
        <v>591</v>
      </c>
      <c r="B592" s="25" t="s">
        <v>16892</v>
      </c>
      <c r="C592" s="26"/>
    </row>
    <row r="593" ht="21" spans="1:3">
      <c r="A593">
        <v>592</v>
      </c>
      <c r="B593" s="25" t="s">
        <v>16892</v>
      </c>
      <c r="C593" s="26"/>
    </row>
    <row r="594" ht="15.75" spans="1:3">
      <c r="A594">
        <v>593</v>
      </c>
      <c r="B594" s="26"/>
      <c r="C594" s="26"/>
    </row>
    <row r="595" ht="15.75" spans="1:3">
      <c r="A595">
        <v>594</v>
      </c>
      <c r="B595" s="29"/>
      <c r="C595" s="29"/>
    </row>
    <row r="596" ht="15.75" spans="1:3">
      <c r="A596">
        <v>595</v>
      </c>
      <c r="B596" s="29"/>
      <c r="C596" s="29"/>
    </row>
    <row r="597" ht="21" spans="1:3">
      <c r="A597">
        <v>596</v>
      </c>
      <c r="B597" s="27" t="s">
        <v>16892</v>
      </c>
      <c r="C597" s="26"/>
    </row>
    <row r="598" ht="21" spans="1:3">
      <c r="A598">
        <v>597</v>
      </c>
      <c r="B598" s="25" t="s">
        <v>16892</v>
      </c>
      <c r="C598" s="26"/>
    </row>
    <row r="599" ht="21" spans="1:3">
      <c r="A599">
        <v>598</v>
      </c>
      <c r="B599" s="27" t="s">
        <v>16892</v>
      </c>
      <c r="C599" s="26"/>
    </row>
    <row r="600" ht="18.75" spans="1:3">
      <c r="A600">
        <v>599</v>
      </c>
      <c r="B600" s="30" t="str">
        <f>IFERROR(__xludf.DUMMYFUNCTION("""COMPUTED_VALUE"""),"Misrake Besufikade")</f>
        <v>Misrake Besufikade</v>
      </c>
      <c r="C600" s="30">
        <v>913823896</v>
      </c>
    </row>
    <row r="601" ht="21" spans="1:3">
      <c r="A601">
        <v>600</v>
      </c>
      <c r="B601" s="27" t="s">
        <v>16892</v>
      </c>
      <c r="C601" s="26"/>
    </row>
    <row r="602" ht="21" spans="1:3">
      <c r="A602">
        <v>601</v>
      </c>
      <c r="B602" s="27" t="s">
        <v>16892</v>
      </c>
      <c r="C602" s="26"/>
    </row>
    <row r="603" ht="21" spans="1:3">
      <c r="A603">
        <v>602</v>
      </c>
      <c r="B603" s="27" t="s">
        <v>16892</v>
      </c>
      <c r="C603" s="26"/>
    </row>
    <row r="604" ht="21" spans="1:3">
      <c r="A604">
        <v>603</v>
      </c>
      <c r="B604" s="25" t="s">
        <v>16892</v>
      </c>
      <c r="C604" s="26"/>
    </row>
    <row r="605" ht="21" spans="1:3">
      <c r="A605">
        <v>604</v>
      </c>
      <c r="B605" s="27" t="s">
        <v>16892</v>
      </c>
      <c r="C605" s="26"/>
    </row>
    <row r="606" ht="21" spans="1:3">
      <c r="A606">
        <v>605</v>
      </c>
      <c r="B606" s="25" t="s">
        <v>16892</v>
      </c>
      <c r="C606" s="26"/>
    </row>
    <row r="607" ht="21" spans="1:3">
      <c r="A607">
        <v>606</v>
      </c>
      <c r="B607" s="27" t="s">
        <v>16892</v>
      </c>
      <c r="C607" s="26"/>
    </row>
    <row r="608" ht="15.75" spans="1:3">
      <c r="A608">
        <v>607</v>
      </c>
      <c r="B608" s="26"/>
      <c r="C608" s="26"/>
    </row>
    <row r="609" ht="21" spans="1:3">
      <c r="A609">
        <v>608</v>
      </c>
      <c r="B609" s="27" t="s">
        <v>16892</v>
      </c>
      <c r="C609" s="26"/>
    </row>
    <row r="610" ht="21" spans="1:3">
      <c r="A610">
        <v>609</v>
      </c>
      <c r="B610" s="25" t="s">
        <v>16892</v>
      </c>
      <c r="C610" s="26"/>
    </row>
    <row r="611" ht="21" spans="1:3">
      <c r="A611">
        <v>610</v>
      </c>
      <c r="B611" s="27" t="s">
        <v>16892</v>
      </c>
      <c r="C611" s="26"/>
    </row>
    <row r="612" ht="15.75" spans="1:3">
      <c r="A612">
        <v>611</v>
      </c>
      <c r="B612" s="26"/>
      <c r="C612" s="26"/>
    </row>
    <row r="613" ht="21" spans="1:3">
      <c r="A613">
        <v>612</v>
      </c>
      <c r="B613" s="27" t="s">
        <v>16892</v>
      </c>
      <c r="C613" s="26"/>
    </row>
    <row r="614" ht="15.75" spans="1:3">
      <c r="A614">
        <v>613</v>
      </c>
      <c r="B614" s="26"/>
      <c r="C614" s="26"/>
    </row>
    <row r="615" ht="21" spans="1:3">
      <c r="A615">
        <v>614</v>
      </c>
      <c r="B615" s="25" t="s">
        <v>16892</v>
      </c>
      <c r="C615" s="26"/>
    </row>
    <row r="616" ht="15.75" spans="1:3">
      <c r="A616">
        <v>615</v>
      </c>
      <c r="B616" s="26"/>
      <c r="C616" s="26"/>
    </row>
    <row r="617" ht="15.75" spans="1:3">
      <c r="A617">
        <v>616</v>
      </c>
      <c r="B617" s="26"/>
      <c r="C617" s="26"/>
    </row>
    <row r="618" ht="21" spans="1:3">
      <c r="A618">
        <v>617</v>
      </c>
      <c r="B618" s="25" t="s">
        <v>16892</v>
      </c>
      <c r="C618" s="26"/>
    </row>
    <row r="619" ht="21" spans="1:3">
      <c r="A619">
        <v>618</v>
      </c>
      <c r="B619" s="25" t="s">
        <v>16892</v>
      </c>
      <c r="C619" s="26"/>
    </row>
    <row r="620" ht="18.75" spans="1:3">
      <c r="A620">
        <v>619</v>
      </c>
      <c r="B620" s="31" t="str">
        <f>IFERROR(__xludf.DUMMYFUNCTION("""COMPUTED_VALUE"""),"Matiyas Bitew ")</f>
        <v>Matiyas Bitew </v>
      </c>
      <c r="C620" s="30">
        <v>946922643</v>
      </c>
    </row>
    <row r="621" ht="21" spans="1:3">
      <c r="A621">
        <v>620</v>
      </c>
      <c r="B621" s="27" t="s">
        <v>16892</v>
      </c>
      <c r="C621" s="26"/>
    </row>
    <row r="622" ht="21" spans="1:3">
      <c r="A622">
        <v>621</v>
      </c>
      <c r="B622" s="27" t="s">
        <v>16892</v>
      </c>
      <c r="C622" s="26"/>
    </row>
    <row r="623" ht="21" spans="1:3">
      <c r="A623">
        <v>622</v>
      </c>
      <c r="B623" s="25" t="s">
        <v>16892</v>
      </c>
      <c r="C623" s="26"/>
    </row>
    <row r="624" ht="21" spans="1:3">
      <c r="A624">
        <v>623</v>
      </c>
      <c r="B624" s="25" t="s">
        <v>16892</v>
      </c>
      <c r="C624" s="26"/>
    </row>
    <row r="625" ht="21" spans="1:3">
      <c r="A625">
        <v>624</v>
      </c>
      <c r="B625" s="27" t="s">
        <v>16892</v>
      </c>
      <c r="C625" s="26"/>
    </row>
    <row r="626" ht="21" spans="1:3">
      <c r="A626">
        <v>625</v>
      </c>
      <c r="B626" s="27" t="s">
        <v>16892</v>
      </c>
      <c r="C626" s="26"/>
    </row>
    <row r="627" ht="21" spans="1:3">
      <c r="A627">
        <v>626</v>
      </c>
      <c r="B627" s="25" t="s">
        <v>16892</v>
      </c>
      <c r="C627" s="26"/>
    </row>
    <row r="628" ht="21" spans="1:3">
      <c r="A628">
        <v>627</v>
      </c>
      <c r="B628" s="25" t="s">
        <v>16892</v>
      </c>
      <c r="C628" s="26"/>
    </row>
    <row r="629" ht="21" spans="1:3">
      <c r="A629">
        <v>628</v>
      </c>
      <c r="B629" s="25" t="s">
        <v>16892</v>
      </c>
      <c r="C629" s="26"/>
    </row>
    <row r="630" ht="21" spans="1:3">
      <c r="A630">
        <v>629</v>
      </c>
      <c r="B630" s="27" t="s">
        <v>16892</v>
      </c>
      <c r="C630" s="26"/>
    </row>
    <row r="631" ht="21" spans="1:3">
      <c r="A631">
        <v>630</v>
      </c>
      <c r="B631" s="25" t="s">
        <v>16892</v>
      </c>
      <c r="C631" s="26"/>
    </row>
    <row r="632" ht="21" spans="1:3">
      <c r="A632">
        <v>631</v>
      </c>
      <c r="B632" s="25" t="s">
        <v>16892</v>
      </c>
      <c r="C632" s="26"/>
    </row>
    <row r="633" ht="21" spans="1:3">
      <c r="A633">
        <v>632</v>
      </c>
      <c r="B633" s="25" t="s">
        <v>16892</v>
      </c>
      <c r="C633" s="26"/>
    </row>
    <row r="634" ht="21" spans="1:3">
      <c r="A634">
        <v>633</v>
      </c>
      <c r="B634" s="27" t="s">
        <v>16892</v>
      </c>
      <c r="C634" s="26"/>
    </row>
    <row r="635" ht="21" spans="1:3">
      <c r="A635">
        <v>634</v>
      </c>
      <c r="B635" s="25" t="s">
        <v>16892</v>
      </c>
      <c r="C635" s="26"/>
    </row>
    <row r="636" ht="21" spans="1:3">
      <c r="A636">
        <v>635</v>
      </c>
      <c r="B636" s="27" t="s">
        <v>16892</v>
      </c>
      <c r="C636" s="26"/>
    </row>
    <row r="637" ht="15.75" spans="1:3">
      <c r="A637">
        <v>636</v>
      </c>
      <c r="B637" s="26"/>
      <c r="C637" s="26"/>
    </row>
    <row r="638" ht="21" spans="1:3">
      <c r="A638">
        <v>637</v>
      </c>
      <c r="B638" s="27" t="s">
        <v>16892</v>
      </c>
      <c r="C638" s="26"/>
    </row>
    <row r="639" ht="15.75" spans="1:3">
      <c r="A639">
        <v>638</v>
      </c>
      <c r="B639" s="26"/>
      <c r="C639" s="26"/>
    </row>
    <row r="640" ht="15.75" spans="1:3">
      <c r="A640">
        <v>639</v>
      </c>
      <c r="B640" s="26"/>
      <c r="C640" s="26"/>
    </row>
    <row r="641" ht="21" spans="1:3">
      <c r="A641">
        <v>640</v>
      </c>
      <c r="B641" s="25" t="s">
        <v>16892</v>
      </c>
      <c r="C641" s="26"/>
    </row>
    <row r="642" ht="18" spans="1:3">
      <c r="A642">
        <v>641</v>
      </c>
      <c r="B642" s="31" t="str">
        <f>IFERROR(__xludf.DUMMYFUNCTION("""COMPUTED_VALUE"""),"Selamawit Ashinafi")</f>
        <v>Selamawit Ashinafi</v>
      </c>
      <c r="C642" s="31">
        <v>911740716</v>
      </c>
    </row>
    <row r="643" ht="15.75" spans="1:3">
      <c r="A643">
        <v>642</v>
      </c>
      <c r="B643" s="26"/>
      <c r="C643" s="26"/>
    </row>
    <row r="644" ht="21" spans="1:3">
      <c r="A644">
        <v>643</v>
      </c>
      <c r="B644" s="27" t="s">
        <v>16892</v>
      </c>
      <c r="C644" s="26"/>
    </row>
    <row r="645" ht="21" spans="1:3">
      <c r="A645">
        <v>644</v>
      </c>
      <c r="B645" s="25" t="s">
        <v>16892</v>
      </c>
      <c r="C645" s="26"/>
    </row>
    <row r="646" ht="15.75" spans="1:3">
      <c r="A646">
        <v>645</v>
      </c>
      <c r="B646" s="26"/>
      <c r="C646" s="26"/>
    </row>
    <row r="647" ht="15.75" spans="1:3">
      <c r="A647">
        <v>646</v>
      </c>
      <c r="B647" s="26"/>
      <c r="C647" s="26"/>
    </row>
    <row r="648" ht="21" spans="1:3">
      <c r="A648">
        <v>647</v>
      </c>
      <c r="B648" s="25" t="s">
        <v>16892</v>
      </c>
      <c r="C648" s="26"/>
    </row>
    <row r="649" ht="21" spans="1:3">
      <c r="A649">
        <v>648</v>
      </c>
      <c r="B649" s="27" t="s">
        <v>16892</v>
      </c>
      <c r="C649" s="26"/>
    </row>
    <row r="650" ht="15.75" spans="1:3">
      <c r="A650">
        <v>649</v>
      </c>
      <c r="B650" s="26"/>
      <c r="C650" s="26"/>
    </row>
    <row r="651" ht="21" spans="1:3">
      <c r="A651">
        <v>650</v>
      </c>
      <c r="B651" s="25" t="s">
        <v>16892</v>
      </c>
      <c r="C651" s="26"/>
    </row>
    <row r="652" ht="15.75" spans="1:3">
      <c r="A652">
        <v>651</v>
      </c>
      <c r="B652" s="26"/>
      <c r="C652" s="26"/>
    </row>
    <row r="653" ht="21" spans="1:3">
      <c r="A653">
        <v>652</v>
      </c>
      <c r="B653" s="25" t="s">
        <v>16892</v>
      </c>
      <c r="C653" s="26"/>
    </row>
    <row r="654" ht="21" spans="1:3">
      <c r="A654">
        <v>653</v>
      </c>
      <c r="B654" s="27" t="s">
        <v>16892</v>
      </c>
      <c r="C654" s="26"/>
    </row>
    <row r="655" ht="21" spans="1:3">
      <c r="A655">
        <v>654</v>
      </c>
      <c r="B655" s="25" t="s">
        <v>16892</v>
      </c>
      <c r="C655" s="26"/>
    </row>
    <row r="656" ht="21" spans="1:3">
      <c r="A656">
        <v>655</v>
      </c>
      <c r="B656" s="25" t="s">
        <v>16892</v>
      </c>
      <c r="C656" s="26"/>
    </row>
    <row r="657" ht="21" spans="1:3">
      <c r="A657">
        <v>656</v>
      </c>
      <c r="B657" s="25" t="s">
        <v>16892</v>
      </c>
      <c r="C657" s="26"/>
    </row>
    <row r="658" ht="21" spans="1:3">
      <c r="A658">
        <v>657</v>
      </c>
      <c r="B658" s="25" t="s">
        <v>16892</v>
      </c>
      <c r="C658" s="26"/>
    </row>
    <row r="659" ht="15.75" spans="1:3">
      <c r="A659">
        <v>658</v>
      </c>
      <c r="B659" s="26"/>
      <c r="C659" s="26"/>
    </row>
    <row r="660" ht="21" spans="1:3">
      <c r="A660">
        <v>659</v>
      </c>
      <c r="B660" s="27" t="s">
        <v>16892</v>
      </c>
      <c r="C660" s="26"/>
    </row>
    <row r="661" ht="21" spans="1:3">
      <c r="A661">
        <v>660</v>
      </c>
      <c r="B661" s="25" t="s">
        <v>16892</v>
      </c>
      <c r="C661" s="26"/>
    </row>
    <row r="662" ht="21" spans="1:3">
      <c r="A662">
        <v>661</v>
      </c>
      <c r="B662" s="27" t="s">
        <v>16892</v>
      </c>
      <c r="C662" s="26"/>
    </row>
    <row r="663" ht="21" spans="1:3">
      <c r="A663">
        <v>662</v>
      </c>
      <c r="B663" s="27" t="s">
        <v>16892</v>
      </c>
      <c r="C663" s="26"/>
    </row>
    <row r="664" ht="21" spans="1:3">
      <c r="A664">
        <v>663</v>
      </c>
      <c r="B664" s="27" t="s">
        <v>16892</v>
      </c>
      <c r="C664" s="26"/>
    </row>
    <row r="665" ht="21" spans="1:3">
      <c r="A665">
        <v>664</v>
      </c>
      <c r="B665" s="27" t="s">
        <v>16892</v>
      </c>
      <c r="C665" s="26"/>
    </row>
    <row r="666" ht="21" spans="1:3">
      <c r="A666">
        <v>665</v>
      </c>
      <c r="B666" s="27" t="s">
        <v>16892</v>
      </c>
      <c r="C666" s="26"/>
    </row>
    <row r="667" ht="21" spans="1:3">
      <c r="A667">
        <v>666</v>
      </c>
      <c r="B667" s="27" t="s">
        <v>16892</v>
      </c>
      <c r="C667" s="26"/>
    </row>
    <row r="668" ht="21" spans="1:3">
      <c r="A668">
        <v>667</v>
      </c>
      <c r="B668" s="27" t="s">
        <v>16892</v>
      </c>
      <c r="C668" s="26"/>
    </row>
    <row r="669" ht="21" spans="1:3">
      <c r="A669">
        <v>668</v>
      </c>
      <c r="B669" s="27" t="s">
        <v>16892</v>
      </c>
      <c r="C669" s="26"/>
    </row>
    <row r="670" ht="21" spans="1:3">
      <c r="A670">
        <v>669</v>
      </c>
      <c r="B670" s="25" t="s">
        <v>16892</v>
      </c>
      <c r="C670" s="26"/>
    </row>
    <row r="671" ht="21" spans="1:3">
      <c r="A671">
        <v>670</v>
      </c>
      <c r="B671" s="27" t="s">
        <v>16892</v>
      </c>
      <c r="C671" s="26"/>
    </row>
    <row r="672" ht="21" spans="1:3">
      <c r="A672">
        <v>671</v>
      </c>
      <c r="B672" s="25" t="s">
        <v>16892</v>
      </c>
      <c r="C672" s="26"/>
    </row>
    <row r="673" ht="15.75" spans="1:3">
      <c r="A673">
        <v>672</v>
      </c>
      <c r="B673" s="26"/>
      <c r="C673" s="26"/>
    </row>
    <row r="674" ht="18.75" spans="1:3">
      <c r="A674">
        <v>673</v>
      </c>
      <c r="B674" s="31" t="str">
        <f>IFERROR(__xludf.DUMMYFUNCTION("""COMPUTED_VALUE"""),"Betelhem Belay")</f>
        <v>Betelhem Belay</v>
      </c>
      <c r="C674" s="30">
        <v>969436520</v>
      </c>
    </row>
    <row r="675" ht="21" spans="1:3">
      <c r="A675">
        <v>674</v>
      </c>
      <c r="B675" s="25" t="s">
        <v>16892</v>
      </c>
      <c r="C675" s="26"/>
    </row>
    <row r="676" ht="15.75" spans="1:3">
      <c r="A676">
        <v>675</v>
      </c>
      <c r="B676" s="26"/>
      <c r="C676" s="26"/>
    </row>
    <row r="677" ht="18" spans="1:3">
      <c r="A677">
        <v>676</v>
      </c>
      <c r="B677" s="31" t="str">
        <f>IFERROR(__xludf.DUMMYFUNCTION("""COMPUTED_VALUE"""),"አቻሬ /አሸናፊ/")</f>
        <v>አቻሬ /አሸናፊ/</v>
      </c>
      <c r="C677" s="31">
        <v>983318661</v>
      </c>
    </row>
    <row r="678" ht="15.75" spans="1:3">
      <c r="A678">
        <v>677</v>
      </c>
      <c r="B678" s="26"/>
      <c r="C678" s="26"/>
    </row>
    <row r="679" ht="15.75" spans="1:3">
      <c r="A679">
        <v>678</v>
      </c>
      <c r="B679" s="26"/>
      <c r="C679" s="26"/>
    </row>
    <row r="680" ht="15.75" spans="1:3">
      <c r="A680">
        <v>679</v>
      </c>
      <c r="B680" s="26"/>
      <c r="C680" s="26"/>
    </row>
    <row r="681" ht="15.75" spans="1:3">
      <c r="A681">
        <v>680</v>
      </c>
      <c r="B681" s="26"/>
      <c r="C681" s="26"/>
    </row>
    <row r="682" ht="15.75" spans="1:3">
      <c r="A682">
        <v>681</v>
      </c>
      <c r="B682" s="26"/>
      <c r="C682" s="26"/>
    </row>
    <row r="683" ht="21" spans="1:3">
      <c r="A683">
        <v>682</v>
      </c>
      <c r="B683" s="25" t="s">
        <v>16892</v>
      </c>
      <c r="C683" s="26"/>
    </row>
    <row r="684" ht="15.75" spans="1:3">
      <c r="A684">
        <v>683</v>
      </c>
      <c r="B684" s="26"/>
      <c r="C684" s="26"/>
    </row>
    <row r="685" ht="18.75" spans="1:3">
      <c r="A685">
        <v>684</v>
      </c>
      <c r="B685" s="31" t="str">
        <f>IFERROR(__xludf.DUMMYFUNCTION("""COMPUTED_VALUE"""),"tefera hailu")</f>
        <v>tefera hailu</v>
      </c>
      <c r="C685" s="30">
        <v>991189180</v>
      </c>
    </row>
    <row r="686" ht="15.75" spans="1:3">
      <c r="A686">
        <v>685</v>
      </c>
      <c r="B686" s="26"/>
      <c r="C686" s="26"/>
    </row>
    <row r="687" ht="21" spans="1:3">
      <c r="A687">
        <v>686</v>
      </c>
      <c r="B687" s="27" t="s">
        <v>16892</v>
      </c>
      <c r="C687" s="26"/>
    </row>
    <row r="688" ht="21" spans="1:3">
      <c r="A688">
        <v>687</v>
      </c>
      <c r="B688" s="27" t="s">
        <v>16892</v>
      </c>
      <c r="C688" s="26"/>
    </row>
    <row r="689" ht="21" spans="1:3">
      <c r="A689">
        <v>688</v>
      </c>
      <c r="B689" s="25" t="s">
        <v>16892</v>
      </c>
      <c r="C689" s="26"/>
    </row>
    <row r="690" ht="21" spans="1:3">
      <c r="A690">
        <v>689</v>
      </c>
      <c r="B690" s="27" t="s">
        <v>16892</v>
      </c>
      <c r="C690" s="26"/>
    </row>
    <row r="691" ht="21" spans="1:3">
      <c r="A691">
        <v>690</v>
      </c>
      <c r="B691" s="27" t="s">
        <v>16892</v>
      </c>
      <c r="C691" s="26"/>
    </row>
    <row r="692" ht="21" spans="1:3">
      <c r="A692">
        <v>691</v>
      </c>
      <c r="B692" s="27" t="s">
        <v>16892</v>
      </c>
      <c r="C692" s="26"/>
    </row>
    <row r="693" ht="21" spans="1:3">
      <c r="A693">
        <v>692</v>
      </c>
      <c r="B693" s="25" t="s">
        <v>16892</v>
      </c>
      <c r="C693" s="26"/>
    </row>
    <row r="694" ht="21" spans="1:3">
      <c r="A694">
        <v>693</v>
      </c>
      <c r="B694" s="27" t="s">
        <v>16892</v>
      </c>
      <c r="C694" s="26"/>
    </row>
    <row r="695" ht="21" spans="1:3">
      <c r="A695">
        <v>694</v>
      </c>
      <c r="B695" s="25" t="s">
        <v>16892</v>
      </c>
      <c r="C695" s="26"/>
    </row>
    <row r="696" ht="21" spans="1:3">
      <c r="A696">
        <v>695</v>
      </c>
      <c r="B696" s="27" t="s">
        <v>16892</v>
      </c>
      <c r="C696" s="26"/>
    </row>
    <row r="697" ht="21" spans="1:3">
      <c r="A697">
        <v>696</v>
      </c>
      <c r="B697" s="27" t="s">
        <v>16892</v>
      </c>
      <c r="C697" s="26"/>
    </row>
    <row r="698" ht="21" spans="1:3">
      <c r="A698">
        <v>697</v>
      </c>
      <c r="B698" s="25" t="s">
        <v>16892</v>
      </c>
      <c r="C698" s="26"/>
    </row>
    <row r="699" ht="21" spans="1:3">
      <c r="A699">
        <v>698</v>
      </c>
      <c r="B699" s="25" t="s">
        <v>16892</v>
      </c>
      <c r="C699" s="26"/>
    </row>
    <row r="700" ht="21" spans="1:3">
      <c r="A700">
        <v>699</v>
      </c>
      <c r="B700" s="25" t="s">
        <v>16892</v>
      </c>
      <c r="C700" s="26"/>
    </row>
    <row r="701" ht="21" spans="1:3">
      <c r="A701">
        <v>700</v>
      </c>
      <c r="B701" s="25" t="s">
        <v>16892</v>
      </c>
      <c r="C701" s="26"/>
    </row>
    <row r="702" ht="21" spans="1:3">
      <c r="A702">
        <v>701</v>
      </c>
      <c r="B702" s="25" t="s">
        <v>16892</v>
      </c>
      <c r="C702" s="26"/>
    </row>
    <row r="703" ht="21" spans="1:3">
      <c r="A703">
        <v>702</v>
      </c>
      <c r="B703" s="25" t="s">
        <v>16892</v>
      </c>
      <c r="C703" s="26"/>
    </row>
    <row r="704" ht="21" spans="1:3">
      <c r="A704">
        <v>703</v>
      </c>
      <c r="B704" s="27" t="s">
        <v>16892</v>
      </c>
      <c r="C704" s="26"/>
    </row>
    <row r="705" ht="21" spans="1:3">
      <c r="A705">
        <v>704</v>
      </c>
      <c r="B705" s="27" t="s">
        <v>16892</v>
      </c>
      <c r="C705" s="26"/>
    </row>
    <row r="706" ht="21" spans="1:3">
      <c r="A706">
        <v>705</v>
      </c>
      <c r="B706" s="27" t="s">
        <v>16892</v>
      </c>
      <c r="C706" s="26"/>
    </row>
    <row r="707" ht="21" spans="1:3">
      <c r="A707">
        <v>706</v>
      </c>
      <c r="B707" s="27" t="s">
        <v>16892</v>
      </c>
      <c r="C707" s="26"/>
    </row>
    <row r="708" ht="15.75" spans="1:3">
      <c r="A708">
        <v>707</v>
      </c>
      <c r="B708" s="26"/>
      <c r="C708" s="26"/>
    </row>
    <row r="709" ht="21" spans="1:3">
      <c r="A709">
        <v>708</v>
      </c>
      <c r="B709" s="25" t="s">
        <v>16892</v>
      </c>
      <c r="C709" s="26"/>
    </row>
    <row r="710" ht="21" spans="1:3">
      <c r="A710">
        <v>709</v>
      </c>
      <c r="B710" s="27" t="s">
        <v>16892</v>
      </c>
      <c r="C710" s="26"/>
    </row>
    <row r="711" ht="21" spans="1:3">
      <c r="A711">
        <v>710</v>
      </c>
      <c r="B711" s="27" t="s">
        <v>16892</v>
      </c>
      <c r="C711" s="26"/>
    </row>
    <row r="712" ht="21" spans="1:3">
      <c r="A712">
        <v>711</v>
      </c>
      <c r="B712" s="25" t="s">
        <v>16892</v>
      </c>
      <c r="C712" s="26"/>
    </row>
    <row r="713" ht="21" spans="1:3">
      <c r="A713">
        <v>712</v>
      </c>
      <c r="B713" s="25" t="s">
        <v>16892</v>
      </c>
      <c r="C713" s="26"/>
    </row>
    <row r="714" ht="21" spans="1:3">
      <c r="A714">
        <v>713</v>
      </c>
      <c r="B714" s="25" t="s">
        <v>16892</v>
      </c>
      <c r="C714" s="26"/>
    </row>
    <row r="715" ht="21" spans="1:3">
      <c r="A715">
        <v>714</v>
      </c>
      <c r="B715" s="25" t="s">
        <v>16892</v>
      </c>
      <c r="C715" s="26"/>
    </row>
    <row r="716" ht="21" spans="1:3">
      <c r="A716">
        <v>715</v>
      </c>
      <c r="B716" s="27" t="s">
        <v>16892</v>
      </c>
      <c r="C716" s="26"/>
    </row>
    <row r="717" ht="21" spans="1:3">
      <c r="A717">
        <v>716</v>
      </c>
      <c r="B717" s="25" t="s">
        <v>16892</v>
      </c>
      <c r="C717" s="26"/>
    </row>
    <row r="718" ht="21" spans="1:3">
      <c r="A718">
        <v>717</v>
      </c>
      <c r="B718" s="27" t="s">
        <v>16892</v>
      </c>
      <c r="C718" s="26"/>
    </row>
    <row r="719" ht="15.75" spans="1:3">
      <c r="A719">
        <v>718</v>
      </c>
      <c r="B719" s="26"/>
      <c r="C719" s="26"/>
    </row>
    <row r="720" ht="15.75" spans="1:3">
      <c r="A720">
        <v>719</v>
      </c>
      <c r="B720" s="26"/>
      <c r="C720" s="26"/>
    </row>
    <row r="721" ht="15.75" spans="1:3">
      <c r="A721">
        <v>720</v>
      </c>
      <c r="B721" s="26"/>
      <c r="C721" s="26"/>
    </row>
    <row r="722" ht="15.75" spans="1:3">
      <c r="A722">
        <v>721</v>
      </c>
      <c r="B722" s="26"/>
      <c r="C722" s="26"/>
    </row>
    <row r="723" ht="15.75" spans="1:3">
      <c r="A723">
        <v>722</v>
      </c>
      <c r="B723" s="26"/>
      <c r="C723" s="26"/>
    </row>
    <row r="724" ht="15.75" spans="1:3">
      <c r="A724">
        <v>723</v>
      </c>
      <c r="B724" s="26"/>
      <c r="C724" s="26"/>
    </row>
    <row r="725" ht="15.75" spans="1:3">
      <c r="A725">
        <v>724</v>
      </c>
      <c r="B725" s="26"/>
      <c r="C725" s="26"/>
    </row>
    <row r="726" ht="15.75" spans="1:3">
      <c r="A726">
        <v>725</v>
      </c>
      <c r="B726" s="26"/>
      <c r="C726" s="26"/>
    </row>
    <row r="727" ht="18.75" spans="1:3">
      <c r="A727">
        <v>726</v>
      </c>
      <c r="B727" s="34" t="str">
        <f>IFERROR(__xludf.DUMMYFUNCTION("""COMPUTED_VALUE"""),"Amanuale Melesse")</f>
        <v>Amanuale Melesse</v>
      </c>
      <c r="C727" s="34">
        <v>935088015</v>
      </c>
    </row>
    <row r="728" ht="18" spans="1:3">
      <c r="A728">
        <v>727</v>
      </c>
      <c r="B728" s="39" t="str">
        <f>IFERROR(__xludf.DUMMYFUNCTION("""COMPUTED_VALUE"""),"Amanuale Melesse")</f>
        <v>Amanuale Melesse</v>
      </c>
      <c r="C728" s="39">
        <v>935088015</v>
      </c>
    </row>
    <row r="729" ht="15.75" spans="1:3">
      <c r="A729">
        <v>728</v>
      </c>
      <c r="B729" s="29"/>
      <c r="C729" s="29"/>
    </row>
    <row r="730" ht="15.75" spans="1:3">
      <c r="A730">
        <v>729</v>
      </c>
      <c r="B730" s="29"/>
      <c r="C730" s="29"/>
    </row>
    <row r="731" ht="15.75" spans="1:3">
      <c r="A731">
        <v>730</v>
      </c>
      <c r="B731" s="26"/>
      <c r="C731" s="26"/>
    </row>
    <row r="732" ht="18.75" spans="1:3">
      <c r="A732">
        <v>731</v>
      </c>
      <c r="B732" s="31" t="str">
        <f>IFERROR(__xludf.DUMMYFUNCTION("""COMPUTED_VALUE"""),"Ephrem H/Yesus (Kabod)")</f>
        <v>Ephrem H/Yesus (Kabod)</v>
      </c>
      <c r="C732" s="30">
        <v>930020253</v>
      </c>
    </row>
    <row r="733" ht="15.75" spans="1:3">
      <c r="A733">
        <v>732</v>
      </c>
      <c r="B733" s="26"/>
      <c r="C733" s="26"/>
    </row>
    <row r="734" ht="15.75" spans="1:3">
      <c r="A734">
        <v>733</v>
      </c>
      <c r="B734" s="29"/>
      <c r="C734" s="29"/>
    </row>
    <row r="735" ht="15.75" spans="1:3">
      <c r="A735">
        <v>734</v>
      </c>
      <c r="B735" s="29"/>
      <c r="C735" s="29"/>
    </row>
    <row r="736" ht="21" spans="1:3">
      <c r="A736">
        <v>735</v>
      </c>
      <c r="B736" s="25" t="s">
        <v>16892</v>
      </c>
      <c r="C736" s="26"/>
    </row>
    <row r="737" ht="18" spans="1:3">
      <c r="A737">
        <v>736</v>
      </c>
      <c r="B737" s="42" t="str">
        <f>IFERROR(__xludf.DUMMYFUNCTION("""COMPUTED_VALUE"""),"PB")</f>
        <v>PB</v>
      </c>
      <c r="C737" s="42"/>
    </row>
    <row r="738" ht="18" spans="1:3">
      <c r="A738">
        <v>737</v>
      </c>
      <c r="B738" s="42" t="str">
        <f>IFERROR(__xludf.DUMMYFUNCTION("""COMPUTED_VALUE"""),"PB")</f>
        <v>PB</v>
      </c>
      <c r="C738" s="42"/>
    </row>
    <row r="739" ht="15.75" spans="1:3">
      <c r="A739">
        <v>738</v>
      </c>
      <c r="B739" s="26"/>
      <c r="C739" s="26"/>
    </row>
    <row r="740" ht="15.75" spans="1:3">
      <c r="A740">
        <v>739</v>
      </c>
      <c r="B740" s="26"/>
      <c r="C740" s="26"/>
    </row>
    <row r="741" ht="15.75" spans="1:3">
      <c r="A741">
        <v>740</v>
      </c>
      <c r="B741" s="26"/>
      <c r="C741" s="26"/>
    </row>
    <row r="742" ht="21" spans="1:3">
      <c r="A742">
        <v>741</v>
      </c>
      <c r="B742" s="25" t="s">
        <v>16892</v>
      </c>
      <c r="C742" s="26"/>
    </row>
    <row r="743" ht="15.75" spans="1:3">
      <c r="A743">
        <v>742</v>
      </c>
      <c r="B743" s="26"/>
      <c r="C743" s="26"/>
    </row>
    <row r="744" ht="21" spans="1:3">
      <c r="A744">
        <v>743</v>
      </c>
      <c r="B744" s="27" t="s">
        <v>16892</v>
      </c>
      <c r="C744" s="26"/>
    </row>
    <row r="745" ht="21" spans="1:3">
      <c r="A745">
        <v>744</v>
      </c>
      <c r="B745" s="27" t="s">
        <v>16892</v>
      </c>
      <c r="C745" s="26"/>
    </row>
    <row r="746" ht="15.75" spans="1:3">
      <c r="A746">
        <v>745</v>
      </c>
      <c r="B746" s="26"/>
      <c r="C746" s="26"/>
    </row>
    <row r="747" ht="21" spans="1:3">
      <c r="A747">
        <v>746</v>
      </c>
      <c r="B747" s="27" t="s">
        <v>16892</v>
      </c>
      <c r="C747" s="26"/>
    </row>
    <row r="748" ht="21" spans="1:3">
      <c r="A748">
        <v>747</v>
      </c>
      <c r="B748" s="25" t="s">
        <v>16892</v>
      </c>
      <c r="C748" s="26"/>
    </row>
    <row r="749" ht="21" spans="1:3">
      <c r="A749">
        <v>748</v>
      </c>
      <c r="B749" s="27" t="s">
        <v>16892</v>
      </c>
      <c r="C749" s="26"/>
    </row>
    <row r="750" ht="21" spans="1:3">
      <c r="A750">
        <v>749</v>
      </c>
      <c r="B750" s="27" t="s">
        <v>16892</v>
      </c>
      <c r="C750" s="26"/>
    </row>
    <row r="751" ht="21" spans="1:3">
      <c r="A751">
        <v>750</v>
      </c>
      <c r="B751" s="25" t="s">
        <v>16892</v>
      </c>
      <c r="C751" s="26"/>
    </row>
    <row r="752" ht="21" spans="1:3">
      <c r="A752">
        <v>751</v>
      </c>
      <c r="B752" s="25" t="s">
        <v>16892</v>
      </c>
      <c r="C752" s="26"/>
    </row>
    <row r="753" ht="21" spans="1:3">
      <c r="A753">
        <v>752</v>
      </c>
      <c r="B753" s="27" t="s">
        <v>16892</v>
      </c>
      <c r="C753" s="26"/>
    </row>
    <row r="754" ht="21" spans="1:3">
      <c r="A754">
        <v>753</v>
      </c>
      <c r="B754" s="27" t="s">
        <v>16892</v>
      </c>
      <c r="C754" s="26"/>
    </row>
    <row r="755" ht="21" spans="1:3">
      <c r="A755">
        <v>754</v>
      </c>
      <c r="B755" s="27" t="s">
        <v>16892</v>
      </c>
      <c r="C755" s="26"/>
    </row>
    <row r="756" ht="21" spans="1:3">
      <c r="A756">
        <v>755</v>
      </c>
      <c r="B756" s="25" t="s">
        <v>16892</v>
      </c>
      <c r="C756" s="26"/>
    </row>
    <row r="757" ht="21" spans="1:3">
      <c r="A757">
        <v>756</v>
      </c>
      <c r="B757" s="27" t="s">
        <v>16892</v>
      </c>
      <c r="C757" s="26"/>
    </row>
    <row r="758" ht="21" spans="1:3">
      <c r="A758">
        <v>757</v>
      </c>
      <c r="B758" s="27" t="s">
        <v>16892</v>
      </c>
      <c r="C758" s="26"/>
    </row>
    <row r="759" ht="21" spans="1:3">
      <c r="A759">
        <v>758</v>
      </c>
      <c r="B759" s="25" t="s">
        <v>16892</v>
      </c>
      <c r="C759" s="26"/>
    </row>
    <row r="760" ht="21" spans="1:3">
      <c r="A760">
        <v>759</v>
      </c>
      <c r="B760" s="25" t="s">
        <v>16892</v>
      </c>
      <c r="C760" s="26"/>
    </row>
    <row r="761" ht="21" spans="1:3">
      <c r="A761">
        <v>760</v>
      </c>
      <c r="B761" s="27" t="s">
        <v>16892</v>
      </c>
      <c r="C761" s="26"/>
    </row>
    <row r="762" ht="21" spans="1:3">
      <c r="A762">
        <v>761</v>
      </c>
      <c r="B762" s="25" t="s">
        <v>16892</v>
      </c>
      <c r="C762" s="26"/>
    </row>
    <row r="763" ht="21" spans="1:3">
      <c r="A763">
        <v>762</v>
      </c>
      <c r="B763" s="27" t="s">
        <v>16892</v>
      </c>
      <c r="C763" s="26"/>
    </row>
    <row r="764" ht="21" spans="1:3">
      <c r="A764">
        <v>763</v>
      </c>
      <c r="B764" s="27" t="s">
        <v>16892</v>
      </c>
      <c r="C764" s="26"/>
    </row>
    <row r="765" ht="15.75" spans="1:3">
      <c r="A765">
        <v>764</v>
      </c>
      <c r="B765" s="26"/>
      <c r="C765" s="26"/>
    </row>
    <row r="766" ht="21" spans="1:3">
      <c r="A766">
        <v>765</v>
      </c>
      <c r="B766" s="25" t="s">
        <v>16892</v>
      </c>
      <c r="C766" s="26"/>
    </row>
    <row r="767" ht="21" spans="1:3">
      <c r="A767">
        <v>766</v>
      </c>
      <c r="B767" s="25" t="s">
        <v>16892</v>
      </c>
      <c r="C767" s="26"/>
    </row>
    <row r="768" ht="15.75" spans="1:3">
      <c r="A768">
        <v>767</v>
      </c>
      <c r="B768" s="26"/>
      <c r="C768" s="26"/>
    </row>
    <row r="769" ht="15.75" spans="1:3">
      <c r="A769">
        <v>768</v>
      </c>
      <c r="B769" s="26"/>
      <c r="C769" s="26"/>
    </row>
    <row r="770" ht="15.75" spans="1:3">
      <c r="A770">
        <v>769</v>
      </c>
      <c r="B770" s="26"/>
      <c r="C770" s="26"/>
    </row>
    <row r="771" ht="30" spans="1:3">
      <c r="A771">
        <v>770</v>
      </c>
      <c r="B771" s="43" t="s">
        <v>16899</v>
      </c>
      <c r="C771" s="36" t="s">
        <v>16900</v>
      </c>
    </row>
    <row r="772" ht="21" spans="1:3">
      <c r="A772">
        <v>771</v>
      </c>
      <c r="B772" s="27" t="s">
        <v>16892</v>
      </c>
      <c r="C772" s="26"/>
    </row>
    <row r="773" ht="15.75" spans="1:3">
      <c r="A773">
        <v>772</v>
      </c>
      <c r="B773" s="26"/>
      <c r="C773" s="26"/>
    </row>
    <row r="774" ht="21" spans="1:3">
      <c r="A774">
        <v>773</v>
      </c>
      <c r="B774" s="27" t="s">
        <v>16892</v>
      </c>
      <c r="C774" s="26"/>
    </row>
    <row r="775" ht="21" spans="1:3">
      <c r="A775">
        <v>774</v>
      </c>
      <c r="B775" s="27" t="s">
        <v>16892</v>
      </c>
      <c r="C775" s="26"/>
    </row>
    <row r="776" ht="15.75" spans="1:3">
      <c r="A776">
        <v>775</v>
      </c>
      <c r="B776" s="26"/>
      <c r="C776" s="26"/>
    </row>
    <row r="777" ht="21" spans="1:3">
      <c r="A777">
        <v>776</v>
      </c>
      <c r="B777" s="25" t="s">
        <v>16892</v>
      </c>
      <c r="C777" s="26"/>
    </row>
    <row r="778" ht="15.75" spans="1:3">
      <c r="A778">
        <v>777</v>
      </c>
      <c r="B778" s="26"/>
      <c r="C778" s="26"/>
    </row>
    <row r="779" ht="18" spans="1:3">
      <c r="A779">
        <v>778</v>
      </c>
      <c r="B779" s="32" t="str">
        <f>IFERROR(__xludf.DUMMYFUNCTION("""COMPUTED_VALUE"""),"tigist asmelash")</f>
        <v>tigist asmelash</v>
      </c>
      <c r="C779" s="32">
        <v>910929374</v>
      </c>
    </row>
    <row r="780" ht="15.75" spans="1:3">
      <c r="A780">
        <v>779</v>
      </c>
      <c r="B780" s="26"/>
      <c r="C780" s="26"/>
    </row>
    <row r="781" ht="21" spans="1:3">
      <c r="A781">
        <v>780</v>
      </c>
      <c r="B781" s="25" t="s">
        <v>16892</v>
      </c>
      <c r="C781" s="26"/>
    </row>
    <row r="782" ht="21" spans="1:3">
      <c r="A782">
        <v>781</v>
      </c>
      <c r="B782" s="25" t="s">
        <v>16892</v>
      </c>
      <c r="C782" s="26"/>
    </row>
    <row r="783" ht="21" spans="1:3">
      <c r="A783">
        <v>782</v>
      </c>
      <c r="B783" s="25" t="s">
        <v>16892</v>
      </c>
      <c r="C783" s="26"/>
    </row>
    <row r="784" ht="15.75" spans="1:3">
      <c r="A784">
        <v>783</v>
      </c>
      <c r="B784" s="26"/>
      <c r="C784" s="26"/>
    </row>
    <row r="785" ht="15.75" spans="1:3">
      <c r="A785">
        <v>784</v>
      </c>
      <c r="B785" s="26"/>
      <c r="C785" s="26"/>
    </row>
    <row r="786" ht="21" spans="1:3">
      <c r="A786">
        <v>785</v>
      </c>
      <c r="B786" s="27" t="s">
        <v>16892</v>
      </c>
      <c r="C786" s="26"/>
    </row>
    <row r="787" ht="15.75" spans="1:3">
      <c r="A787">
        <v>786</v>
      </c>
      <c r="B787" s="26"/>
      <c r="C787" s="26"/>
    </row>
    <row r="788" ht="15.75" spans="1:3">
      <c r="A788">
        <v>787</v>
      </c>
      <c r="B788" s="26"/>
      <c r="C788" s="26"/>
    </row>
    <row r="789" ht="15.75" spans="1:3">
      <c r="A789">
        <v>788</v>
      </c>
      <c r="B789" s="26"/>
      <c r="C789" s="26"/>
    </row>
    <row r="790" ht="15.75" spans="1:3">
      <c r="A790">
        <v>789</v>
      </c>
      <c r="B790" s="26"/>
      <c r="C790" s="26"/>
    </row>
    <row r="791" ht="21" spans="1:3">
      <c r="A791">
        <v>790</v>
      </c>
      <c r="B791" s="25" t="s">
        <v>16892</v>
      </c>
      <c r="C791" s="26"/>
    </row>
    <row r="792" ht="21" spans="1:3">
      <c r="A792">
        <v>791</v>
      </c>
      <c r="B792" s="25" t="s">
        <v>16892</v>
      </c>
      <c r="C792" s="26"/>
    </row>
    <row r="793" ht="15.75" spans="1:3">
      <c r="A793">
        <v>792</v>
      </c>
      <c r="B793" s="26"/>
      <c r="C793" s="26"/>
    </row>
    <row r="794" ht="15.75" spans="1:3">
      <c r="A794">
        <v>793</v>
      </c>
      <c r="B794" s="26"/>
      <c r="C794" s="26"/>
    </row>
    <row r="795" ht="15.75" spans="1:3">
      <c r="A795">
        <v>794</v>
      </c>
      <c r="B795" s="26"/>
      <c r="C795" s="26"/>
    </row>
    <row r="796" ht="21" spans="1:3">
      <c r="A796">
        <v>795</v>
      </c>
      <c r="B796" s="27" t="s">
        <v>16892</v>
      </c>
      <c r="C796" s="26"/>
    </row>
    <row r="797" ht="15.75" spans="1:3">
      <c r="A797">
        <v>796</v>
      </c>
      <c r="B797" s="26"/>
      <c r="C797" s="26"/>
    </row>
    <row r="798" ht="15.75" spans="1:3">
      <c r="A798">
        <v>797</v>
      </c>
      <c r="B798" s="26"/>
      <c r="C798" s="26"/>
    </row>
    <row r="799" ht="18.75" spans="1:3">
      <c r="A799">
        <v>798</v>
      </c>
      <c r="B799" s="31" t="str">
        <f>IFERROR(__xludf.DUMMYFUNCTION("""COMPUTED_VALUE"""),"asporeyoland ethiopa (ybeltal)")</f>
        <v>asporeyoland ethiopa (ybeltal)</v>
      </c>
      <c r="C799" s="30">
        <v>937858589</v>
      </c>
    </row>
    <row r="800" ht="21" spans="1:3">
      <c r="A800">
        <v>799</v>
      </c>
      <c r="B800" s="27" t="s">
        <v>16892</v>
      </c>
      <c r="C800" s="26"/>
    </row>
    <row r="801" ht="15.75" spans="1:3">
      <c r="A801">
        <v>800</v>
      </c>
      <c r="B801" s="26"/>
      <c r="C801" s="26"/>
    </row>
    <row r="802" ht="21" spans="1:3">
      <c r="A802">
        <v>801</v>
      </c>
      <c r="B802" s="25" t="s">
        <v>16892</v>
      </c>
      <c r="C802" s="26"/>
    </row>
    <row r="803" ht="21" spans="1:3">
      <c r="A803">
        <v>802</v>
      </c>
      <c r="B803" s="25" t="s">
        <v>16892</v>
      </c>
      <c r="C803" s="26"/>
    </row>
    <row r="804" ht="21" spans="1:3">
      <c r="A804">
        <v>803</v>
      </c>
      <c r="B804" s="27" t="s">
        <v>16892</v>
      </c>
      <c r="C804" s="26"/>
    </row>
    <row r="805" ht="21" spans="1:3">
      <c r="A805">
        <v>804</v>
      </c>
      <c r="B805" s="25" t="s">
        <v>16892</v>
      </c>
      <c r="C805" s="26"/>
    </row>
    <row r="806" ht="21" spans="1:3">
      <c r="A806">
        <v>805</v>
      </c>
      <c r="B806" s="25" t="s">
        <v>16892</v>
      </c>
      <c r="C806" s="26"/>
    </row>
    <row r="807" ht="21" spans="1:3">
      <c r="A807">
        <v>806</v>
      </c>
      <c r="B807" s="27" t="s">
        <v>16892</v>
      </c>
      <c r="C807" s="26"/>
    </row>
    <row r="808" ht="21" spans="1:3">
      <c r="A808">
        <v>807</v>
      </c>
      <c r="B808" s="25" t="s">
        <v>16892</v>
      </c>
      <c r="C808" s="26"/>
    </row>
    <row r="809" ht="15.75" spans="1:3">
      <c r="A809">
        <v>808</v>
      </c>
      <c r="B809" s="26"/>
      <c r="C809" s="26"/>
    </row>
    <row r="810" ht="21" spans="1:3">
      <c r="A810">
        <v>809</v>
      </c>
      <c r="B810" s="25" t="s">
        <v>16892</v>
      </c>
      <c r="C810" s="26"/>
    </row>
    <row r="811" ht="21" spans="1:3">
      <c r="A811">
        <v>810</v>
      </c>
      <c r="B811" s="25" t="s">
        <v>16892</v>
      </c>
      <c r="C811" s="26"/>
    </row>
    <row r="812" ht="15.75" spans="1:3">
      <c r="A812">
        <v>811</v>
      </c>
      <c r="B812" s="26"/>
      <c r="C812" s="26"/>
    </row>
    <row r="813" ht="15.75" spans="1:3">
      <c r="A813">
        <v>812</v>
      </c>
      <c r="B813" s="26"/>
      <c r="C813" s="26"/>
    </row>
    <row r="814" ht="15.75" spans="1:3">
      <c r="A814">
        <v>813</v>
      </c>
      <c r="B814" s="29"/>
      <c r="C814" s="29"/>
    </row>
    <row r="815" ht="15.75" spans="1:3">
      <c r="A815">
        <v>814</v>
      </c>
      <c r="B815" s="29"/>
      <c r="C815" s="29"/>
    </row>
    <row r="816" ht="21" spans="1:3">
      <c r="A816">
        <v>815</v>
      </c>
      <c r="B816" s="25" t="s">
        <v>16892</v>
      </c>
      <c r="C816" s="26"/>
    </row>
    <row r="817" ht="15.75" spans="1:3">
      <c r="A817">
        <v>816</v>
      </c>
      <c r="B817" s="26"/>
      <c r="C817" s="26"/>
    </row>
    <row r="818" ht="15.75" spans="1:3">
      <c r="A818">
        <v>817</v>
      </c>
      <c r="B818" s="26"/>
      <c r="C818" s="26"/>
    </row>
    <row r="819" ht="21" spans="1:3">
      <c r="A819">
        <v>818</v>
      </c>
      <c r="B819" s="25" t="s">
        <v>16892</v>
      </c>
      <c r="C819" s="26"/>
    </row>
    <row r="820" ht="21" spans="1:3">
      <c r="A820">
        <v>819</v>
      </c>
      <c r="B820" s="25" t="s">
        <v>16892</v>
      </c>
      <c r="C820" s="26"/>
    </row>
    <row r="821" ht="21" spans="1:3">
      <c r="A821">
        <v>820</v>
      </c>
      <c r="B821" s="27" t="s">
        <v>16892</v>
      </c>
      <c r="C821" s="26"/>
    </row>
    <row r="822" ht="15.75" spans="1:3">
      <c r="A822">
        <v>821</v>
      </c>
      <c r="B822" s="26"/>
      <c r="C822" s="26"/>
    </row>
    <row r="823" ht="21" spans="1:3">
      <c r="A823">
        <v>822</v>
      </c>
      <c r="B823" s="27" t="s">
        <v>16892</v>
      </c>
      <c r="C823" s="26"/>
    </row>
    <row r="824" ht="15.75" spans="1:3">
      <c r="A824">
        <v>823</v>
      </c>
      <c r="B824" s="26"/>
      <c r="C824" s="26"/>
    </row>
    <row r="825" ht="15.75" spans="1:3">
      <c r="A825">
        <v>824</v>
      </c>
      <c r="B825" s="26"/>
      <c r="C825" s="26"/>
    </row>
    <row r="826" ht="15.75" spans="1:3">
      <c r="A826">
        <v>825</v>
      </c>
      <c r="B826" s="26"/>
      <c r="C826" s="26"/>
    </row>
    <row r="827" ht="15.75" spans="1:3">
      <c r="A827">
        <v>826</v>
      </c>
      <c r="B827" s="26"/>
      <c r="C827" s="26"/>
    </row>
    <row r="828" ht="21" spans="1:3">
      <c r="A828">
        <v>827</v>
      </c>
      <c r="B828" s="27" t="s">
        <v>16892</v>
      </c>
      <c r="C828" s="26"/>
    </row>
    <row r="829" ht="15.75" spans="1:3">
      <c r="A829">
        <v>828</v>
      </c>
      <c r="B829" s="26"/>
      <c r="C829" s="26"/>
    </row>
    <row r="830" ht="21" spans="1:3">
      <c r="A830">
        <v>829</v>
      </c>
      <c r="B830" s="25" t="s">
        <v>16892</v>
      </c>
      <c r="C830" s="26"/>
    </row>
    <row r="831" ht="15.75" spans="1:3">
      <c r="A831">
        <v>830</v>
      </c>
      <c r="B831" s="26"/>
      <c r="C831" s="26"/>
    </row>
    <row r="832" ht="15.75" spans="1:3">
      <c r="A832">
        <v>831</v>
      </c>
      <c r="B832" s="26"/>
      <c r="C832" s="26"/>
    </row>
    <row r="833" ht="21" spans="1:3">
      <c r="A833">
        <v>832</v>
      </c>
      <c r="B833" s="25" t="s">
        <v>16892</v>
      </c>
      <c r="C833" s="26"/>
    </row>
    <row r="834" ht="21" spans="1:3">
      <c r="A834">
        <v>833</v>
      </c>
      <c r="B834" s="25" t="s">
        <v>16892</v>
      </c>
      <c r="C834" s="26"/>
    </row>
    <row r="835" ht="21" spans="1:3">
      <c r="A835">
        <v>834</v>
      </c>
      <c r="B835" s="25" t="s">
        <v>16892</v>
      </c>
      <c r="C835" s="26"/>
    </row>
    <row r="836" ht="15.75" spans="1:3">
      <c r="A836">
        <v>835</v>
      </c>
      <c r="B836" s="26"/>
      <c r="C836" s="26"/>
    </row>
    <row r="837" ht="21" spans="1:3">
      <c r="A837">
        <v>836</v>
      </c>
      <c r="B837" s="25" t="s">
        <v>16892</v>
      </c>
      <c r="C837" s="26"/>
    </row>
    <row r="838" ht="15.75" spans="1:3">
      <c r="A838">
        <v>837</v>
      </c>
      <c r="B838" s="26"/>
      <c r="C838" s="26"/>
    </row>
    <row r="839" ht="15.75" spans="1:3">
      <c r="A839">
        <v>838</v>
      </c>
      <c r="B839" s="26"/>
      <c r="C839" s="26"/>
    </row>
    <row r="840" ht="15.75" spans="1:3">
      <c r="A840">
        <v>839</v>
      </c>
      <c r="B840" s="26"/>
      <c r="C840" s="26"/>
    </row>
    <row r="841" ht="15.75" spans="1:3">
      <c r="A841">
        <v>840</v>
      </c>
      <c r="B841" s="26"/>
      <c r="C841" s="26"/>
    </row>
    <row r="842" ht="15.75" spans="1:3">
      <c r="A842">
        <v>841</v>
      </c>
      <c r="B842" s="29"/>
      <c r="C842" s="29"/>
    </row>
    <row r="843" ht="15.75" spans="1:3">
      <c r="A843">
        <v>842</v>
      </c>
      <c r="B843" s="29"/>
      <c r="C843" s="29"/>
    </row>
    <row r="844" ht="15.75" spans="1:3">
      <c r="A844">
        <v>843</v>
      </c>
      <c r="B844" s="26"/>
      <c r="C844" s="26"/>
    </row>
    <row r="845" ht="18.75" spans="1:3">
      <c r="A845">
        <v>844</v>
      </c>
      <c r="B845" s="31" t="str">
        <f>IFERROR(__xludf.DUMMYFUNCTION("""COMPUTED_VALUE"""),"mahilet gashaw ")</f>
        <v>mahilet gashaw </v>
      </c>
      <c r="C845" s="30">
        <v>909323493</v>
      </c>
    </row>
    <row r="846" ht="21" spans="1:3">
      <c r="A846">
        <v>845</v>
      </c>
      <c r="B846" s="25" t="s">
        <v>16892</v>
      </c>
      <c r="C846" s="26"/>
    </row>
    <row r="847" ht="15.75" spans="1:3">
      <c r="A847">
        <v>846</v>
      </c>
      <c r="B847" s="26"/>
      <c r="C847" s="26"/>
    </row>
    <row r="848" ht="21" spans="1:3">
      <c r="A848">
        <v>847</v>
      </c>
      <c r="B848" s="25" t="s">
        <v>16892</v>
      </c>
      <c r="C848" s="26"/>
    </row>
    <row r="849" ht="15.75" spans="1:3">
      <c r="A849">
        <v>848</v>
      </c>
      <c r="B849" s="26"/>
      <c r="C849" s="26"/>
    </row>
    <row r="850" ht="15.75" spans="1:3">
      <c r="A850">
        <v>849</v>
      </c>
      <c r="B850" s="26"/>
      <c r="C850" s="26"/>
    </row>
    <row r="851" ht="18.75" spans="1:3">
      <c r="A851">
        <v>850</v>
      </c>
      <c r="B851" s="31" t="str">
        <f>IFERROR(__xludf.DUMMYFUNCTION("""COMPUTED_VALUE"""),"meklit tadese abera")</f>
        <v>meklit tadese abera</v>
      </c>
      <c r="C851" s="30">
        <v>911600475</v>
      </c>
    </row>
    <row r="852" ht="15.75" spans="1:3">
      <c r="A852">
        <v>851</v>
      </c>
      <c r="B852" s="26"/>
      <c r="C852" s="26"/>
    </row>
    <row r="853" ht="21" spans="1:3">
      <c r="A853">
        <v>852</v>
      </c>
      <c r="B853" s="25" t="s">
        <v>16892</v>
      </c>
      <c r="C853" s="26"/>
    </row>
    <row r="854" ht="21" spans="1:3">
      <c r="A854">
        <v>853</v>
      </c>
      <c r="B854" s="25" t="s">
        <v>16892</v>
      </c>
      <c r="C854" s="26"/>
    </row>
    <row r="855" ht="15.75" spans="1:3">
      <c r="A855">
        <v>854</v>
      </c>
      <c r="B855" s="26"/>
      <c r="C855" s="26"/>
    </row>
    <row r="856" ht="18.75" spans="1:3">
      <c r="A856">
        <v>855</v>
      </c>
      <c r="B856" s="31" t="str">
        <f>IFERROR(__xludf.DUMMYFUNCTION("""COMPUTED_VALUE"""),"መሳይ ታደሰ")</f>
        <v>መሳይ ታደሰ</v>
      </c>
      <c r="C856" s="30">
        <v>911901815</v>
      </c>
    </row>
    <row r="857" ht="15.75" spans="1:3">
      <c r="A857">
        <v>856</v>
      </c>
      <c r="B857" s="26"/>
      <c r="C857" s="26"/>
    </row>
    <row r="858" ht="21" spans="1:3">
      <c r="A858">
        <v>857</v>
      </c>
      <c r="B858" s="27" t="s">
        <v>16892</v>
      </c>
      <c r="C858" s="26"/>
    </row>
    <row r="859" ht="15.75" spans="1:3">
      <c r="A859">
        <v>858</v>
      </c>
      <c r="B859" s="26"/>
      <c r="C859" s="26"/>
    </row>
    <row r="860" ht="15.75" spans="1:3">
      <c r="A860">
        <v>859</v>
      </c>
      <c r="B860" s="26"/>
      <c r="C860" s="26"/>
    </row>
    <row r="861" ht="15.75" spans="1:3">
      <c r="A861">
        <v>860</v>
      </c>
      <c r="B861" s="26"/>
      <c r="C861" s="26"/>
    </row>
    <row r="862" ht="15.75" spans="1:3">
      <c r="A862">
        <v>861</v>
      </c>
      <c r="B862" s="26"/>
      <c r="C862" s="26"/>
    </row>
    <row r="863" ht="15.75" spans="1:3">
      <c r="A863">
        <v>862</v>
      </c>
      <c r="B863" s="26"/>
      <c r="C863" s="26"/>
    </row>
    <row r="864" ht="18.75" spans="1:3">
      <c r="A864">
        <v>863</v>
      </c>
      <c r="B864" s="30" t="str">
        <f>IFERROR(__xludf.DUMMYFUNCTION("""COMPUTED_VALUE"""),"አርቢን አርቪን")</f>
        <v>አርቢን አርቪን</v>
      </c>
      <c r="C864" s="30">
        <v>912984294</v>
      </c>
    </row>
    <row r="865" ht="21" spans="1:3">
      <c r="A865">
        <v>864</v>
      </c>
      <c r="B865" s="27" t="s">
        <v>16892</v>
      </c>
      <c r="C865" s="26"/>
    </row>
    <row r="866" ht="15.75" spans="1:3">
      <c r="A866">
        <v>865</v>
      </c>
      <c r="B866" s="26"/>
      <c r="C866" s="26"/>
    </row>
    <row r="867" ht="15.75" spans="1:3">
      <c r="A867">
        <v>866</v>
      </c>
      <c r="B867" s="26"/>
      <c r="C867" s="26"/>
    </row>
    <row r="868" ht="15.75" spans="1:3">
      <c r="A868">
        <v>867</v>
      </c>
      <c r="B868" s="26"/>
      <c r="C868" s="26"/>
    </row>
    <row r="869" ht="15.75" spans="1:3">
      <c r="A869">
        <v>868</v>
      </c>
      <c r="B869" s="26"/>
      <c r="C869" s="26"/>
    </row>
    <row r="870" ht="15.75" spans="1:3">
      <c r="A870">
        <v>869</v>
      </c>
      <c r="B870" s="29"/>
      <c r="C870" s="29"/>
    </row>
    <row r="871" ht="15.75" spans="1:3">
      <c r="A871">
        <v>870</v>
      </c>
      <c r="B871" s="29"/>
      <c r="C871" s="29"/>
    </row>
    <row r="872" ht="15.75" spans="1:3">
      <c r="A872">
        <v>871</v>
      </c>
      <c r="B872" s="26"/>
      <c r="C872" s="26"/>
    </row>
    <row r="873" ht="21" spans="1:3">
      <c r="A873">
        <v>872</v>
      </c>
      <c r="B873" s="25" t="s">
        <v>16892</v>
      </c>
      <c r="C873" s="26"/>
    </row>
    <row r="874" ht="15.75" spans="1:3">
      <c r="A874">
        <v>873</v>
      </c>
      <c r="B874" s="26"/>
      <c r="C874" s="26"/>
    </row>
    <row r="875" ht="21" spans="1:3">
      <c r="A875">
        <v>874</v>
      </c>
      <c r="B875" s="25" t="s">
        <v>16892</v>
      </c>
      <c r="C875" s="26"/>
    </row>
    <row r="876" ht="15.75" spans="1:3">
      <c r="A876">
        <v>875</v>
      </c>
      <c r="B876" s="26"/>
      <c r="C876" s="26"/>
    </row>
    <row r="877" ht="21" spans="1:3">
      <c r="A877">
        <v>876</v>
      </c>
      <c r="B877" s="27" t="s">
        <v>16892</v>
      </c>
      <c r="C877" s="26"/>
    </row>
    <row r="878" ht="21" spans="1:3">
      <c r="A878">
        <v>877</v>
      </c>
      <c r="B878" s="27" t="s">
        <v>16892</v>
      </c>
      <c r="C878" s="26"/>
    </row>
    <row r="879" ht="18" spans="1:3">
      <c r="A879">
        <v>878</v>
      </c>
      <c r="B879" s="32" t="str">
        <f>IFERROR(__xludf.DUMMYFUNCTION("""COMPUTED_VALUE"""),"Rut gebru")</f>
        <v>Rut gebru</v>
      </c>
      <c r="C879" s="32">
        <v>913642212</v>
      </c>
    </row>
    <row r="880" ht="21" spans="1:3">
      <c r="A880">
        <v>879</v>
      </c>
      <c r="B880" s="27" t="s">
        <v>16892</v>
      </c>
      <c r="C880" s="26"/>
    </row>
    <row r="881" ht="21" spans="1:3">
      <c r="A881">
        <v>880</v>
      </c>
      <c r="B881" s="25" t="s">
        <v>16892</v>
      </c>
      <c r="C881" s="26"/>
    </row>
    <row r="882" ht="21" spans="1:3">
      <c r="A882">
        <v>881</v>
      </c>
      <c r="B882" s="27" t="s">
        <v>16892</v>
      </c>
      <c r="C882" s="26"/>
    </row>
    <row r="883" ht="21" spans="1:3">
      <c r="A883">
        <v>882</v>
      </c>
      <c r="B883" s="27" t="s">
        <v>16892</v>
      </c>
      <c r="C883" s="26"/>
    </row>
    <row r="884" ht="21" spans="1:3">
      <c r="A884">
        <v>883</v>
      </c>
      <c r="B884" s="27" t="s">
        <v>16892</v>
      </c>
      <c r="C884" s="26"/>
    </row>
    <row r="885" ht="15.75" spans="1:3">
      <c r="A885">
        <v>884</v>
      </c>
      <c r="B885" s="26"/>
      <c r="C885" s="26"/>
    </row>
    <row r="886" ht="21" spans="1:3">
      <c r="A886">
        <v>885</v>
      </c>
      <c r="B886" s="25" t="s">
        <v>16892</v>
      </c>
      <c r="C886" s="26"/>
    </row>
    <row r="887" ht="21" spans="1:3">
      <c r="A887">
        <v>886</v>
      </c>
      <c r="B887" s="25" t="s">
        <v>16892</v>
      </c>
      <c r="C887" s="26"/>
    </row>
    <row r="888" ht="21" spans="1:3">
      <c r="A888">
        <v>887</v>
      </c>
      <c r="B888" s="27" t="s">
        <v>16892</v>
      </c>
      <c r="C888" s="26"/>
    </row>
    <row r="889" ht="15.75" spans="1:3">
      <c r="A889">
        <v>888</v>
      </c>
      <c r="B889" s="26"/>
      <c r="C889" s="26"/>
    </row>
    <row r="890" ht="15.75" spans="1:3">
      <c r="A890">
        <v>889</v>
      </c>
      <c r="B890" s="26"/>
      <c r="C890" s="26"/>
    </row>
    <row r="891" ht="15.75" spans="1:3">
      <c r="A891">
        <v>890</v>
      </c>
      <c r="B891" s="26"/>
      <c r="C891" s="26"/>
    </row>
    <row r="892" ht="15.75" spans="1:3">
      <c r="A892">
        <v>891</v>
      </c>
      <c r="B892" s="26"/>
      <c r="C892" s="26"/>
    </row>
    <row r="893" ht="15.75" spans="1:3">
      <c r="A893">
        <v>892</v>
      </c>
      <c r="B893" s="26"/>
      <c r="C893" s="26"/>
    </row>
    <row r="894" ht="15.75" spans="1:3">
      <c r="A894">
        <v>893</v>
      </c>
      <c r="B894" s="26"/>
      <c r="C894" s="26"/>
    </row>
    <row r="895" ht="21" spans="1:3">
      <c r="A895">
        <v>894</v>
      </c>
      <c r="B895" s="25" t="s">
        <v>16892</v>
      </c>
      <c r="C895" s="26"/>
    </row>
    <row r="896" ht="21" spans="1:3">
      <c r="A896">
        <v>895</v>
      </c>
      <c r="B896" s="25" t="s">
        <v>16892</v>
      </c>
      <c r="C896" s="26"/>
    </row>
    <row r="897" ht="21" spans="1:3">
      <c r="A897">
        <v>896</v>
      </c>
      <c r="B897" s="27" t="s">
        <v>16892</v>
      </c>
      <c r="C897" s="26"/>
    </row>
    <row r="898" ht="21" spans="1:3">
      <c r="A898">
        <v>897</v>
      </c>
      <c r="B898" s="25" t="s">
        <v>16892</v>
      </c>
      <c r="C898" s="26"/>
    </row>
    <row r="899" ht="21" spans="1:3">
      <c r="A899">
        <v>898</v>
      </c>
      <c r="B899" s="25" t="s">
        <v>16892</v>
      </c>
      <c r="C899" s="26"/>
    </row>
    <row r="900" ht="21" spans="1:3">
      <c r="A900">
        <v>899</v>
      </c>
      <c r="B900" s="27" t="s">
        <v>16892</v>
      </c>
      <c r="C900" s="26"/>
    </row>
    <row r="901" ht="21" spans="1:3">
      <c r="A901">
        <v>900</v>
      </c>
      <c r="B901" s="27" t="s">
        <v>16892</v>
      </c>
      <c r="C901" s="26"/>
    </row>
    <row r="902" ht="15.75" spans="1:3">
      <c r="A902">
        <v>901</v>
      </c>
      <c r="B902" s="26"/>
      <c r="C902" s="26"/>
    </row>
    <row r="903" ht="15.75" spans="1:3">
      <c r="A903">
        <v>902</v>
      </c>
      <c r="B903" s="26"/>
      <c r="C903" s="26"/>
    </row>
    <row r="904" ht="21" spans="1:3">
      <c r="A904">
        <v>903</v>
      </c>
      <c r="B904" s="27" t="s">
        <v>16892</v>
      </c>
      <c r="C904" s="26"/>
    </row>
    <row r="905" ht="21" spans="1:3">
      <c r="A905">
        <v>904</v>
      </c>
      <c r="B905" s="25" t="s">
        <v>16892</v>
      </c>
      <c r="C905" s="26"/>
    </row>
    <row r="906" ht="21" spans="1:3">
      <c r="A906">
        <v>905</v>
      </c>
      <c r="B906" s="25" t="s">
        <v>16892</v>
      </c>
      <c r="C906" s="26"/>
    </row>
    <row r="907" ht="21" spans="1:3">
      <c r="A907">
        <v>906</v>
      </c>
      <c r="B907" s="25" t="s">
        <v>16892</v>
      </c>
      <c r="C907" s="26"/>
    </row>
    <row r="908" ht="21" spans="1:3">
      <c r="A908">
        <v>907</v>
      </c>
      <c r="B908" s="25" t="s">
        <v>16892</v>
      </c>
      <c r="C908" s="26"/>
    </row>
    <row r="909" ht="21" spans="1:3">
      <c r="A909">
        <v>908</v>
      </c>
      <c r="B909" s="25" t="s">
        <v>16892</v>
      </c>
      <c r="C909" s="26"/>
    </row>
    <row r="910" ht="21" spans="1:3">
      <c r="A910">
        <v>909</v>
      </c>
      <c r="B910" s="25" t="s">
        <v>16892</v>
      </c>
      <c r="C910" s="26"/>
    </row>
    <row r="911" ht="21" spans="1:3">
      <c r="A911">
        <v>910</v>
      </c>
      <c r="B911" s="27" t="s">
        <v>16892</v>
      </c>
      <c r="C911" s="26"/>
    </row>
    <row r="912" ht="21" spans="1:3">
      <c r="A912">
        <v>911</v>
      </c>
      <c r="B912" s="27" t="s">
        <v>16892</v>
      </c>
      <c r="C912" s="26"/>
    </row>
    <row r="913" ht="21" spans="1:3">
      <c r="A913">
        <v>912</v>
      </c>
      <c r="B913" s="27" t="s">
        <v>16892</v>
      </c>
      <c r="C913" s="26"/>
    </row>
    <row r="914" ht="15.75" spans="1:3">
      <c r="A914">
        <v>913</v>
      </c>
      <c r="B914" s="26"/>
      <c r="C914" s="26"/>
    </row>
    <row r="915" ht="21" spans="1:3">
      <c r="A915">
        <v>914</v>
      </c>
      <c r="B915" s="27" t="s">
        <v>16892</v>
      </c>
      <c r="C915" s="26"/>
    </row>
    <row r="916" ht="21" spans="1:3">
      <c r="A916">
        <v>915</v>
      </c>
      <c r="B916" s="25" t="s">
        <v>16892</v>
      </c>
      <c r="C916" s="26"/>
    </row>
    <row r="917" ht="21" spans="1:3">
      <c r="A917">
        <v>916</v>
      </c>
      <c r="B917" s="25" t="s">
        <v>16892</v>
      </c>
      <c r="C917" s="26"/>
    </row>
    <row r="918" ht="21" spans="1:3">
      <c r="A918">
        <v>917</v>
      </c>
      <c r="B918" s="25" t="s">
        <v>16892</v>
      </c>
      <c r="C918" s="26"/>
    </row>
    <row r="919" ht="15.75" spans="1:3">
      <c r="A919">
        <v>918</v>
      </c>
      <c r="B919" s="26"/>
      <c r="C919" s="26"/>
    </row>
    <row r="920" ht="15.75" spans="1:3">
      <c r="A920">
        <v>919</v>
      </c>
      <c r="B920" s="26"/>
      <c r="C920" s="26"/>
    </row>
    <row r="921" ht="15.75" spans="1:3">
      <c r="A921">
        <v>920</v>
      </c>
      <c r="B921" s="26"/>
      <c r="C921" s="26"/>
    </row>
    <row r="922" ht="21" spans="1:3">
      <c r="A922">
        <v>921</v>
      </c>
      <c r="B922" s="25" t="s">
        <v>16892</v>
      </c>
      <c r="C922" s="26"/>
    </row>
    <row r="923" ht="21" spans="1:3">
      <c r="A923">
        <v>922</v>
      </c>
      <c r="B923" s="27" t="s">
        <v>16892</v>
      </c>
      <c r="C923" s="26"/>
    </row>
    <row r="924" ht="21" spans="1:3">
      <c r="A924">
        <v>923</v>
      </c>
      <c r="B924" s="25" t="s">
        <v>16892</v>
      </c>
      <c r="C924" s="26"/>
    </row>
    <row r="925" ht="21" spans="1:3">
      <c r="A925">
        <v>924</v>
      </c>
      <c r="B925" s="25" t="s">
        <v>16892</v>
      </c>
      <c r="C925" s="26"/>
    </row>
    <row r="926" ht="21" spans="1:3">
      <c r="A926">
        <v>925</v>
      </c>
      <c r="B926" s="25" t="s">
        <v>16892</v>
      </c>
      <c r="C926" s="26"/>
    </row>
    <row r="927" ht="21" spans="1:3">
      <c r="A927">
        <v>926</v>
      </c>
      <c r="B927" s="25" t="s">
        <v>16892</v>
      </c>
      <c r="C927" s="26"/>
    </row>
    <row r="928" ht="21" spans="1:3">
      <c r="A928">
        <v>927</v>
      </c>
      <c r="B928" s="25" t="s">
        <v>16892</v>
      </c>
      <c r="C928" s="26"/>
    </row>
    <row r="929" ht="21" spans="1:3">
      <c r="A929">
        <v>928</v>
      </c>
      <c r="B929" s="25" t="s">
        <v>16892</v>
      </c>
      <c r="C929" s="26"/>
    </row>
    <row r="930" ht="18.75" spans="1:3">
      <c r="A930">
        <v>929</v>
      </c>
      <c r="B930" s="30" t="str">
        <f>IFERROR(__xludf.DUMMYFUNCTION("""COMPUTED_VALUE"""),"dawit getachew")</f>
        <v>dawit getachew</v>
      </c>
      <c r="C930" s="30">
        <v>943574971</v>
      </c>
    </row>
    <row r="931" ht="15.75" spans="1:3">
      <c r="A931">
        <v>930</v>
      </c>
      <c r="B931" s="29"/>
      <c r="C931" s="29"/>
    </row>
    <row r="932" ht="15.75" spans="1:3">
      <c r="A932">
        <v>931</v>
      </c>
      <c r="B932" s="29"/>
      <c r="C932" s="29"/>
    </row>
    <row r="933" ht="30" spans="1:3">
      <c r="A933">
        <v>932</v>
      </c>
      <c r="B933" s="37" t="s">
        <v>16901</v>
      </c>
      <c r="C933" s="38"/>
    </row>
    <row r="934" ht="21" spans="1:3">
      <c r="A934">
        <v>933</v>
      </c>
      <c r="B934" s="25" t="s">
        <v>16892</v>
      </c>
      <c r="C934" s="26"/>
    </row>
    <row r="935" ht="15.75" spans="1:3">
      <c r="A935">
        <v>934</v>
      </c>
      <c r="B935" s="26"/>
      <c r="C935" s="26"/>
    </row>
    <row r="936" ht="21" spans="1:3">
      <c r="A936">
        <v>935</v>
      </c>
      <c r="B936" s="27" t="s">
        <v>16892</v>
      </c>
      <c r="C936" s="26"/>
    </row>
    <row r="937" ht="21" spans="1:3">
      <c r="A937">
        <v>936</v>
      </c>
      <c r="B937" s="27" t="s">
        <v>16892</v>
      </c>
      <c r="C937" s="26"/>
    </row>
    <row r="938" ht="21" spans="1:3">
      <c r="A938">
        <v>937</v>
      </c>
      <c r="B938" s="27" t="s">
        <v>16892</v>
      </c>
      <c r="C938" s="26"/>
    </row>
    <row r="939" ht="21" spans="1:3">
      <c r="A939">
        <v>938</v>
      </c>
      <c r="B939" s="27" t="s">
        <v>16892</v>
      </c>
      <c r="C939" s="26"/>
    </row>
    <row r="940" ht="21" spans="1:3">
      <c r="A940">
        <v>939</v>
      </c>
      <c r="B940" s="25" t="s">
        <v>16892</v>
      </c>
      <c r="C940" s="26"/>
    </row>
    <row r="941" ht="21" spans="1:3">
      <c r="A941">
        <v>940</v>
      </c>
      <c r="B941" s="25" t="s">
        <v>16892</v>
      </c>
      <c r="C941" s="26"/>
    </row>
    <row r="942" ht="21" spans="1:3">
      <c r="A942">
        <v>941</v>
      </c>
      <c r="B942" s="27" t="s">
        <v>16892</v>
      </c>
      <c r="C942" s="26"/>
    </row>
    <row r="943" ht="21" spans="1:3">
      <c r="A943">
        <v>942</v>
      </c>
      <c r="B943" s="25" t="s">
        <v>16892</v>
      </c>
      <c r="C943" s="26"/>
    </row>
    <row r="944" ht="15.75" spans="1:3">
      <c r="A944">
        <v>943</v>
      </c>
      <c r="B944" s="26"/>
      <c r="C944" s="26"/>
    </row>
    <row r="945" ht="15.75" spans="1:3">
      <c r="A945">
        <v>944</v>
      </c>
      <c r="B945" s="29"/>
      <c r="C945" s="29"/>
    </row>
    <row r="946" ht="15.75" spans="1:3">
      <c r="A946">
        <v>945</v>
      </c>
      <c r="B946" s="29"/>
      <c r="C946" s="29"/>
    </row>
    <row r="947" ht="21" spans="1:3">
      <c r="A947">
        <v>946</v>
      </c>
      <c r="B947" s="27" t="s">
        <v>16892</v>
      </c>
      <c r="C947" s="26"/>
    </row>
    <row r="948" ht="21" spans="1:3">
      <c r="A948">
        <v>947</v>
      </c>
      <c r="B948" s="27" t="s">
        <v>16892</v>
      </c>
      <c r="C948" s="26"/>
    </row>
    <row r="949" ht="21" spans="1:3">
      <c r="A949">
        <v>948</v>
      </c>
      <c r="B949" s="25" t="s">
        <v>16892</v>
      </c>
      <c r="C949" s="26"/>
    </row>
    <row r="950" ht="21" spans="1:3">
      <c r="A950">
        <v>949</v>
      </c>
      <c r="B950" s="25" t="s">
        <v>16892</v>
      </c>
      <c r="C950" s="26"/>
    </row>
    <row r="951" ht="21" spans="1:3">
      <c r="A951">
        <v>950</v>
      </c>
      <c r="B951" s="25" t="s">
        <v>16892</v>
      </c>
      <c r="C951" s="26"/>
    </row>
    <row r="952" ht="21" spans="1:3">
      <c r="A952">
        <v>951</v>
      </c>
      <c r="B952" s="27" t="s">
        <v>16892</v>
      </c>
      <c r="C952" s="26"/>
    </row>
    <row r="953" ht="15.75" spans="1:3">
      <c r="A953">
        <v>952</v>
      </c>
      <c r="B953" s="26"/>
      <c r="C953" s="26"/>
    </row>
    <row r="954" ht="21" spans="1:3">
      <c r="A954">
        <v>953</v>
      </c>
      <c r="B954" s="25" t="s">
        <v>16892</v>
      </c>
      <c r="C954" s="26"/>
    </row>
    <row r="955" ht="21" spans="1:3">
      <c r="A955">
        <v>954</v>
      </c>
      <c r="B955" s="25" t="s">
        <v>16892</v>
      </c>
      <c r="C955" s="26"/>
    </row>
    <row r="956" ht="15.75" spans="1:3">
      <c r="A956">
        <v>955</v>
      </c>
      <c r="B956" s="26"/>
      <c r="C956" s="26"/>
    </row>
    <row r="957" ht="21" spans="1:3">
      <c r="A957">
        <v>956</v>
      </c>
      <c r="B957" s="25" t="s">
        <v>16892</v>
      </c>
      <c r="C957" s="26"/>
    </row>
    <row r="958" ht="21" spans="1:3">
      <c r="A958">
        <v>957</v>
      </c>
      <c r="B958" s="25" t="s">
        <v>16892</v>
      </c>
      <c r="C958" s="26"/>
    </row>
    <row r="959" ht="21" spans="1:3">
      <c r="A959">
        <v>958</v>
      </c>
      <c r="B959" s="27" t="s">
        <v>16902</v>
      </c>
      <c r="C959" s="26"/>
    </row>
    <row r="960" ht="21" spans="1:3">
      <c r="A960">
        <v>959</v>
      </c>
      <c r="B960" s="25" t="s">
        <v>16892</v>
      </c>
      <c r="C960" s="26"/>
    </row>
    <row r="961" ht="21" spans="1:3">
      <c r="A961">
        <v>960</v>
      </c>
      <c r="B961" s="25" t="s">
        <v>16892</v>
      </c>
      <c r="C961" s="26"/>
    </row>
    <row r="962" ht="21" spans="1:3">
      <c r="A962">
        <v>961</v>
      </c>
      <c r="B962" s="27" t="s">
        <v>16892</v>
      </c>
      <c r="C962" s="26"/>
    </row>
    <row r="963" ht="21" spans="1:3">
      <c r="A963">
        <v>962</v>
      </c>
      <c r="B963" s="27" t="s">
        <v>16892</v>
      </c>
      <c r="C963" s="26"/>
    </row>
    <row r="964" ht="21" spans="1:3">
      <c r="A964">
        <v>963</v>
      </c>
      <c r="B964" s="25" t="s">
        <v>16892</v>
      </c>
      <c r="C964" s="26"/>
    </row>
    <row r="965" ht="21" spans="1:3">
      <c r="A965">
        <v>964</v>
      </c>
      <c r="B965" s="27" t="s">
        <v>16892</v>
      </c>
      <c r="C965" s="26"/>
    </row>
    <row r="966" ht="21" spans="1:3">
      <c r="A966">
        <v>965</v>
      </c>
      <c r="B966" s="27" t="s">
        <v>16892</v>
      </c>
      <c r="C966" s="26"/>
    </row>
    <row r="967" ht="21" spans="1:3">
      <c r="A967">
        <v>966</v>
      </c>
      <c r="B967" s="27" t="s">
        <v>16892</v>
      </c>
      <c r="C967" s="26"/>
    </row>
    <row r="968" ht="21" spans="1:3">
      <c r="A968">
        <v>967</v>
      </c>
      <c r="B968" s="25" t="s">
        <v>16892</v>
      </c>
      <c r="C968" s="26"/>
    </row>
    <row r="969" ht="18" spans="1:3">
      <c r="A969">
        <v>968</v>
      </c>
      <c r="B969" s="31" t="str">
        <f>IFERROR(__xludf.DUMMYFUNCTION("""COMPUTED_VALUE"""),"መኪሊት ታደሰ አበራ")</f>
        <v>መኪሊት ታደሰ አበራ</v>
      </c>
      <c r="C969" s="31">
        <v>911600475</v>
      </c>
    </row>
    <row r="970" ht="15.75" spans="1:3">
      <c r="A970">
        <v>969</v>
      </c>
      <c r="B970" s="26"/>
      <c r="C970" s="26"/>
    </row>
    <row r="971" ht="21" spans="1:3">
      <c r="A971">
        <v>970</v>
      </c>
      <c r="B971" s="27" t="s">
        <v>16892</v>
      </c>
      <c r="C971" s="26"/>
    </row>
    <row r="972" ht="21" spans="1:3">
      <c r="A972">
        <v>971</v>
      </c>
      <c r="B972" s="27" t="s">
        <v>16892</v>
      </c>
      <c r="C972" s="26"/>
    </row>
    <row r="973" ht="21" spans="1:3">
      <c r="A973">
        <v>972</v>
      </c>
      <c r="B973" s="25" t="s">
        <v>16892</v>
      </c>
      <c r="C973" s="26"/>
    </row>
    <row r="974" ht="21" spans="1:3">
      <c r="A974">
        <v>973</v>
      </c>
      <c r="B974" s="27" t="s">
        <v>16892</v>
      </c>
      <c r="C974" s="26"/>
    </row>
    <row r="975" ht="21" spans="1:3">
      <c r="A975">
        <v>974</v>
      </c>
      <c r="B975" s="27" t="s">
        <v>16892</v>
      </c>
      <c r="C975" s="26"/>
    </row>
    <row r="976" ht="21" spans="1:3">
      <c r="A976">
        <v>975</v>
      </c>
      <c r="B976" s="27" t="s">
        <v>16892</v>
      </c>
      <c r="C976" s="26"/>
    </row>
    <row r="977" ht="21" spans="1:3">
      <c r="A977">
        <v>976</v>
      </c>
      <c r="B977" s="25" t="s">
        <v>16892</v>
      </c>
      <c r="C977" s="26"/>
    </row>
    <row r="978" ht="21" spans="1:3">
      <c r="A978">
        <v>977</v>
      </c>
      <c r="B978" s="27" t="s">
        <v>16892</v>
      </c>
      <c r="C978" s="26"/>
    </row>
    <row r="979" ht="15.75" spans="1:3">
      <c r="A979">
        <v>978</v>
      </c>
      <c r="B979" s="26"/>
      <c r="C979" s="26"/>
    </row>
    <row r="980" ht="21" spans="1:3">
      <c r="A980">
        <v>979</v>
      </c>
      <c r="B980" s="27" t="s">
        <v>16892</v>
      </c>
      <c r="C980" s="26"/>
    </row>
    <row r="981" ht="21" spans="1:3">
      <c r="A981">
        <v>980</v>
      </c>
      <c r="B981" s="27" t="s">
        <v>16892</v>
      </c>
      <c r="C981" s="26"/>
    </row>
    <row r="982" ht="21" spans="1:3">
      <c r="A982">
        <v>981</v>
      </c>
      <c r="B982" s="27" t="s">
        <v>16892</v>
      </c>
      <c r="C982" s="26"/>
    </row>
    <row r="983" ht="21" spans="1:3">
      <c r="A983">
        <v>982</v>
      </c>
      <c r="B983" s="27" t="s">
        <v>16892</v>
      </c>
      <c r="C983" s="26"/>
    </row>
    <row r="984" ht="15.75" spans="1:3">
      <c r="A984">
        <v>983</v>
      </c>
      <c r="B984" s="26"/>
      <c r="C984" s="26"/>
    </row>
    <row r="985" ht="21" spans="1:3">
      <c r="A985">
        <v>984</v>
      </c>
      <c r="B985" s="27" t="s">
        <v>16892</v>
      </c>
      <c r="C985" s="26"/>
    </row>
    <row r="986" ht="21" spans="1:3">
      <c r="A986">
        <v>985</v>
      </c>
      <c r="B986" s="27" t="s">
        <v>16892</v>
      </c>
      <c r="C986" s="26"/>
    </row>
    <row r="987" ht="21" spans="1:3">
      <c r="A987">
        <v>986</v>
      </c>
      <c r="B987" s="27" t="s">
        <v>16892</v>
      </c>
      <c r="C987" s="26"/>
    </row>
    <row r="988" ht="15.75" spans="1:3">
      <c r="A988">
        <v>987</v>
      </c>
      <c r="B988" s="26"/>
      <c r="C988" s="26"/>
    </row>
    <row r="989" ht="21" spans="1:3">
      <c r="A989">
        <v>988</v>
      </c>
      <c r="B989" s="25" t="s">
        <v>16892</v>
      </c>
      <c r="C989" s="26"/>
    </row>
    <row r="990" ht="15.75" spans="1:3">
      <c r="A990">
        <v>989</v>
      </c>
      <c r="B990" s="26"/>
      <c r="C990" s="26"/>
    </row>
    <row r="991" ht="21" spans="1:3">
      <c r="A991">
        <v>990</v>
      </c>
      <c r="B991" s="27" t="s">
        <v>16892</v>
      </c>
      <c r="C991" s="26"/>
    </row>
    <row r="992" ht="15.75" spans="1:3">
      <c r="A992">
        <v>991</v>
      </c>
      <c r="B992" s="26"/>
      <c r="C992" s="26"/>
    </row>
    <row r="993" ht="15.75" spans="1:3">
      <c r="A993">
        <v>992</v>
      </c>
      <c r="B993" s="26"/>
      <c r="C993" s="26"/>
    </row>
    <row r="994" ht="21" spans="1:3">
      <c r="A994">
        <v>993</v>
      </c>
      <c r="B994" s="27" t="s">
        <v>16892</v>
      </c>
      <c r="C994" s="26"/>
    </row>
    <row r="995" ht="18.75" spans="1:3">
      <c r="A995">
        <v>994</v>
      </c>
      <c r="B995" s="31" t="str">
        <f>IFERROR(__xludf.DUMMYFUNCTION("""COMPUTED_VALUE"""),"Samirawit Abeje")</f>
        <v>Samirawit Abeje</v>
      </c>
      <c r="C995" s="30">
        <v>946956050</v>
      </c>
    </row>
    <row r="996" ht="18" spans="1:3">
      <c r="A996">
        <v>995</v>
      </c>
      <c r="B996" s="31" t="str">
        <f>IFERROR(__xludf.DUMMYFUNCTION("""COMPUTED_VALUE"""),"abeal alemayehu")</f>
        <v>abeal alemayehu</v>
      </c>
      <c r="C996" s="31">
        <v>911484069</v>
      </c>
    </row>
    <row r="997" ht="15.75" spans="1:3">
      <c r="A997">
        <v>996</v>
      </c>
      <c r="B997" s="26"/>
      <c r="C997" s="26"/>
    </row>
    <row r="998" ht="15.75" spans="1:3">
      <c r="A998">
        <v>997</v>
      </c>
      <c r="B998" s="26"/>
      <c r="C998" s="26"/>
    </row>
    <row r="999" ht="15.75" spans="1:3">
      <c r="A999">
        <v>998</v>
      </c>
      <c r="B999" s="26"/>
      <c r="C999" s="26"/>
    </row>
    <row r="1000" ht="15.75" spans="1:3">
      <c r="A1000">
        <v>999</v>
      </c>
      <c r="B1000" s="26"/>
      <c r="C1000" s="26"/>
    </row>
    <row r="1001" ht="21" spans="1:3">
      <c r="A1001">
        <v>1000</v>
      </c>
      <c r="B1001" s="25" t="s">
        <v>16892</v>
      </c>
      <c r="C1001" s="26"/>
    </row>
    <row r="1002" ht="21" spans="1:3">
      <c r="A1002">
        <v>1001</v>
      </c>
      <c r="B1002" s="27" t="s">
        <v>16892</v>
      </c>
      <c r="C1002" s="26"/>
    </row>
    <row r="1003" ht="21" spans="1:3">
      <c r="A1003">
        <v>1002</v>
      </c>
      <c r="B1003" s="25" t="s">
        <v>16892</v>
      </c>
      <c r="C1003" s="26"/>
    </row>
    <row r="1004" ht="21" spans="1:3">
      <c r="A1004">
        <v>1003</v>
      </c>
      <c r="B1004" s="25" t="s">
        <v>16892</v>
      </c>
      <c r="C1004" s="26"/>
    </row>
    <row r="1005" ht="21" spans="1:3">
      <c r="A1005">
        <v>1004</v>
      </c>
      <c r="B1005" s="27" t="s">
        <v>16892</v>
      </c>
      <c r="C1005" s="26"/>
    </row>
    <row r="1006" ht="21" spans="1:3">
      <c r="A1006">
        <v>1005</v>
      </c>
      <c r="B1006" s="25" t="s">
        <v>16892</v>
      </c>
      <c r="C1006" s="26"/>
    </row>
    <row r="1007" ht="21" spans="1:3">
      <c r="A1007">
        <v>1006</v>
      </c>
      <c r="B1007" s="25" t="s">
        <v>16892</v>
      </c>
      <c r="C1007" s="26"/>
    </row>
    <row r="1008" ht="21" spans="1:3">
      <c r="A1008">
        <v>1007</v>
      </c>
      <c r="B1008" s="25" t="s">
        <v>16892</v>
      </c>
      <c r="C1008" s="26"/>
    </row>
    <row r="1009" ht="21" spans="1:3">
      <c r="A1009">
        <v>1008</v>
      </c>
      <c r="B1009" s="27" t="s">
        <v>16892</v>
      </c>
      <c r="C1009" s="26"/>
    </row>
    <row r="1010" ht="21" spans="1:3">
      <c r="A1010">
        <v>1009</v>
      </c>
      <c r="B1010" s="27" t="s">
        <v>16892</v>
      </c>
      <c r="C1010" s="26"/>
    </row>
    <row r="1011" ht="21" spans="1:3">
      <c r="A1011">
        <v>1010</v>
      </c>
      <c r="B1011" s="25" t="s">
        <v>16892</v>
      </c>
      <c r="C1011" s="26"/>
    </row>
    <row r="1012" ht="15.75" spans="1:3">
      <c r="A1012">
        <v>1011</v>
      </c>
      <c r="B1012" s="26"/>
      <c r="C1012" s="26"/>
    </row>
    <row r="1013" ht="15.75" spans="1:3">
      <c r="A1013">
        <v>1012</v>
      </c>
      <c r="B1013" s="26"/>
      <c r="C1013" s="26"/>
    </row>
    <row r="1014" ht="21" spans="1:3">
      <c r="A1014">
        <v>1013</v>
      </c>
      <c r="B1014" s="27" t="s">
        <v>16892</v>
      </c>
      <c r="C1014" s="26"/>
    </row>
    <row r="1015" ht="15.75" spans="1:3">
      <c r="A1015">
        <v>1014</v>
      </c>
      <c r="B1015" s="26"/>
      <c r="C1015" s="26"/>
    </row>
    <row r="1016" ht="21" spans="1:3">
      <c r="A1016">
        <v>1015</v>
      </c>
      <c r="B1016" s="25" t="s">
        <v>16892</v>
      </c>
      <c r="C1016" s="26"/>
    </row>
    <row r="1017" ht="21" spans="1:3">
      <c r="A1017">
        <v>1016</v>
      </c>
      <c r="B1017" s="25" t="s">
        <v>16892</v>
      </c>
      <c r="C1017" s="26"/>
    </row>
    <row r="1018" ht="21" spans="1:3">
      <c r="A1018">
        <v>1017</v>
      </c>
      <c r="B1018" s="27" t="s">
        <v>16892</v>
      </c>
      <c r="C1018" s="26"/>
    </row>
    <row r="1019" ht="15.75" spans="1:3">
      <c r="A1019">
        <v>1018</v>
      </c>
      <c r="B1019" s="26"/>
      <c r="C1019" s="26"/>
    </row>
    <row r="1020" ht="18.75" spans="1:3">
      <c r="A1020">
        <v>1019</v>
      </c>
      <c r="B1020" s="31" t="s">
        <v>16903</v>
      </c>
      <c r="C1020" s="30">
        <v>943837356</v>
      </c>
    </row>
    <row r="1021" ht="15.75" spans="1:3">
      <c r="A1021">
        <v>1020</v>
      </c>
      <c r="B1021" s="26"/>
      <c r="C1021" s="26"/>
    </row>
    <row r="1022" ht="21" spans="1:3">
      <c r="A1022">
        <v>1021</v>
      </c>
      <c r="B1022" s="25" t="s">
        <v>16892</v>
      </c>
      <c r="C1022" s="26"/>
    </row>
    <row r="1023" ht="21" spans="1:3">
      <c r="A1023">
        <v>1022</v>
      </c>
      <c r="B1023" s="27" t="s">
        <v>16892</v>
      </c>
      <c r="C1023" s="26"/>
    </row>
    <row r="1024" ht="21" spans="1:3">
      <c r="A1024">
        <v>1023</v>
      </c>
      <c r="B1024" s="25" t="s">
        <v>16892</v>
      </c>
      <c r="C1024" s="26"/>
    </row>
    <row r="1025" ht="15.75" spans="1:3">
      <c r="A1025">
        <v>1024</v>
      </c>
      <c r="B1025" s="26"/>
      <c r="C1025" s="26"/>
    </row>
    <row r="1026" ht="15.75" spans="1:3">
      <c r="A1026">
        <v>1025</v>
      </c>
      <c r="B1026" s="26"/>
      <c r="C1026" s="26"/>
    </row>
    <row r="1027" ht="21" spans="1:3">
      <c r="A1027">
        <v>1026</v>
      </c>
      <c r="B1027" s="27" t="s">
        <v>16892</v>
      </c>
      <c r="C1027" s="26"/>
    </row>
    <row r="1028" ht="15.75" spans="1:3">
      <c r="A1028">
        <v>1027</v>
      </c>
      <c r="B1028" s="26"/>
      <c r="C1028" s="26"/>
    </row>
    <row r="1029" ht="15.75" spans="1:3">
      <c r="A1029">
        <v>1028</v>
      </c>
      <c r="B1029" s="26"/>
      <c r="C1029" s="26"/>
    </row>
    <row r="1030" ht="15.75" spans="1:3">
      <c r="A1030">
        <v>1029</v>
      </c>
      <c r="B1030" s="26"/>
      <c r="C1030" s="26"/>
    </row>
    <row r="1031" ht="18.75" spans="1:3">
      <c r="A1031">
        <v>1030</v>
      </c>
      <c r="B1031" s="31" t="str">
        <f>IFERROR(__xludf.DUMMYFUNCTION("""COMPUTED_VALUE"""),"yonatan tefera (kabod")</f>
        <v>yonatan tefera (kabod</v>
      </c>
      <c r="C1031" s="30">
        <v>904638617</v>
      </c>
    </row>
    <row r="1032" ht="21" spans="1:3">
      <c r="A1032">
        <v>1031</v>
      </c>
      <c r="B1032" s="27" t="s">
        <v>16892</v>
      </c>
      <c r="C1032" s="26"/>
    </row>
    <row r="1033" ht="21" spans="1:3">
      <c r="A1033">
        <v>1032</v>
      </c>
      <c r="B1033" s="27" t="s">
        <v>16892</v>
      </c>
      <c r="C1033" s="26"/>
    </row>
    <row r="1034" ht="15.75" spans="1:3">
      <c r="A1034">
        <v>1033</v>
      </c>
      <c r="B1034" s="26"/>
      <c r="C1034" s="26"/>
    </row>
    <row r="1035" ht="15.75" spans="1:3">
      <c r="A1035">
        <v>1034</v>
      </c>
      <c r="B1035" s="26"/>
      <c r="C1035" s="26"/>
    </row>
    <row r="1036" ht="15.75" spans="1:3">
      <c r="A1036">
        <v>1035</v>
      </c>
      <c r="B1036" s="26"/>
      <c r="C1036" s="26"/>
    </row>
    <row r="1037" ht="15.75" spans="1:3">
      <c r="A1037">
        <v>1036</v>
      </c>
      <c r="B1037" s="26"/>
      <c r="C1037" s="26"/>
    </row>
    <row r="1038" ht="15.75" spans="1:3">
      <c r="A1038">
        <v>1037</v>
      </c>
      <c r="B1038" s="26"/>
      <c r="C1038" s="26"/>
    </row>
    <row r="1039" ht="15.75" spans="1:3">
      <c r="A1039">
        <v>1038</v>
      </c>
      <c r="B1039" s="26"/>
      <c r="C1039" s="26"/>
    </row>
    <row r="1040" ht="15.75" spans="1:3">
      <c r="A1040">
        <v>1039</v>
      </c>
      <c r="B1040" s="26"/>
      <c r="C1040" s="26"/>
    </row>
    <row r="1041" ht="21" spans="1:3">
      <c r="A1041">
        <v>1040</v>
      </c>
      <c r="B1041" s="25" t="s">
        <v>16892</v>
      </c>
      <c r="C1041" s="26"/>
    </row>
    <row r="1042" ht="21" spans="1:3">
      <c r="A1042">
        <v>1041</v>
      </c>
      <c r="B1042" s="25" t="s">
        <v>16892</v>
      </c>
      <c r="C1042" s="26"/>
    </row>
    <row r="1043" ht="21" spans="1:3">
      <c r="A1043">
        <v>1042</v>
      </c>
      <c r="B1043" s="25" t="s">
        <v>16892</v>
      </c>
      <c r="C1043" s="26"/>
    </row>
    <row r="1044" ht="15.75" spans="1:3">
      <c r="A1044">
        <v>1043</v>
      </c>
      <c r="B1044" s="26"/>
      <c r="C1044" s="26"/>
    </row>
    <row r="1045" ht="15.75" spans="1:3">
      <c r="A1045">
        <v>1044</v>
      </c>
      <c r="B1045" s="26"/>
      <c r="C1045" s="26"/>
    </row>
    <row r="1046" ht="15.75" spans="1:3">
      <c r="A1046">
        <v>1045</v>
      </c>
      <c r="B1046" s="26"/>
      <c r="C1046" s="26"/>
    </row>
    <row r="1047" ht="18" spans="1:3">
      <c r="A1047">
        <v>1046</v>
      </c>
      <c r="B1047" s="31" t="str">
        <f>IFERROR(__xludf.DUMMYFUNCTION("""COMPUTED_VALUE"""),"Zibib Sebsebe")</f>
        <v>Zibib Sebsebe</v>
      </c>
      <c r="C1047" s="31">
        <v>923124965</v>
      </c>
    </row>
    <row r="1048" ht="15.75" spans="1:3">
      <c r="A1048">
        <v>1047</v>
      </c>
      <c r="B1048" s="26"/>
      <c r="C1048" s="26"/>
    </row>
    <row r="1049" ht="15.75" spans="1:3">
      <c r="A1049">
        <v>1048</v>
      </c>
      <c r="B1049" s="26"/>
      <c r="C1049" s="26"/>
    </row>
    <row r="1050" ht="15.75" spans="1:3">
      <c r="A1050">
        <v>1049</v>
      </c>
      <c r="B1050" s="26"/>
      <c r="C1050" s="26"/>
    </row>
    <row r="1051" ht="15.75" spans="1:3">
      <c r="A1051">
        <v>1050</v>
      </c>
      <c r="B1051" s="26"/>
      <c r="C1051" s="26"/>
    </row>
    <row r="1052" ht="15.75" spans="1:3">
      <c r="A1052">
        <v>1051</v>
      </c>
      <c r="B1052" s="26"/>
      <c r="C1052" s="26"/>
    </row>
    <row r="1053" ht="15.75" spans="1:3">
      <c r="A1053">
        <v>1052</v>
      </c>
      <c r="B1053" s="26"/>
      <c r="C1053" s="26"/>
    </row>
    <row r="1054" ht="15.75" spans="1:3">
      <c r="A1054">
        <v>1053</v>
      </c>
      <c r="B1054" s="26"/>
      <c r="C1054" s="26"/>
    </row>
    <row r="1055" ht="21" spans="1:3">
      <c r="A1055">
        <v>1054</v>
      </c>
      <c r="B1055" s="27" t="s">
        <v>16892</v>
      </c>
      <c r="C1055" s="26"/>
    </row>
    <row r="1056" ht="15.75" spans="1:3">
      <c r="A1056">
        <v>1055</v>
      </c>
      <c r="B1056" s="26"/>
      <c r="C1056" s="26"/>
    </row>
    <row r="1057" ht="15.75" spans="1:3">
      <c r="A1057">
        <v>1056</v>
      </c>
      <c r="B1057" s="26"/>
      <c r="C1057" s="26"/>
    </row>
    <row r="1058" ht="21" spans="1:3">
      <c r="A1058">
        <v>1057</v>
      </c>
      <c r="B1058" s="25" t="s">
        <v>16902</v>
      </c>
      <c r="C1058" s="26"/>
    </row>
    <row r="1059" ht="21" spans="1:3">
      <c r="A1059">
        <v>1058</v>
      </c>
      <c r="B1059" s="27" t="s">
        <v>16892</v>
      </c>
      <c r="C1059" s="26"/>
    </row>
    <row r="1060" ht="21" spans="1:3">
      <c r="A1060">
        <v>1059</v>
      </c>
      <c r="B1060" s="25" t="s">
        <v>16892</v>
      </c>
      <c r="C1060" s="26"/>
    </row>
    <row r="1061" ht="15.75" spans="1:3">
      <c r="A1061">
        <v>1060</v>
      </c>
      <c r="B1061" s="26"/>
      <c r="C1061" s="26"/>
    </row>
    <row r="1062" ht="15.75" spans="1:3">
      <c r="A1062">
        <v>1061</v>
      </c>
      <c r="B1062" s="26"/>
      <c r="C1062" s="26"/>
    </row>
    <row r="1063" ht="15.75" spans="1:3">
      <c r="A1063">
        <v>1062</v>
      </c>
      <c r="B1063" s="26"/>
      <c r="C1063" s="26"/>
    </row>
    <row r="1064" ht="15.75" spans="1:3">
      <c r="A1064">
        <v>1063</v>
      </c>
      <c r="B1064" s="26"/>
      <c r="C1064" s="26"/>
    </row>
    <row r="1065" ht="15.75" spans="1:3">
      <c r="A1065">
        <v>1064</v>
      </c>
      <c r="B1065" s="26"/>
      <c r="C1065" s="26"/>
    </row>
    <row r="1066" ht="21" spans="1:3">
      <c r="A1066">
        <v>1065</v>
      </c>
      <c r="B1066" s="27" t="s">
        <v>16892</v>
      </c>
      <c r="C1066" s="26"/>
    </row>
    <row r="1067" ht="15.75" spans="1:3">
      <c r="A1067">
        <v>1066</v>
      </c>
      <c r="B1067" s="26"/>
      <c r="C1067" s="26"/>
    </row>
    <row r="1068" ht="21" spans="1:3">
      <c r="A1068">
        <v>1067</v>
      </c>
      <c r="B1068" s="27" t="s">
        <v>16892</v>
      </c>
      <c r="C1068" s="26"/>
    </row>
    <row r="1069" ht="21" spans="1:3">
      <c r="A1069">
        <v>1068</v>
      </c>
      <c r="B1069" s="27" t="s">
        <v>16892</v>
      </c>
      <c r="C1069" s="26"/>
    </row>
    <row r="1070" ht="15.75" spans="1:3">
      <c r="A1070">
        <v>1069</v>
      </c>
      <c r="B1070" s="26"/>
      <c r="C1070" s="26"/>
    </row>
    <row r="1071" ht="15.75" spans="1:3">
      <c r="A1071">
        <v>1070</v>
      </c>
      <c r="B1071" s="26"/>
      <c r="C1071" s="26"/>
    </row>
    <row r="1072" ht="21" spans="1:3">
      <c r="A1072">
        <v>1071</v>
      </c>
      <c r="B1072" s="27" t="s">
        <v>16892</v>
      </c>
      <c r="C1072" s="26"/>
    </row>
    <row r="1073" ht="18.75" spans="1:3">
      <c r="A1073">
        <v>1072</v>
      </c>
      <c r="B1073" s="31" t="str">
        <f>IFERROR(__xludf.DUMMYFUNCTION("""COMPUTED_VALUE"""),"hiwot solomon")</f>
        <v>hiwot solomon</v>
      </c>
      <c r="C1073" s="30">
        <v>986569386</v>
      </c>
    </row>
    <row r="1074" ht="15.75" spans="1:3">
      <c r="A1074">
        <v>1073</v>
      </c>
      <c r="B1074" s="29"/>
      <c r="C1074" s="29"/>
    </row>
    <row r="1075" ht="15.75" spans="1:3">
      <c r="A1075">
        <v>1074</v>
      </c>
      <c r="B1075" s="29"/>
      <c r="C1075" s="29"/>
    </row>
    <row r="1076" ht="15.75" spans="1:3">
      <c r="A1076">
        <v>1075</v>
      </c>
      <c r="B1076" s="29"/>
      <c r="C1076" s="29"/>
    </row>
    <row r="1077" ht="18.75" spans="1:3">
      <c r="A1077">
        <v>1076</v>
      </c>
      <c r="B1077" s="39" t="str">
        <f>IFERROR(__xludf.DUMMYFUNCTION("""COMPUTED_VALUE"""),"sofiya negash")</f>
        <v>sofiya negash</v>
      </c>
      <c r="C1077" s="34">
        <v>973355594</v>
      </c>
    </row>
    <row r="1078" ht="18.75" spans="1:3">
      <c r="A1078">
        <v>1077</v>
      </c>
      <c r="B1078" s="39"/>
      <c r="C1078" s="34"/>
    </row>
    <row r="1079" ht="15.75" spans="1:3">
      <c r="A1079">
        <v>1078</v>
      </c>
      <c r="B1079" s="29"/>
      <c r="C1079" s="29"/>
    </row>
    <row r="1080" ht="15.75" spans="1:3">
      <c r="A1080">
        <v>1079</v>
      </c>
      <c r="B1080" s="29"/>
      <c r="C1080" s="29"/>
    </row>
    <row r="1081" ht="21" spans="1:3">
      <c r="A1081">
        <v>1080</v>
      </c>
      <c r="B1081" s="25" t="s">
        <v>16892</v>
      </c>
      <c r="C1081" s="26"/>
    </row>
    <row r="1082" ht="15.75" spans="1:3">
      <c r="A1082">
        <v>1081</v>
      </c>
      <c r="B1082" s="26"/>
      <c r="C1082" s="26"/>
    </row>
    <row r="1083" ht="21" spans="1:3">
      <c r="A1083">
        <v>1082</v>
      </c>
      <c r="B1083" s="25" t="s">
        <v>16892</v>
      </c>
      <c r="C1083" s="26"/>
    </row>
    <row r="1084" ht="21" spans="1:3">
      <c r="A1084">
        <v>1083</v>
      </c>
      <c r="B1084" s="27" t="s">
        <v>16892</v>
      </c>
      <c r="C1084" s="26"/>
    </row>
    <row r="1085" ht="15.75" spans="1:3">
      <c r="A1085">
        <v>1084</v>
      </c>
      <c r="B1085" s="26"/>
      <c r="C1085" s="26"/>
    </row>
    <row r="1086" ht="21" spans="1:3">
      <c r="A1086">
        <v>1085</v>
      </c>
      <c r="B1086" s="25" t="s">
        <v>16892</v>
      </c>
      <c r="C1086" s="26"/>
    </row>
    <row r="1087" ht="15.75" spans="1:3">
      <c r="A1087">
        <v>1086</v>
      </c>
      <c r="B1087" s="26"/>
      <c r="C1087" s="26"/>
    </row>
    <row r="1088" ht="21" spans="1:3">
      <c r="A1088">
        <v>1087</v>
      </c>
      <c r="B1088" s="27" t="s">
        <v>16892</v>
      </c>
      <c r="C1088" s="26"/>
    </row>
    <row r="1089" ht="21" spans="1:3">
      <c r="A1089">
        <v>1088</v>
      </c>
      <c r="B1089" s="27" t="s">
        <v>16892</v>
      </c>
      <c r="C1089" s="26"/>
    </row>
    <row r="1090" ht="15.75" spans="1:3">
      <c r="A1090">
        <v>1089</v>
      </c>
      <c r="B1090" s="26"/>
      <c r="C1090" s="26"/>
    </row>
    <row r="1091" ht="21" spans="1:3">
      <c r="A1091">
        <v>1090</v>
      </c>
      <c r="B1091" s="27" t="s">
        <v>16892</v>
      </c>
      <c r="C1091" s="26"/>
    </row>
    <row r="1092" ht="15.75" spans="1:3">
      <c r="A1092">
        <v>1091</v>
      </c>
      <c r="B1092" s="26"/>
      <c r="C1092" s="26"/>
    </row>
    <row r="1093" ht="21" spans="1:3">
      <c r="A1093">
        <v>1092</v>
      </c>
      <c r="B1093" s="25" t="s">
        <v>16892</v>
      </c>
      <c r="C1093" s="26"/>
    </row>
    <row r="1094" ht="15.75" spans="1:3">
      <c r="A1094">
        <v>1093</v>
      </c>
      <c r="B1094" s="26"/>
      <c r="C1094" s="26"/>
    </row>
    <row r="1095" ht="21" spans="1:3">
      <c r="A1095">
        <v>1094</v>
      </c>
      <c r="B1095" s="27" t="s">
        <v>16892</v>
      </c>
      <c r="C1095" s="26"/>
    </row>
    <row r="1096" ht="21" spans="1:3">
      <c r="A1096">
        <v>1095</v>
      </c>
      <c r="B1096" s="25" t="s">
        <v>16892</v>
      </c>
      <c r="C1096" s="26"/>
    </row>
    <row r="1097" ht="15.75" spans="1:3">
      <c r="A1097">
        <v>1096</v>
      </c>
      <c r="B1097" s="26"/>
      <c r="C1097" s="26"/>
    </row>
    <row r="1098" ht="21" spans="1:3">
      <c r="A1098">
        <v>1097</v>
      </c>
      <c r="B1098" s="27" t="s">
        <v>16892</v>
      </c>
      <c r="C1098" s="26"/>
    </row>
    <row r="1099" ht="21" spans="1:3">
      <c r="A1099">
        <v>1098</v>
      </c>
      <c r="B1099" s="25" t="s">
        <v>16892</v>
      </c>
      <c r="C1099" s="26"/>
    </row>
    <row r="1100" ht="21" spans="1:3">
      <c r="A1100">
        <v>1099</v>
      </c>
      <c r="B1100" s="25" t="s">
        <v>16892</v>
      </c>
      <c r="C1100" s="26"/>
    </row>
    <row r="1101" ht="15.75" spans="1:3">
      <c r="A1101">
        <v>1100</v>
      </c>
      <c r="B1101" s="26"/>
      <c r="C1101" s="26"/>
    </row>
    <row r="1102" ht="15.75" spans="1:3">
      <c r="A1102">
        <v>1101</v>
      </c>
      <c r="B1102" s="26"/>
      <c r="C1102" s="26"/>
    </row>
    <row r="1103" ht="21" spans="1:3">
      <c r="A1103">
        <v>1102</v>
      </c>
      <c r="B1103" s="27" t="s">
        <v>16892</v>
      </c>
      <c r="C1103" s="26"/>
    </row>
    <row r="1104" ht="21" spans="1:3">
      <c r="A1104">
        <v>1103</v>
      </c>
      <c r="B1104" s="25" t="s">
        <v>16892</v>
      </c>
      <c r="C1104" s="26"/>
    </row>
    <row r="1105" ht="21" spans="1:3">
      <c r="A1105">
        <v>1104</v>
      </c>
      <c r="B1105" s="27" t="s">
        <v>16892</v>
      </c>
      <c r="C1105" s="26"/>
    </row>
    <row r="1106" ht="21" spans="1:3">
      <c r="A1106">
        <v>1105</v>
      </c>
      <c r="B1106" s="27" t="s">
        <v>16892</v>
      </c>
      <c r="C1106" s="26"/>
    </row>
    <row r="1107" ht="15.75" spans="1:3">
      <c r="A1107">
        <v>1106</v>
      </c>
      <c r="B1107" s="26"/>
      <c r="C1107" s="26"/>
    </row>
    <row r="1108" ht="21" spans="1:3">
      <c r="A1108">
        <v>1107</v>
      </c>
      <c r="B1108" s="27" t="s">
        <v>16892</v>
      </c>
      <c r="C1108" s="26"/>
    </row>
    <row r="1109" ht="21" spans="1:3">
      <c r="A1109">
        <v>1108</v>
      </c>
      <c r="B1109" s="25" t="s">
        <v>16892</v>
      </c>
      <c r="C1109" s="26"/>
    </row>
    <row r="1110" ht="21" spans="1:3">
      <c r="A1110">
        <v>1109</v>
      </c>
      <c r="B1110" s="25" t="s">
        <v>16892</v>
      </c>
      <c r="C1110" s="26"/>
    </row>
    <row r="1111" ht="18.75" spans="1:3">
      <c r="A1111">
        <v>1110</v>
      </c>
      <c r="B1111" s="31" t="str">
        <f>IFERROR(__xludf.DUMMYFUNCTION("""COMPUTED_VALUE"""),"mesay tadese tekele")</f>
        <v>mesay tadese tekele</v>
      </c>
      <c r="C1111" s="30">
        <v>911901815</v>
      </c>
    </row>
    <row r="1112" ht="21" spans="1:3">
      <c r="A1112">
        <v>1111</v>
      </c>
      <c r="B1112" s="27" t="s">
        <v>16892</v>
      </c>
      <c r="C1112" s="26"/>
    </row>
    <row r="1113" ht="21" spans="1:3">
      <c r="A1113">
        <v>1112</v>
      </c>
      <c r="B1113" s="25" t="s">
        <v>16892</v>
      </c>
      <c r="C1113" s="26"/>
    </row>
    <row r="1114" ht="21" spans="1:3">
      <c r="A1114">
        <v>1113</v>
      </c>
      <c r="B1114" s="25" t="s">
        <v>16892</v>
      </c>
      <c r="C1114" s="26"/>
    </row>
    <row r="1115" ht="21" spans="1:3">
      <c r="A1115">
        <v>1114</v>
      </c>
      <c r="B1115" s="25" t="s">
        <v>16892</v>
      </c>
      <c r="C1115" s="26"/>
    </row>
    <row r="1116" ht="21" spans="1:3">
      <c r="A1116">
        <v>1115</v>
      </c>
      <c r="B1116" s="27" t="s">
        <v>16892</v>
      </c>
      <c r="C1116" s="26"/>
    </row>
    <row r="1117" ht="21" spans="1:3">
      <c r="A1117">
        <v>1116</v>
      </c>
      <c r="B1117" s="27" t="s">
        <v>16892</v>
      </c>
      <c r="C1117" s="26"/>
    </row>
    <row r="1118" ht="21" spans="1:3">
      <c r="A1118">
        <v>1117</v>
      </c>
      <c r="B1118" s="25" t="s">
        <v>16892</v>
      </c>
      <c r="C1118" s="26"/>
    </row>
    <row r="1119" ht="21" spans="1:3">
      <c r="A1119">
        <v>1118</v>
      </c>
      <c r="B1119" s="25" t="s">
        <v>16892</v>
      </c>
      <c r="C1119" s="26"/>
    </row>
    <row r="1120" ht="21" spans="1:3">
      <c r="A1120">
        <v>1119</v>
      </c>
      <c r="B1120" s="25" t="s">
        <v>16892</v>
      </c>
      <c r="C1120" s="26"/>
    </row>
    <row r="1121" ht="21" spans="1:3">
      <c r="A1121">
        <v>1120</v>
      </c>
      <c r="B1121" s="27" t="s">
        <v>16892</v>
      </c>
      <c r="C1121" s="26"/>
    </row>
    <row r="1122" ht="21" spans="1:3">
      <c r="A1122">
        <v>1121</v>
      </c>
      <c r="B1122" s="25" t="s">
        <v>16892</v>
      </c>
      <c r="C1122" s="26"/>
    </row>
    <row r="1123" ht="21" spans="1:3">
      <c r="A1123">
        <v>1122</v>
      </c>
      <c r="B1123" s="25" t="s">
        <v>16892</v>
      </c>
      <c r="C1123" s="26"/>
    </row>
    <row r="1124" ht="21" spans="1:3">
      <c r="A1124">
        <v>1123</v>
      </c>
      <c r="B1124" s="25" t="s">
        <v>16892</v>
      </c>
      <c r="C1124" s="26"/>
    </row>
    <row r="1125" ht="21" spans="1:3">
      <c r="A1125">
        <v>1124</v>
      </c>
      <c r="B1125" s="27" t="s">
        <v>16892</v>
      </c>
      <c r="C1125" s="26"/>
    </row>
    <row r="1126" ht="21" spans="1:3">
      <c r="A1126">
        <v>1125</v>
      </c>
      <c r="B1126" s="25" t="s">
        <v>16892</v>
      </c>
      <c r="C1126" s="26"/>
    </row>
    <row r="1127" ht="21" spans="1:3">
      <c r="A1127">
        <v>1126</v>
      </c>
      <c r="B1127" s="25" t="s">
        <v>16892</v>
      </c>
      <c r="C1127" s="26"/>
    </row>
    <row r="1128" ht="21" spans="1:3">
      <c r="A1128">
        <v>1127</v>
      </c>
      <c r="B1128" s="25" t="s">
        <v>16892</v>
      </c>
      <c r="C1128" s="26"/>
    </row>
    <row r="1129" ht="21" spans="1:3">
      <c r="A1129">
        <v>1128</v>
      </c>
      <c r="B1129" s="25" t="s">
        <v>16892</v>
      </c>
      <c r="C1129" s="26"/>
    </row>
    <row r="1130" ht="15.75" spans="1:3">
      <c r="A1130">
        <v>1129</v>
      </c>
      <c r="B1130" s="26"/>
      <c r="C1130" s="26"/>
    </row>
    <row r="1131" ht="15.75" spans="1:3">
      <c r="A1131">
        <v>1130</v>
      </c>
      <c r="B1131" s="26"/>
      <c r="C1131" s="26"/>
    </row>
    <row r="1132" ht="21" spans="1:3">
      <c r="A1132">
        <v>1131</v>
      </c>
      <c r="B1132" s="25" t="s">
        <v>16892</v>
      </c>
      <c r="C1132" s="26"/>
    </row>
    <row r="1133" ht="21" spans="1:3">
      <c r="A1133">
        <v>1132</v>
      </c>
      <c r="B1133" s="27" t="s">
        <v>16892</v>
      </c>
      <c r="C1133" s="26"/>
    </row>
    <row r="1134" ht="21" spans="1:3">
      <c r="A1134">
        <v>1133</v>
      </c>
      <c r="B1134" s="25" t="s">
        <v>16892</v>
      </c>
      <c r="C1134" s="26"/>
    </row>
    <row r="1135" ht="21" spans="1:3">
      <c r="A1135">
        <v>1134</v>
      </c>
      <c r="B1135" s="25" t="s">
        <v>16892</v>
      </c>
      <c r="C1135" s="26"/>
    </row>
    <row r="1136" ht="21" spans="1:3">
      <c r="A1136">
        <v>1135</v>
      </c>
      <c r="B1136" s="27" t="s">
        <v>16892</v>
      </c>
      <c r="C1136" s="26"/>
    </row>
    <row r="1137" ht="21" spans="1:3">
      <c r="A1137">
        <v>1136</v>
      </c>
      <c r="B1137" s="25" t="s">
        <v>16892</v>
      </c>
      <c r="C1137" s="26"/>
    </row>
    <row r="1138" ht="21" spans="1:3">
      <c r="A1138">
        <v>1137</v>
      </c>
      <c r="B1138" s="27" t="s">
        <v>16892</v>
      </c>
      <c r="C1138" s="26"/>
    </row>
    <row r="1139" ht="21" spans="1:3">
      <c r="A1139">
        <v>1138</v>
      </c>
      <c r="B1139" s="27" t="s">
        <v>16892</v>
      </c>
      <c r="C1139" s="26"/>
    </row>
    <row r="1140" ht="21" spans="1:3">
      <c r="A1140">
        <v>1139</v>
      </c>
      <c r="B1140" s="27" t="s">
        <v>16892</v>
      </c>
      <c r="C1140" s="26"/>
    </row>
    <row r="1141" ht="21" spans="1:3">
      <c r="A1141">
        <v>1140</v>
      </c>
      <c r="B1141" s="25" t="s">
        <v>16892</v>
      </c>
      <c r="C1141" s="26"/>
    </row>
    <row r="1142" ht="21" spans="1:3">
      <c r="A1142">
        <v>1141</v>
      </c>
      <c r="B1142" s="25" t="s">
        <v>16892</v>
      </c>
      <c r="C1142" s="26"/>
    </row>
    <row r="1143" ht="21" spans="1:3">
      <c r="A1143">
        <v>1142</v>
      </c>
      <c r="B1143" s="27" t="s">
        <v>16892</v>
      </c>
      <c r="C1143" s="26"/>
    </row>
    <row r="1144" ht="21" spans="1:3">
      <c r="A1144">
        <v>1143</v>
      </c>
      <c r="B1144" s="25" t="s">
        <v>16892</v>
      </c>
      <c r="C1144" s="26"/>
    </row>
    <row r="1145" ht="21" spans="1:3">
      <c r="A1145">
        <v>1144</v>
      </c>
      <c r="B1145" s="25" t="s">
        <v>16892</v>
      </c>
      <c r="C1145" s="26"/>
    </row>
    <row r="1146" ht="21" spans="1:3">
      <c r="A1146">
        <v>1145</v>
      </c>
      <c r="B1146" s="25" t="s">
        <v>16892</v>
      </c>
      <c r="C1146" s="26"/>
    </row>
    <row r="1147" ht="21" spans="1:3">
      <c r="A1147">
        <v>1146</v>
      </c>
      <c r="B1147" s="25" t="s">
        <v>16892</v>
      </c>
      <c r="C1147" s="26"/>
    </row>
    <row r="1148" ht="15.75" spans="1:3">
      <c r="A1148">
        <v>1147</v>
      </c>
      <c r="B1148" s="26"/>
      <c r="C1148" s="26"/>
    </row>
    <row r="1149" ht="15.75" spans="1:3">
      <c r="A1149">
        <v>1148</v>
      </c>
      <c r="B1149" s="26"/>
      <c r="C1149" s="26"/>
    </row>
    <row r="1150" ht="18.75" spans="1:3">
      <c r="A1150">
        <v>1149</v>
      </c>
      <c r="B1150" s="31" t="str">
        <f>IFERROR(__xludf.DUMMYFUNCTION("""COMPUTED_VALUE"""),"Tefera Hailu")</f>
        <v>Tefera Hailu</v>
      </c>
      <c r="C1150" s="30">
        <v>991189180</v>
      </c>
    </row>
    <row r="1151" ht="21" spans="1:3">
      <c r="A1151">
        <v>1150</v>
      </c>
      <c r="B1151" s="25" t="s">
        <v>16892</v>
      </c>
      <c r="C1151" s="26"/>
    </row>
    <row r="1152" ht="21" spans="1:3">
      <c r="A1152">
        <v>1151</v>
      </c>
      <c r="B1152" s="25" t="s">
        <v>16892</v>
      </c>
      <c r="C1152" s="26"/>
    </row>
    <row r="1153" ht="21" spans="1:3">
      <c r="A1153">
        <v>1152</v>
      </c>
      <c r="B1153" s="27" t="s">
        <v>16892</v>
      </c>
      <c r="C1153" s="26"/>
    </row>
    <row r="1154" ht="21" spans="1:3">
      <c r="A1154">
        <v>1153</v>
      </c>
      <c r="B1154" s="25" t="s">
        <v>16892</v>
      </c>
      <c r="C1154" s="26"/>
    </row>
    <row r="1155" ht="21" spans="1:3">
      <c r="A1155">
        <v>1154</v>
      </c>
      <c r="B1155" s="27" t="s">
        <v>16892</v>
      </c>
      <c r="C1155" s="26"/>
    </row>
    <row r="1156" ht="21" spans="1:3">
      <c r="A1156">
        <v>1155</v>
      </c>
      <c r="B1156" s="25" t="s">
        <v>16892</v>
      </c>
      <c r="C1156" s="26"/>
    </row>
    <row r="1157" ht="21" spans="1:3">
      <c r="A1157">
        <v>1156</v>
      </c>
      <c r="B1157" s="27" t="s">
        <v>16892</v>
      </c>
      <c r="C1157" s="26"/>
    </row>
    <row r="1158" ht="21" spans="1:3">
      <c r="A1158">
        <v>1157</v>
      </c>
      <c r="B1158" s="27" t="s">
        <v>16892</v>
      </c>
      <c r="C1158" s="26"/>
    </row>
    <row r="1159" ht="21" spans="1:3">
      <c r="A1159">
        <v>1158</v>
      </c>
      <c r="B1159" s="27" t="s">
        <v>16892</v>
      </c>
      <c r="C1159" s="26"/>
    </row>
    <row r="1160" ht="21" spans="1:3">
      <c r="A1160">
        <v>1159</v>
      </c>
      <c r="B1160" s="25" t="s">
        <v>16892</v>
      </c>
      <c r="C1160" s="26"/>
    </row>
    <row r="1161" ht="21" spans="1:3">
      <c r="A1161">
        <v>1160</v>
      </c>
      <c r="B1161" s="27" t="s">
        <v>16892</v>
      </c>
      <c r="C1161" s="26"/>
    </row>
    <row r="1162" ht="21" spans="1:3">
      <c r="A1162">
        <v>1161</v>
      </c>
      <c r="B1162" s="27" t="s">
        <v>16892</v>
      </c>
      <c r="C1162" s="26"/>
    </row>
    <row r="1163" ht="21" spans="1:3">
      <c r="A1163">
        <v>1162</v>
      </c>
      <c r="B1163" s="27" t="s">
        <v>16892</v>
      </c>
      <c r="C1163" s="26"/>
    </row>
    <row r="1164" ht="21" spans="1:3">
      <c r="A1164">
        <v>1163</v>
      </c>
      <c r="B1164" s="25" t="s">
        <v>16892</v>
      </c>
      <c r="C1164" s="26"/>
    </row>
    <row r="1165" ht="21" spans="1:3">
      <c r="A1165">
        <v>1164</v>
      </c>
      <c r="B1165" s="25" t="s">
        <v>16892</v>
      </c>
      <c r="C1165" s="26"/>
    </row>
    <row r="1166" ht="21" spans="1:3">
      <c r="A1166">
        <v>1165</v>
      </c>
      <c r="B1166" s="25" t="s">
        <v>16892</v>
      </c>
      <c r="C1166" s="26"/>
    </row>
    <row r="1167" ht="21" spans="1:3">
      <c r="A1167">
        <v>1166</v>
      </c>
      <c r="B1167" s="25" t="s">
        <v>16892</v>
      </c>
      <c r="C1167" s="26"/>
    </row>
    <row r="1168" ht="21" spans="1:3">
      <c r="A1168">
        <v>1167</v>
      </c>
      <c r="B1168" s="25" t="s">
        <v>16892</v>
      </c>
      <c r="C1168" s="26"/>
    </row>
    <row r="1169" ht="21" spans="1:3">
      <c r="A1169">
        <v>1168</v>
      </c>
      <c r="B1169" s="25" t="s">
        <v>16892</v>
      </c>
      <c r="C1169" s="26"/>
    </row>
    <row r="1170" ht="21" spans="1:3">
      <c r="A1170">
        <v>1169</v>
      </c>
      <c r="B1170" s="25" t="s">
        <v>16892</v>
      </c>
      <c r="C1170" s="26"/>
    </row>
    <row r="1171" ht="15.75" spans="1:3">
      <c r="A1171">
        <v>1170</v>
      </c>
      <c r="B1171" s="26"/>
      <c r="C1171" s="26"/>
    </row>
    <row r="1172" ht="15.75" spans="1:3">
      <c r="A1172">
        <v>1171</v>
      </c>
      <c r="B1172" s="26"/>
      <c r="C1172" s="26"/>
    </row>
    <row r="1173" ht="21" spans="1:3">
      <c r="A1173">
        <v>1172</v>
      </c>
      <c r="B1173" s="25" t="s">
        <v>16892</v>
      </c>
      <c r="C1173" s="26"/>
    </row>
    <row r="1174" ht="15.75" spans="1:3">
      <c r="A1174">
        <v>1173</v>
      </c>
      <c r="B1174" s="26"/>
      <c r="C1174" s="26"/>
    </row>
    <row r="1175" ht="21" spans="1:3">
      <c r="A1175">
        <v>1174</v>
      </c>
      <c r="B1175" s="27" t="s">
        <v>16892</v>
      </c>
      <c r="C1175" s="26"/>
    </row>
    <row r="1176" ht="21" spans="1:3">
      <c r="A1176">
        <v>1175</v>
      </c>
      <c r="B1176" s="25" t="s">
        <v>16892</v>
      </c>
      <c r="C1176" s="26"/>
    </row>
    <row r="1177" ht="21" spans="1:3">
      <c r="A1177">
        <v>1176</v>
      </c>
      <c r="B1177" s="27" t="s">
        <v>16892</v>
      </c>
      <c r="C1177" s="26"/>
    </row>
    <row r="1178" ht="15.75" spans="1:3">
      <c r="A1178">
        <v>1177</v>
      </c>
      <c r="B1178" s="26"/>
      <c r="C1178" s="26"/>
    </row>
    <row r="1179" ht="21" spans="1:3">
      <c r="A1179">
        <v>1178</v>
      </c>
      <c r="B1179" s="25" t="s">
        <v>16892</v>
      </c>
      <c r="C1179" s="26"/>
    </row>
    <row r="1180" ht="21" spans="1:3">
      <c r="A1180">
        <v>1179</v>
      </c>
      <c r="B1180" s="25" t="s">
        <v>16892</v>
      </c>
      <c r="C1180" s="26"/>
    </row>
    <row r="1181" ht="21" spans="1:3">
      <c r="A1181">
        <v>1180</v>
      </c>
      <c r="B1181" s="25" t="s">
        <v>16892</v>
      </c>
      <c r="C1181" s="26"/>
    </row>
    <row r="1182" ht="21" spans="1:3">
      <c r="A1182">
        <v>1181</v>
      </c>
      <c r="B1182" s="25" t="s">
        <v>16892</v>
      </c>
      <c r="C1182" s="26"/>
    </row>
    <row r="1183" ht="21" spans="1:3">
      <c r="A1183">
        <v>1182</v>
      </c>
      <c r="B1183" s="25" t="s">
        <v>16892</v>
      </c>
      <c r="C1183" s="26"/>
    </row>
    <row r="1184" ht="15.75" spans="1:3">
      <c r="A1184">
        <v>1183</v>
      </c>
      <c r="B1184" s="26"/>
      <c r="C1184" s="26"/>
    </row>
    <row r="1185" ht="21" spans="1:3">
      <c r="A1185">
        <v>1184</v>
      </c>
      <c r="B1185" s="25" t="s">
        <v>16892</v>
      </c>
      <c r="C1185" s="26"/>
    </row>
    <row r="1186" ht="21" spans="1:3">
      <c r="A1186">
        <v>1185</v>
      </c>
      <c r="B1186" s="27" t="s">
        <v>16892</v>
      </c>
      <c r="C1186" s="26"/>
    </row>
    <row r="1187" ht="21" spans="1:3">
      <c r="A1187">
        <v>1186</v>
      </c>
      <c r="B1187" s="27" t="s">
        <v>16892</v>
      </c>
      <c r="C1187" s="26"/>
    </row>
    <row r="1188" ht="21" spans="1:3">
      <c r="A1188">
        <v>1187</v>
      </c>
      <c r="B1188" s="25" t="s">
        <v>16892</v>
      </c>
      <c r="C1188" s="26"/>
    </row>
    <row r="1189" ht="21" spans="1:3">
      <c r="A1189">
        <v>1188</v>
      </c>
      <c r="B1189" s="25" t="s">
        <v>16892</v>
      </c>
      <c r="C1189" s="26"/>
    </row>
    <row r="1190" ht="21" spans="1:3">
      <c r="A1190">
        <v>1189</v>
      </c>
      <c r="B1190" s="25" t="s">
        <v>16892</v>
      </c>
      <c r="C1190" s="26"/>
    </row>
    <row r="1191" ht="21" spans="1:3">
      <c r="A1191">
        <v>1190</v>
      </c>
      <c r="B1191" s="25" t="s">
        <v>16892</v>
      </c>
      <c r="C1191" s="26"/>
    </row>
    <row r="1192" ht="18.75" spans="1:3">
      <c r="A1192">
        <v>1191</v>
      </c>
      <c r="B1192" s="39" t="str">
        <f>IFERROR(__xludf.DUMMYFUNCTION("""COMPUTED_VALUE"""),"Adis Degefu")</f>
        <v>Adis Degefu</v>
      </c>
      <c r="C1192" s="34">
        <v>915794992</v>
      </c>
    </row>
    <row r="1193" ht="18" spans="1:3">
      <c r="A1193">
        <v>1192</v>
      </c>
      <c r="B1193" s="39"/>
      <c r="C1193" s="39">
        <v>915794992</v>
      </c>
    </row>
    <row r="1194" ht="21" spans="1:3">
      <c r="A1194">
        <v>1193</v>
      </c>
      <c r="B1194" s="27" t="s">
        <v>16892</v>
      </c>
      <c r="C1194" s="26"/>
    </row>
    <row r="1195" ht="21" spans="1:3">
      <c r="A1195">
        <v>1194</v>
      </c>
      <c r="B1195" s="25" t="s">
        <v>16892</v>
      </c>
      <c r="C1195" s="26"/>
    </row>
    <row r="1196" ht="15.75" spans="1:3">
      <c r="A1196">
        <v>1195</v>
      </c>
      <c r="B1196" s="26"/>
      <c r="C1196" s="26"/>
    </row>
    <row r="1197" ht="21" spans="1:3">
      <c r="A1197">
        <v>1196</v>
      </c>
      <c r="B1197" s="27" t="s">
        <v>16892</v>
      </c>
      <c r="C1197" s="26"/>
    </row>
    <row r="1198" ht="21" spans="1:3">
      <c r="A1198">
        <v>1197</v>
      </c>
      <c r="B1198" s="25" t="s">
        <v>16892</v>
      </c>
      <c r="C1198" s="26"/>
    </row>
    <row r="1199" ht="21" spans="1:3">
      <c r="A1199">
        <v>1198</v>
      </c>
      <c r="B1199" s="27" t="s">
        <v>16892</v>
      </c>
      <c r="C1199" s="26"/>
    </row>
    <row r="1200" ht="21" spans="1:3">
      <c r="A1200">
        <v>1199</v>
      </c>
      <c r="B1200" s="27" t="s">
        <v>16892</v>
      </c>
      <c r="C1200" s="26"/>
    </row>
    <row r="1201" ht="21" spans="1:3">
      <c r="A1201">
        <v>1200</v>
      </c>
      <c r="B1201" s="25" t="s">
        <v>16892</v>
      </c>
      <c r="C1201" s="26"/>
    </row>
    <row r="1202" ht="21" spans="1:3">
      <c r="A1202">
        <v>1201</v>
      </c>
      <c r="B1202" s="27" t="s">
        <v>16892</v>
      </c>
      <c r="C1202" s="26"/>
    </row>
    <row r="1203" ht="21" spans="1:3">
      <c r="A1203">
        <v>1202</v>
      </c>
      <c r="B1203" s="27" t="s">
        <v>16892</v>
      </c>
      <c r="C1203" s="26"/>
    </row>
    <row r="1204" ht="21" spans="1:3">
      <c r="A1204">
        <v>1203</v>
      </c>
      <c r="B1204" s="27" t="s">
        <v>16892</v>
      </c>
      <c r="C1204" s="26"/>
    </row>
    <row r="1205" ht="21" spans="1:3">
      <c r="A1205">
        <v>1204</v>
      </c>
      <c r="B1205" s="25" t="s">
        <v>16892</v>
      </c>
      <c r="C1205" s="26"/>
    </row>
    <row r="1206" ht="21" spans="1:3">
      <c r="A1206">
        <v>1205</v>
      </c>
      <c r="B1206" s="25" t="s">
        <v>16892</v>
      </c>
      <c r="C1206" s="26"/>
    </row>
    <row r="1207" ht="21" spans="1:3">
      <c r="A1207">
        <v>1206</v>
      </c>
      <c r="B1207" s="25" t="s">
        <v>16892</v>
      </c>
      <c r="C1207" s="26"/>
    </row>
    <row r="1208" ht="21" spans="1:3">
      <c r="A1208">
        <v>1207</v>
      </c>
      <c r="B1208" s="27" t="s">
        <v>16892</v>
      </c>
      <c r="C1208" s="26"/>
    </row>
    <row r="1209" ht="21" spans="1:3">
      <c r="A1209">
        <v>1208</v>
      </c>
      <c r="B1209" s="27" t="s">
        <v>16892</v>
      </c>
      <c r="C1209" s="26"/>
    </row>
    <row r="1210" ht="21" spans="1:3">
      <c r="A1210">
        <v>1209</v>
      </c>
      <c r="B1210" s="25" t="s">
        <v>16892</v>
      </c>
      <c r="C1210" s="26"/>
    </row>
    <row r="1211" ht="21" spans="1:3">
      <c r="A1211">
        <v>1210</v>
      </c>
      <c r="B1211" s="27" t="s">
        <v>16892</v>
      </c>
      <c r="C1211" s="26"/>
    </row>
    <row r="1212" ht="15.75" spans="1:3">
      <c r="A1212">
        <v>1211</v>
      </c>
      <c r="B1212" s="26"/>
      <c r="C1212" s="26"/>
    </row>
    <row r="1213" ht="21" spans="1:3">
      <c r="A1213">
        <v>1212</v>
      </c>
      <c r="B1213" s="25" t="s">
        <v>16892</v>
      </c>
      <c r="C1213" s="26"/>
    </row>
    <row r="1214" ht="15.75" spans="1:3">
      <c r="A1214">
        <v>1213</v>
      </c>
      <c r="B1214" s="26"/>
      <c r="C1214" s="26"/>
    </row>
    <row r="1215" ht="21" spans="1:3">
      <c r="A1215">
        <v>1214</v>
      </c>
      <c r="B1215" s="25" t="s">
        <v>16892</v>
      </c>
      <c r="C1215" s="26"/>
    </row>
    <row r="1216" ht="21" spans="1:3">
      <c r="A1216">
        <v>1215</v>
      </c>
      <c r="B1216" s="27" t="s">
        <v>16892</v>
      </c>
      <c r="C1216" s="26"/>
    </row>
    <row r="1217" ht="15.75" spans="1:3">
      <c r="A1217">
        <v>1216</v>
      </c>
      <c r="B1217" s="26"/>
      <c r="C1217" s="26"/>
    </row>
    <row r="1218" ht="15.75" spans="1:3">
      <c r="A1218">
        <v>1217</v>
      </c>
      <c r="B1218" s="26"/>
      <c r="C1218" s="26"/>
    </row>
    <row r="1219" ht="21" spans="1:3">
      <c r="A1219">
        <v>1218</v>
      </c>
      <c r="B1219" s="27" t="s">
        <v>16892</v>
      </c>
      <c r="C1219" s="26"/>
    </row>
    <row r="1220" ht="21" spans="1:3">
      <c r="A1220">
        <v>1219</v>
      </c>
      <c r="B1220" s="25" t="s">
        <v>16892</v>
      </c>
      <c r="C1220" s="26"/>
    </row>
    <row r="1221" ht="21" spans="1:3">
      <c r="A1221">
        <v>1220</v>
      </c>
      <c r="B1221" s="27" t="s">
        <v>16892</v>
      </c>
      <c r="C1221" s="26"/>
    </row>
    <row r="1222" ht="21" spans="1:3">
      <c r="A1222">
        <v>1221</v>
      </c>
      <c r="B1222" s="27" t="s">
        <v>16892</v>
      </c>
      <c r="C1222" s="26"/>
    </row>
    <row r="1223" ht="21" spans="1:3">
      <c r="A1223">
        <v>1222</v>
      </c>
      <c r="B1223" s="25" t="s">
        <v>16892</v>
      </c>
      <c r="C1223" s="26"/>
    </row>
    <row r="1224" ht="18.75" spans="1:3">
      <c r="A1224">
        <v>1223</v>
      </c>
      <c r="B1224" s="30" t="str">
        <f>IFERROR(__xludf.DUMMYFUNCTION("""COMPUTED_VALUE"""),"amanuel melese and 
dibora getachew")</f>
        <v>amanuel melese and 
dibora getachew</v>
      </c>
      <c r="C1224" s="30" t="s">
        <v>16904</v>
      </c>
    </row>
    <row r="1225" ht="21" spans="1:3">
      <c r="A1225">
        <v>1224</v>
      </c>
      <c r="B1225" s="25" t="s">
        <v>16892</v>
      </c>
      <c r="C1225" s="26"/>
    </row>
    <row r="1226" ht="21" spans="1:3">
      <c r="A1226">
        <v>1225</v>
      </c>
      <c r="B1226" s="25" t="s">
        <v>16892</v>
      </c>
      <c r="C1226" s="26"/>
    </row>
    <row r="1227" ht="15.75" spans="1:3">
      <c r="A1227">
        <v>1226</v>
      </c>
      <c r="B1227" s="26"/>
      <c r="C1227" s="26"/>
    </row>
    <row r="1228" ht="21" spans="1:3">
      <c r="A1228">
        <v>1227</v>
      </c>
      <c r="B1228" s="25" t="s">
        <v>16892</v>
      </c>
      <c r="C1228" s="26"/>
    </row>
    <row r="1229" ht="15.75" spans="1:3">
      <c r="A1229">
        <v>1228</v>
      </c>
      <c r="B1229" s="26"/>
      <c r="C1229" s="26"/>
    </row>
    <row r="1230" ht="21" spans="1:3">
      <c r="A1230">
        <v>1229</v>
      </c>
      <c r="B1230" s="25" t="s">
        <v>16892</v>
      </c>
      <c r="C1230" s="26"/>
    </row>
    <row r="1231" ht="21" spans="1:3">
      <c r="A1231">
        <v>1230</v>
      </c>
      <c r="B1231" s="27" t="s">
        <v>16892</v>
      </c>
      <c r="C1231" s="26"/>
    </row>
    <row r="1232" ht="21" spans="1:3">
      <c r="A1232">
        <v>1231</v>
      </c>
      <c r="B1232" s="27" t="s">
        <v>16892</v>
      </c>
      <c r="C1232" s="26"/>
    </row>
    <row r="1233" ht="21" spans="1:3">
      <c r="A1233">
        <v>1232</v>
      </c>
      <c r="B1233" s="25" t="s">
        <v>16892</v>
      </c>
      <c r="C1233" s="26"/>
    </row>
    <row r="1234" ht="15.75" spans="1:3">
      <c r="A1234">
        <v>1233</v>
      </c>
      <c r="B1234" s="26"/>
      <c r="C1234" s="26"/>
    </row>
    <row r="1235" ht="15.75" spans="1:3">
      <c r="A1235">
        <v>1234</v>
      </c>
      <c r="B1235" s="26"/>
      <c r="C1235" s="26"/>
    </row>
    <row r="1236" ht="15.75" spans="1:3">
      <c r="A1236">
        <v>1235</v>
      </c>
      <c r="B1236" s="29"/>
      <c r="C1236" s="29"/>
    </row>
    <row r="1237" ht="15.75" spans="1:3">
      <c r="A1237">
        <v>1236</v>
      </c>
      <c r="B1237" s="29"/>
      <c r="C1237" s="29"/>
    </row>
    <row r="1238" ht="21" spans="1:3">
      <c r="A1238">
        <v>1237</v>
      </c>
      <c r="B1238" s="25" t="s">
        <v>16892</v>
      </c>
      <c r="C1238" s="26"/>
    </row>
    <row r="1239" ht="21" spans="1:3">
      <c r="A1239">
        <v>1238</v>
      </c>
      <c r="B1239" s="27" t="s">
        <v>16892</v>
      </c>
      <c r="C1239" s="26"/>
    </row>
    <row r="1240" ht="21" spans="1:3">
      <c r="A1240">
        <v>1239</v>
      </c>
      <c r="B1240" s="25" t="s">
        <v>16892</v>
      </c>
      <c r="C1240" s="26"/>
    </row>
    <row r="1241" ht="21" spans="1:3">
      <c r="A1241">
        <v>1240</v>
      </c>
      <c r="B1241" s="27" t="s">
        <v>16892</v>
      </c>
      <c r="C1241" s="26"/>
    </row>
    <row r="1242" ht="21" spans="1:3">
      <c r="A1242">
        <v>1241</v>
      </c>
      <c r="B1242" s="25" t="s">
        <v>16892</v>
      </c>
      <c r="C1242" s="26"/>
    </row>
    <row r="1243" ht="15.75" spans="1:3">
      <c r="A1243">
        <v>1242</v>
      </c>
      <c r="B1243" s="26"/>
      <c r="C1243" s="26"/>
    </row>
    <row r="1244" ht="21" spans="1:3">
      <c r="A1244">
        <v>1243</v>
      </c>
      <c r="B1244" s="25" t="s">
        <v>16892</v>
      </c>
      <c r="C1244" s="26"/>
    </row>
    <row r="1245" ht="21" spans="1:3">
      <c r="A1245">
        <v>1244</v>
      </c>
      <c r="B1245" s="27" t="s">
        <v>16892</v>
      </c>
      <c r="C1245" s="26"/>
    </row>
    <row r="1246" ht="21" spans="1:3">
      <c r="A1246">
        <v>1245</v>
      </c>
      <c r="B1246" s="25" t="s">
        <v>16892</v>
      </c>
      <c r="C1246" s="26"/>
    </row>
    <row r="1247" ht="21" spans="1:3">
      <c r="A1247">
        <v>1246</v>
      </c>
      <c r="B1247" s="25" t="s">
        <v>16892</v>
      </c>
      <c r="C1247" s="26"/>
    </row>
    <row r="1248" ht="21" spans="1:3">
      <c r="A1248">
        <v>1247</v>
      </c>
      <c r="B1248" s="25" t="s">
        <v>16892</v>
      </c>
      <c r="C1248" s="26"/>
    </row>
    <row r="1249" ht="15.75" spans="1:3">
      <c r="A1249">
        <v>1248</v>
      </c>
      <c r="B1249" s="26"/>
      <c r="C1249" s="26"/>
    </row>
    <row r="1250" ht="21" spans="1:3">
      <c r="A1250">
        <v>1249</v>
      </c>
      <c r="B1250" s="25" t="s">
        <v>16902</v>
      </c>
      <c r="C1250" s="26"/>
    </row>
    <row r="1251" ht="21" spans="1:3">
      <c r="A1251">
        <v>1250</v>
      </c>
      <c r="B1251" s="27" t="s">
        <v>16892</v>
      </c>
      <c r="C1251" s="26"/>
    </row>
    <row r="1252" ht="21" spans="1:3">
      <c r="A1252">
        <v>1251</v>
      </c>
      <c r="B1252" s="27" t="s">
        <v>16892</v>
      </c>
      <c r="C1252" s="26"/>
    </row>
    <row r="1253" ht="21" spans="1:3">
      <c r="A1253">
        <v>1252</v>
      </c>
      <c r="B1253" s="27" t="s">
        <v>16892</v>
      </c>
      <c r="C1253" s="26"/>
    </row>
    <row r="1254" ht="21" spans="1:3">
      <c r="A1254">
        <v>1253</v>
      </c>
      <c r="B1254" s="27" t="s">
        <v>16892</v>
      </c>
      <c r="C1254" s="26"/>
    </row>
    <row r="1255" ht="21" spans="1:3">
      <c r="A1255">
        <v>1254</v>
      </c>
      <c r="B1255" s="25" t="s">
        <v>16892</v>
      </c>
      <c r="C1255" s="26"/>
    </row>
    <row r="1256" ht="21" spans="1:3">
      <c r="A1256">
        <v>1255</v>
      </c>
      <c r="B1256" s="25" t="s">
        <v>16892</v>
      </c>
      <c r="C1256" s="26"/>
    </row>
    <row r="1257" ht="21" spans="1:3">
      <c r="A1257">
        <v>1256</v>
      </c>
      <c r="B1257" s="25" t="s">
        <v>16902</v>
      </c>
      <c r="C1257" s="26"/>
    </row>
    <row r="1258" ht="21" spans="1:3">
      <c r="A1258">
        <v>1257</v>
      </c>
      <c r="B1258" s="27" t="s">
        <v>16892</v>
      </c>
      <c r="C1258" s="26"/>
    </row>
    <row r="1259" ht="21" spans="1:3">
      <c r="A1259">
        <v>1258</v>
      </c>
      <c r="B1259" s="25" t="s">
        <v>16892</v>
      </c>
      <c r="C1259" s="26"/>
    </row>
    <row r="1260" ht="21" spans="1:3">
      <c r="A1260">
        <v>1259</v>
      </c>
      <c r="B1260" s="27" t="s">
        <v>16892</v>
      </c>
      <c r="C1260" s="26"/>
    </row>
    <row r="1261" ht="21" spans="1:3">
      <c r="A1261">
        <v>1260</v>
      </c>
      <c r="B1261" s="25" t="s">
        <v>16892</v>
      </c>
      <c r="C1261" s="26"/>
    </row>
    <row r="1262" ht="15.75" spans="1:3">
      <c r="A1262">
        <v>1261</v>
      </c>
      <c r="B1262" s="26"/>
      <c r="C1262" s="26"/>
    </row>
    <row r="1263" ht="18.75" spans="1:3">
      <c r="A1263">
        <v>1262</v>
      </c>
      <c r="B1263" s="31" t="str">
        <f>IFERROR(__xludf.DUMMYFUNCTION("""COMPUTED_VALUE"""),"Natan Tadele")</f>
        <v>Natan Tadele</v>
      </c>
      <c r="C1263" s="30">
        <v>923271622</v>
      </c>
    </row>
    <row r="1264" ht="21" spans="1:3">
      <c r="A1264">
        <v>1263</v>
      </c>
      <c r="B1264" s="25" t="s">
        <v>16892</v>
      </c>
      <c r="C1264" s="26"/>
    </row>
    <row r="1265" ht="21" spans="1:3">
      <c r="A1265">
        <v>1264</v>
      </c>
      <c r="B1265" s="25" t="s">
        <v>16892</v>
      </c>
      <c r="C1265" s="26"/>
    </row>
    <row r="1266" ht="15.75" spans="1:3">
      <c r="A1266">
        <v>1265</v>
      </c>
      <c r="B1266" s="26"/>
      <c r="C1266" s="26"/>
    </row>
    <row r="1267" ht="21" spans="1:3">
      <c r="A1267">
        <v>1266</v>
      </c>
      <c r="B1267" s="27" t="s">
        <v>16892</v>
      </c>
      <c r="C1267" s="26"/>
    </row>
    <row r="1268" ht="15.75" spans="1:3">
      <c r="A1268">
        <v>1267</v>
      </c>
      <c r="B1268" s="26"/>
      <c r="C1268" s="26"/>
    </row>
    <row r="1269" ht="21" spans="1:3">
      <c r="A1269">
        <v>1268</v>
      </c>
      <c r="B1269" s="27" t="s">
        <v>16892</v>
      </c>
      <c r="C1269" s="26"/>
    </row>
    <row r="1270" ht="15.75" spans="1:3">
      <c r="A1270">
        <v>1269</v>
      </c>
      <c r="B1270" s="26"/>
      <c r="C1270" s="26"/>
    </row>
    <row r="1271" ht="21" spans="1:3">
      <c r="A1271">
        <v>1270</v>
      </c>
      <c r="B1271" s="25" t="s">
        <v>16892</v>
      </c>
      <c r="C1271" s="26"/>
    </row>
    <row r="1272" ht="15.75" spans="1:3">
      <c r="A1272">
        <v>1271</v>
      </c>
      <c r="B1272" s="29"/>
      <c r="C1272" s="29"/>
    </row>
    <row r="1273" ht="15.75" spans="1:3">
      <c r="A1273">
        <v>1272</v>
      </c>
      <c r="B1273" s="29"/>
      <c r="C1273" s="29"/>
    </row>
    <row r="1274" ht="21" spans="1:3">
      <c r="A1274">
        <v>1273</v>
      </c>
      <c r="B1274" s="25" t="s">
        <v>16892</v>
      </c>
      <c r="C1274" s="26"/>
    </row>
    <row r="1275" ht="15.75" spans="1:3">
      <c r="A1275">
        <v>1274</v>
      </c>
      <c r="B1275" s="26"/>
      <c r="C1275" s="26"/>
    </row>
    <row r="1276" ht="21" spans="1:3">
      <c r="A1276">
        <v>1275</v>
      </c>
      <c r="B1276" s="27" t="s">
        <v>16892</v>
      </c>
      <c r="C1276" s="26"/>
    </row>
    <row r="1277" ht="21" spans="1:3">
      <c r="A1277">
        <v>1276</v>
      </c>
      <c r="B1277" s="27" t="s">
        <v>16892</v>
      </c>
      <c r="C1277" s="26"/>
    </row>
    <row r="1278" ht="21" spans="1:3">
      <c r="A1278">
        <v>1277</v>
      </c>
      <c r="B1278" s="25" t="s">
        <v>16892</v>
      </c>
      <c r="C1278" s="26"/>
    </row>
    <row r="1279" ht="15.75" spans="1:3">
      <c r="A1279">
        <v>1278</v>
      </c>
      <c r="B1279" s="26"/>
      <c r="C1279" s="26"/>
    </row>
    <row r="1280" ht="15.75" spans="1:3">
      <c r="A1280">
        <v>1279</v>
      </c>
      <c r="B1280" s="29"/>
      <c r="C1280" s="29"/>
    </row>
    <row r="1281" ht="15.75" spans="1:3">
      <c r="A1281">
        <v>1280</v>
      </c>
      <c r="B1281" s="29"/>
      <c r="C1281" s="29"/>
    </row>
    <row r="1282" ht="15.75" spans="1:3">
      <c r="A1282">
        <v>1281</v>
      </c>
      <c r="B1282" s="26"/>
      <c r="C1282" s="26"/>
    </row>
    <row r="1283" ht="21" spans="1:3">
      <c r="A1283">
        <v>1282</v>
      </c>
      <c r="B1283" s="27" t="s">
        <v>16892</v>
      </c>
      <c r="C1283" s="26"/>
    </row>
    <row r="1284" ht="21" spans="1:3">
      <c r="A1284">
        <v>1283</v>
      </c>
      <c r="B1284" s="27" t="s">
        <v>16892</v>
      </c>
      <c r="C1284" s="26"/>
    </row>
    <row r="1285" ht="21" spans="1:3">
      <c r="A1285">
        <v>1284</v>
      </c>
      <c r="B1285" s="25" t="s">
        <v>16892</v>
      </c>
      <c r="C1285" s="26"/>
    </row>
    <row r="1286" ht="21" spans="1:3">
      <c r="A1286">
        <v>1285</v>
      </c>
      <c r="B1286" s="25" t="s">
        <v>16892</v>
      </c>
      <c r="C1286" s="26"/>
    </row>
    <row r="1287" ht="21" spans="1:3">
      <c r="A1287">
        <v>1286</v>
      </c>
      <c r="B1287" s="25" t="s">
        <v>16892</v>
      </c>
      <c r="C1287" s="26"/>
    </row>
    <row r="1288" ht="15.75" spans="1:3">
      <c r="A1288">
        <v>1287</v>
      </c>
      <c r="B1288" s="26"/>
      <c r="C1288" s="26"/>
    </row>
    <row r="1289" ht="15.75" spans="1:3">
      <c r="A1289">
        <v>1288</v>
      </c>
      <c r="B1289" s="26"/>
      <c r="C1289" s="26"/>
    </row>
    <row r="1290" ht="21" spans="1:3">
      <c r="A1290">
        <v>1289</v>
      </c>
      <c r="B1290" s="25" t="s">
        <v>16892</v>
      </c>
      <c r="C1290" s="26"/>
    </row>
    <row r="1291" ht="21" spans="1:3">
      <c r="A1291">
        <v>1290</v>
      </c>
      <c r="B1291" s="27" t="s">
        <v>16892</v>
      </c>
      <c r="C1291" s="26"/>
    </row>
    <row r="1292" ht="15.75" spans="1:3">
      <c r="A1292">
        <v>1291</v>
      </c>
      <c r="B1292" s="26"/>
      <c r="C1292" s="26"/>
    </row>
    <row r="1293" ht="21" spans="1:3">
      <c r="A1293">
        <v>1292</v>
      </c>
      <c r="B1293" s="25" t="s">
        <v>16892</v>
      </c>
      <c r="C1293" s="26"/>
    </row>
    <row r="1294" ht="15.75" spans="1:3">
      <c r="A1294">
        <v>1293</v>
      </c>
      <c r="B1294" s="26"/>
      <c r="C1294" s="26"/>
    </row>
    <row r="1295" ht="21" spans="1:3">
      <c r="A1295">
        <v>1294</v>
      </c>
      <c r="B1295" s="27" t="s">
        <v>16892</v>
      </c>
      <c r="C1295" s="26"/>
    </row>
    <row r="1296" ht="15.75" spans="1:3">
      <c r="A1296">
        <v>1295</v>
      </c>
      <c r="B1296" s="26"/>
      <c r="C1296" s="26"/>
    </row>
    <row r="1297" ht="21" spans="1:3">
      <c r="A1297">
        <v>1296</v>
      </c>
      <c r="B1297" s="25" t="s">
        <v>16892</v>
      </c>
      <c r="C1297" s="26"/>
    </row>
    <row r="1298" ht="21" spans="1:3">
      <c r="A1298">
        <v>1297</v>
      </c>
      <c r="B1298" s="27" t="s">
        <v>16892</v>
      </c>
      <c r="C1298" s="26"/>
    </row>
    <row r="1299" ht="21" spans="1:3">
      <c r="A1299">
        <v>1298</v>
      </c>
      <c r="B1299" s="27" t="s">
        <v>16892</v>
      </c>
      <c r="C1299" s="26"/>
    </row>
    <row r="1300" ht="21" spans="1:3">
      <c r="A1300">
        <v>1299</v>
      </c>
      <c r="B1300" s="27" t="s">
        <v>16892</v>
      </c>
      <c r="C1300" s="26"/>
    </row>
    <row r="1301" ht="21" spans="1:3">
      <c r="A1301">
        <v>1300</v>
      </c>
      <c r="B1301" s="27" t="s">
        <v>16892</v>
      </c>
      <c r="C1301" s="26"/>
    </row>
    <row r="1302" ht="21" spans="1:3">
      <c r="A1302">
        <v>1301</v>
      </c>
      <c r="B1302" s="27" t="s">
        <v>16892</v>
      </c>
      <c r="C1302" s="26"/>
    </row>
    <row r="1303" ht="21" spans="1:3">
      <c r="A1303">
        <v>1302</v>
      </c>
      <c r="B1303" s="27" t="s">
        <v>16892</v>
      </c>
      <c r="C1303" s="26"/>
    </row>
    <row r="1304" ht="21" spans="1:3">
      <c r="A1304">
        <v>1303</v>
      </c>
      <c r="B1304" s="25" t="s">
        <v>16892</v>
      </c>
      <c r="C1304" s="26"/>
    </row>
    <row r="1305" ht="21" spans="1:3">
      <c r="A1305">
        <v>1304</v>
      </c>
      <c r="B1305" s="25" t="s">
        <v>16892</v>
      </c>
      <c r="C1305" s="26"/>
    </row>
    <row r="1306" ht="21" spans="1:3">
      <c r="A1306">
        <v>1305</v>
      </c>
      <c r="B1306" s="27" t="s">
        <v>16892</v>
      </c>
      <c r="C1306" s="26"/>
    </row>
    <row r="1307" ht="21" spans="1:3">
      <c r="A1307">
        <v>1306</v>
      </c>
      <c r="B1307" s="27" t="s">
        <v>16892</v>
      </c>
      <c r="C1307" s="26"/>
    </row>
    <row r="1308" ht="15.75" spans="1:3">
      <c r="A1308">
        <v>1307</v>
      </c>
      <c r="B1308" s="26"/>
      <c r="C1308" s="26"/>
    </row>
    <row r="1309" ht="21" spans="1:3">
      <c r="A1309">
        <v>1308</v>
      </c>
      <c r="B1309" s="27" t="s">
        <v>16892</v>
      </c>
      <c r="C1309" s="26"/>
    </row>
    <row r="1310" ht="21" spans="1:3">
      <c r="A1310">
        <v>1309</v>
      </c>
      <c r="B1310" s="44" t="s">
        <v>16892</v>
      </c>
      <c r="C1310" s="29"/>
    </row>
    <row r="1311" ht="21" spans="1:3">
      <c r="A1311">
        <v>1310</v>
      </c>
      <c r="B1311" s="28" t="s">
        <v>16892</v>
      </c>
      <c r="C1311" s="29"/>
    </row>
    <row r="1312" ht="15.75" spans="1:3">
      <c r="A1312">
        <v>1311</v>
      </c>
      <c r="B1312" s="26"/>
      <c r="C1312" s="26"/>
    </row>
    <row r="1313" ht="15.75" spans="1:3">
      <c r="A1313">
        <v>1312</v>
      </c>
      <c r="B1313" s="26"/>
      <c r="C1313" s="26"/>
    </row>
    <row r="1314" ht="15.75" spans="1:3">
      <c r="A1314">
        <v>1313</v>
      </c>
      <c r="B1314" s="26"/>
      <c r="C1314" s="26"/>
    </row>
    <row r="1315" ht="21" spans="1:3">
      <c r="A1315">
        <v>1314</v>
      </c>
      <c r="B1315" s="27" t="s">
        <v>16892</v>
      </c>
      <c r="C1315" s="26"/>
    </row>
    <row r="1316" ht="21" spans="1:3">
      <c r="A1316">
        <v>1315</v>
      </c>
      <c r="B1316" s="25" t="s">
        <v>16892</v>
      </c>
      <c r="C1316" s="26"/>
    </row>
    <row r="1317" ht="21" spans="1:3">
      <c r="A1317">
        <v>1316</v>
      </c>
      <c r="B1317" s="25" t="s">
        <v>16892</v>
      </c>
      <c r="C1317" s="26"/>
    </row>
    <row r="1318" ht="21" spans="1:3">
      <c r="A1318">
        <v>1317</v>
      </c>
      <c r="B1318" s="25" t="s">
        <v>16892</v>
      </c>
      <c r="C1318" s="26"/>
    </row>
    <row r="1319" ht="21" spans="1:3">
      <c r="A1319">
        <v>1318</v>
      </c>
      <c r="B1319" s="25" t="s">
        <v>16892</v>
      </c>
      <c r="C1319" s="26"/>
    </row>
    <row r="1320" ht="21" spans="1:3">
      <c r="A1320">
        <v>1319</v>
      </c>
      <c r="B1320" s="25" t="s">
        <v>16892</v>
      </c>
      <c r="C1320" s="26"/>
    </row>
    <row r="1321" ht="21" spans="1:3">
      <c r="A1321">
        <v>1320</v>
      </c>
      <c r="B1321" s="27" t="s">
        <v>16892</v>
      </c>
      <c r="C1321" s="26"/>
    </row>
    <row r="1322" ht="21" spans="1:3">
      <c r="A1322">
        <v>1321</v>
      </c>
      <c r="B1322" s="27" t="s">
        <v>16892</v>
      </c>
      <c r="C1322" s="26"/>
    </row>
    <row r="1323" ht="21" spans="1:3">
      <c r="A1323">
        <v>1322</v>
      </c>
      <c r="B1323" s="27" t="s">
        <v>16892</v>
      </c>
      <c r="C1323" s="26"/>
    </row>
    <row r="1324" ht="21" spans="1:3">
      <c r="A1324">
        <v>1323</v>
      </c>
      <c r="B1324" s="25" t="s">
        <v>16892</v>
      </c>
      <c r="C1324" s="26"/>
    </row>
    <row r="1325" ht="21" spans="1:3">
      <c r="A1325">
        <v>1324</v>
      </c>
      <c r="B1325" s="27" t="s">
        <v>16892</v>
      </c>
      <c r="C1325" s="26"/>
    </row>
    <row r="1326" ht="21" spans="1:3">
      <c r="A1326">
        <v>1325</v>
      </c>
      <c r="B1326" s="27" t="s">
        <v>16892</v>
      </c>
      <c r="C1326" s="26"/>
    </row>
    <row r="1327" ht="21" spans="1:3">
      <c r="A1327">
        <v>1326</v>
      </c>
      <c r="B1327" s="25" t="s">
        <v>16892</v>
      </c>
      <c r="C1327" s="26"/>
    </row>
    <row r="1328" ht="21" spans="1:3">
      <c r="A1328">
        <v>1327</v>
      </c>
      <c r="B1328" s="25" t="s">
        <v>16892</v>
      </c>
      <c r="C1328" s="26"/>
    </row>
    <row r="1329" ht="21" spans="1:3">
      <c r="A1329">
        <v>1328</v>
      </c>
      <c r="B1329" s="27" t="s">
        <v>16892</v>
      </c>
      <c r="C1329" s="26"/>
    </row>
    <row r="1330" ht="21" spans="1:3">
      <c r="A1330">
        <v>1329</v>
      </c>
      <c r="B1330" s="25" t="s">
        <v>16892</v>
      </c>
      <c r="C1330" s="26"/>
    </row>
    <row r="1331" ht="21" spans="1:3">
      <c r="A1331">
        <v>1330</v>
      </c>
      <c r="B1331" s="27" t="s">
        <v>16892</v>
      </c>
      <c r="C1331" s="26"/>
    </row>
    <row r="1332" ht="21" spans="1:3">
      <c r="A1332">
        <v>1331</v>
      </c>
      <c r="B1332" s="25" t="s">
        <v>16892</v>
      </c>
      <c r="C1332" s="26"/>
    </row>
    <row r="1333" ht="21" spans="1:3">
      <c r="A1333">
        <v>1332</v>
      </c>
      <c r="B1333" s="25" t="s">
        <v>16892</v>
      </c>
      <c r="C1333" s="26"/>
    </row>
    <row r="1334" ht="21" spans="1:3">
      <c r="A1334">
        <v>1333</v>
      </c>
      <c r="B1334" s="27" t="s">
        <v>16892</v>
      </c>
      <c r="C1334" s="26"/>
    </row>
    <row r="1335" ht="21" spans="1:3">
      <c r="A1335">
        <v>1334</v>
      </c>
      <c r="B1335" s="27" t="s">
        <v>16892</v>
      </c>
      <c r="C1335" s="26"/>
    </row>
    <row r="1336" ht="21" spans="1:3">
      <c r="A1336">
        <v>1335</v>
      </c>
      <c r="B1336" s="25" t="s">
        <v>16892</v>
      </c>
      <c r="C1336" s="26"/>
    </row>
    <row r="1337" ht="15.75" spans="1:3">
      <c r="A1337">
        <v>1336</v>
      </c>
      <c r="B1337" s="26"/>
      <c r="C1337" s="26"/>
    </row>
    <row r="1338" ht="21" spans="1:3">
      <c r="A1338">
        <v>1337</v>
      </c>
      <c r="B1338" s="25" t="s">
        <v>16892</v>
      </c>
      <c r="C1338" s="26"/>
    </row>
    <row r="1339" ht="21" spans="1:3">
      <c r="A1339">
        <v>1338</v>
      </c>
      <c r="B1339" s="27" t="s">
        <v>16892</v>
      </c>
      <c r="C1339" s="26"/>
    </row>
    <row r="1340" ht="21" spans="1:3">
      <c r="A1340">
        <v>1339</v>
      </c>
      <c r="B1340" s="25" t="s">
        <v>16892</v>
      </c>
      <c r="C1340" s="26"/>
    </row>
    <row r="1341" ht="15.75" spans="1:3">
      <c r="A1341">
        <v>1340</v>
      </c>
      <c r="B1341" s="26"/>
      <c r="C1341" s="26"/>
    </row>
    <row r="1342" ht="21" spans="1:3">
      <c r="A1342">
        <v>1341</v>
      </c>
      <c r="B1342" s="25" t="s">
        <v>16892</v>
      </c>
      <c r="C1342" s="26"/>
    </row>
    <row r="1343" ht="21" spans="1:3">
      <c r="A1343">
        <v>1342</v>
      </c>
      <c r="B1343" s="27" t="s">
        <v>16892</v>
      </c>
      <c r="C1343" s="26"/>
    </row>
    <row r="1344" ht="21" spans="1:3">
      <c r="A1344">
        <v>1343</v>
      </c>
      <c r="B1344" s="27" t="s">
        <v>16892</v>
      </c>
      <c r="C1344" s="26"/>
    </row>
    <row r="1345" ht="21" spans="1:3">
      <c r="A1345">
        <v>1344</v>
      </c>
      <c r="B1345" s="25" t="s">
        <v>16892</v>
      </c>
      <c r="C1345" s="26"/>
    </row>
    <row r="1346" ht="21" spans="1:3">
      <c r="A1346">
        <v>1345</v>
      </c>
      <c r="B1346" s="25" t="s">
        <v>16892</v>
      </c>
      <c r="C1346" s="26"/>
    </row>
    <row r="1347" ht="21" spans="1:3">
      <c r="A1347">
        <v>1346</v>
      </c>
      <c r="B1347" s="27" t="s">
        <v>16892</v>
      </c>
      <c r="C1347" s="26"/>
    </row>
    <row r="1348" ht="21" spans="1:3">
      <c r="A1348">
        <v>1347</v>
      </c>
      <c r="B1348" s="25" t="s">
        <v>16892</v>
      </c>
      <c r="C1348" s="26"/>
    </row>
    <row r="1349" ht="21" spans="1:3">
      <c r="A1349">
        <v>1348</v>
      </c>
      <c r="B1349" s="25" t="s">
        <v>16892</v>
      </c>
      <c r="C1349" s="26"/>
    </row>
    <row r="1350" ht="21" spans="1:3">
      <c r="A1350">
        <v>1349</v>
      </c>
      <c r="B1350" s="25" t="s">
        <v>16892</v>
      </c>
      <c r="C1350" s="26"/>
    </row>
    <row r="1351" ht="21" spans="1:3">
      <c r="A1351">
        <v>1350</v>
      </c>
      <c r="B1351" s="25" t="s">
        <v>16892</v>
      </c>
      <c r="C1351" s="26"/>
    </row>
    <row r="1352" ht="21" spans="1:3">
      <c r="A1352">
        <v>1351</v>
      </c>
      <c r="B1352" s="27" t="s">
        <v>16892</v>
      </c>
      <c r="C1352" s="26"/>
    </row>
    <row r="1353" ht="21" spans="1:3">
      <c r="A1353">
        <v>1352</v>
      </c>
      <c r="B1353" s="27" t="s">
        <v>16892</v>
      </c>
      <c r="C1353" s="26"/>
    </row>
    <row r="1354" ht="15.75" spans="1:3">
      <c r="A1354">
        <v>1353</v>
      </c>
      <c r="B1354" s="26"/>
      <c r="C1354" s="26"/>
    </row>
    <row r="1355" ht="15.75" spans="1:3">
      <c r="A1355">
        <v>1354</v>
      </c>
      <c r="B1355" s="26"/>
      <c r="C1355" s="26"/>
    </row>
    <row r="1356" ht="15.75" spans="1:3">
      <c r="A1356">
        <v>1355</v>
      </c>
      <c r="B1356" s="26"/>
      <c r="C1356" s="26"/>
    </row>
    <row r="1357" ht="21" spans="1:3">
      <c r="A1357">
        <v>1356</v>
      </c>
      <c r="B1357" s="25" t="s">
        <v>16892</v>
      </c>
      <c r="C1357" s="26"/>
    </row>
    <row r="1358" ht="15.75" spans="1:3">
      <c r="A1358">
        <v>1357</v>
      </c>
      <c r="B1358" s="26"/>
      <c r="C1358" s="26"/>
    </row>
    <row r="1359" ht="15.75" spans="1:3">
      <c r="A1359">
        <v>1358</v>
      </c>
      <c r="B1359" s="26"/>
      <c r="C1359" s="26"/>
    </row>
    <row r="1360" ht="15.75" spans="1:3">
      <c r="A1360">
        <v>1359</v>
      </c>
      <c r="B1360" s="26"/>
      <c r="C1360" s="26"/>
    </row>
    <row r="1361" ht="15.75" spans="1:3">
      <c r="A1361">
        <v>1360</v>
      </c>
      <c r="B1361" s="26"/>
      <c r="C1361" s="26"/>
    </row>
    <row r="1362" ht="15.75" spans="1:3">
      <c r="A1362">
        <v>1361</v>
      </c>
      <c r="B1362" s="26"/>
      <c r="C1362" s="26"/>
    </row>
    <row r="1363" ht="15.75" spans="1:3">
      <c r="A1363">
        <v>1362</v>
      </c>
      <c r="B1363" s="26"/>
      <c r="C1363" s="26"/>
    </row>
    <row r="1364" ht="15.75" spans="1:3">
      <c r="A1364">
        <v>1363</v>
      </c>
      <c r="B1364" s="26"/>
      <c r="C1364" s="26"/>
    </row>
    <row r="1365" spans="1:3">
      <c r="A1365">
        <v>1364</v>
      </c>
      <c r="B1365" s="45" t="s">
        <v>16905</v>
      </c>
      <c r="C1365" s="36">
        <v>911600498</v>
      </c>
    </row>
    <row r="1366" ht="15.75" spans="1:3">
      <c r="A1366">
        <v>1365</v>
      </c>
      <c r="B1366" s="26"/>
      <c r="C1366" s="26"/>
    </row>
    <row r="1367" ht="15.75" spans="1:3">
      <c r="A1367">
        <v>1366</v>
      </c>
      <c r="B1367" s="26"/>
      <c r="C1367" s="26"/>
    </row>
    <row r="1368" ht="21" spans="1:3">
      <c r="A1368">
        <v>1367</v>
      </c>
      <c r="B1368" s="27" t="s">
        <v>16892</v>
      </c>
      <c r="C1368" s="26"/>
    </row>
    <row r="1369" ht="18.75" spans="1:3">
      <c r="A1369">
        <v>1368</v>
      </c>
      <c r="B1369" s="31" t="str">
        <f>IFERROR(__xludf.DUMMYFUNCTION("""COMPUTED_VALUE"""),"Hiwet selemon")</f>
        <v>Hiwet selemon</v>
      </c>
      <c r="C1369" s="30">
        <v>986569386</v>
      </c>
    </row>
    <row r="1370" spans="1:3">
      <c r="A1370">
        <v>1369</v>
      </c>
      <c r="B1370" s="45" t="s">
        <v>16906</v>
      </c>
      <c r="C1370" s="36">
        <v>947673752</v>
      </c>
    </row>
    <row r="1371" ht="15.75" spans="1:3">
      <c r="A1371">
        <v>1370</v>
      </c>
      <c r="B1371" s="26"/>
      <c r="C1371" s="26"/>
    </row>
    <row r="1372" ht="15.75" spans="1:3">
      <c r="A1372">
        <v>1371</v>
      </c>
      <c r="B1372" s="26"/>
      <c r="C1372" s="26"/>
    </row>
    <row r="1373" ht="15.75" spans="1:3">
      <c r="A1373">
        <v>1372</v>
      </c>
      <c r="B1373" s="26"/>
      <c r="C1373" s="26"/>
    </row>
    <row r="1374" ht="18.75" spans="1:3">
      <c r="A1374">
        <v>1373</v>
      </c>
      <c r="B1374" s="31" t="str">
        <f>IFERROR(__xludf.DUMMYFUNCTION("""COMPUTED_VALUE"""),"marta kedese")</f>
        <v>marta kedese</v>
      </c>
      <c r="C1374" s="30">
        <v>930828772</v>
      </c>
    </row>
    <row r="1375" ht="18.75" spans="1:3">
      <c r="A1375">
        <v>1374</v>
      </c>
      <c r="B1375" s="31" t="str">
        <f>IFERROR(__xludf.DUMMYFUNCTION("""COMPUTED_VALUE"""),"marta kedese ")</f>
        <v>marta kedese </v>
      </c>
      <c r="C1375" s="30">
        <v>930828772</v>
      </c>
    </row>
    <row r="1376" ht="15.75" spans="1:3">
      <c r="A1376">
        <v>1375</v>
      </c>
      <c r="B1376" s="26"/>
      <c r="C1376" s="26"/>
    </row>
    <row r="1377" ht="21" spans="1:3">
      <c r="A1377">
        <v>1376</v>
      </c>
      <c r="B1377" s="25" t="s">
        <v>16892</v>
      </c>
      <c r="C1377" s="26"/>
    </row>
    <row r="1378" ht="15.75" spans="1:3">
      <c r="A1378">
        <v>1377</v>
      </c>
      <c r="B1378" s="26"/>
      <c r="C1378" s="26"/>
    </row>
    <row r="1379" ht="15.75" spans="1:3">
      <c r="A1379">
        <v>1378</v>
      </c>
      <c r="B1379" s="26"/>
      <c r="C1379" s="26"/>
    </row>
    <row r="1380" ht="15.75" spans="1:3">
      <c r="A1380">
        <v>1379</v>
      </c>
      <c r="B1380" s="26"/>
      <c r="C1380" s="26"/>
    </row>
    <row r="1381" ht="15.75" spans="1:3">
      <c r="A1381">
        <v>1380</v>
      </c>
      <c r="B1381" s="26"/>
      <c r="C1381" s="26"/>
    </row>
    <row r="1382" ht="21" spans="1:3">
      <c r="A1382">
        <v>1381</v>
      </c>
      <c r="B1382" s="25" t="s">
        <v>16892</v>
      </c>
      <c r="C1382" s="26"/>
    </row>
    <row r="1383" ht="15.75" spans="1:3">
      <c r="A1383">
        <v>1382</v>
      </c>
      <c r="B1383" s="26"/>
      <c r="C1383" s="26"/>
    </row>
    <row r="1384" ht="15.75" spans="1:3">
      <c r="A1384">
        <v>1383</v>
      </c>
      <c r="B1384" s="26"/>
      <c r="C1384" s="26"/>
    </row>
    <row r="1385" ht="15.75" spans="1:3">
      <c r="A1385">
        <v>1384</v>
      </c>
      <c r="B1385" s="26"/>
      <c r="C1385" s="26"/>
    </row>
    <row r="1386" ht="21" spans="1:3">
      <c r="A1386">
        <v>1385</v>
      </c>
      <c r="B1386" s="27" t="s">
        <v>16892</v>
      </c>
      <c r="C1386" s="26"/>
    </row>
    <row r="1387" ht="21" spans="1:3">
      <c r="A1387">
        <v>1386</v>
      </c>
      <c r="B1387" s="27" t="s">
        <v>16892</v>
      </c>
      <c r="C1387" s="26"/>
    </row>
    <row r="1388" ht="21" spans="1:3">
      <c r="A1388">
        <v>1387</v>
      </c>
      <c r="B1388" s="25" t="s">
        <v>16892</v>
      </c>
      <c r="C1388" s="26"/>
    </row>
    <row r="1389" ht="21" spans="1:3">
      <c r="A1389">
        <v>1388</v>
      </c>
      <c r="B1389" s="25" t="s">
        <v>16892</v>
      </c>
      <c r="C1389" s="26"/>
    </row>
    <row r="1390" ht="15.75" spans="1:3">
      <c r="A1390">
        <v>1389</v>
      </c>
      <c r="B1390" s="26"/>
      <c r="C1390" s="26"/>
    </row>
    <row r="1391" ht="21" spans="1:3">
      <c r="A1391">
        <v>1390</v>
      </c>
      <c r="B1391" s="27" t="s">
        <v>16892</v>
      </c>
      <c r="C1391" s="26"/>
    </row>
    <row r="1392" spans="1:3">
      <c r="A1392">
        <v>1391</v>
      </c>
      <c r="B1392" s="45" t="s">
        <v>16907</v>
      </c>
      <c r="C1392" s="344" t="s">
        <v>16908</v>
      </c>
    </row>
    <row r="1393" ht="21" spans="1:3">
      <c r="A1393">
        <v>1392</v>
      </c>
      <c r="B1393" s="25" t="s">
        <v>16892</v>
      </c>
      <c r="C1393" s="26"/>
    </row>
    <row r="1394" ht="21" spans="1:3">
      <c r="A1394">
        <v>1393</v>
      </c>
      <c r="B1394" s="25" t="s">
        <v>16892</v>
      </c>
      <c r="C1394" s="26"/>
    </row>
    <row r="1395" ht="21" spans="1:3">
      <c r="A1395">
        <v>1394</v>
      </c>
      <c r="B1395" s="27" t="s">
        <v>16892</v>
      </c>
      <c r="C1395" s="26"/>
    </row>
    <row r="1396" ht="21" spans="1:3">
      <c r="A1396">
        <v>1395</v>
      </c>
      <c r="B1396" s="27" t="s">
        <v>16892</v>
      </c>
      <c r="C1396" s="26"/>
    </row>
    <row r="1397" ht="21" spans="1:3">
      <c r="A1397">
        <v>1396</v>
      </c>
      <c r="B1397" s="27" t="s">
        <v>16892</v>
      </c>
      <c r="C1397" s="26"/>
    </row>
    <row r="1398" ht="15.75" spans="1:3">
      <c r="A1398">
        <v>1397</v>
      </c>
      <c r="B1398" s="26"/>
      <c r="C1398" s="26"/>
    </row>
    <row r="1399" ht="21" spans="1:3">
      <c r="A1399">
        <v>1398</v>
      </c>
      <c r="B1399" s="25" t="s">
        <v>16892</v>
      </c>
      <c r="C1399" s="26"/>
    </row>
    <row r="1400" ht="15.75" spans="1:3">
      <c r="A1400">
        <v>1399</v>
      </c>
      <c r="B1400" s="26"/>
      <c r="C1400" s="26"/>
    </row>
    <row r="1401" ht="15.75" spans="1:3">
      <c r="A1401">
        <v>1400</v>
      </c>
      <c r="B1401" s="26"/>
      <c r="C1401" s="26"/>
    </row>
    <row r="1402" ht="21" spans="1:3">
      <c r="A1402">
        <v>1401</v>
      </c>
      <c r="B1402" s="25" t="s">
        <v>16892</v>
      </c>
      <c r="C1402" s="26"/>
    </row>
    <row r="1403" ht="21" spans="1:3">
      <c r="A1403">
        <v>1402</v>
      </c>
      <c r="B1403" s="27" t="s">
        <v>16892</v>
      </c>
      <c r="C1403" s="26"/>
    </row>
    <row r="1404" ht="21" spans="1:3">
      <c r="A1404">
        <v>1403</v>
      </c>
      <c r="B1404" s="27" t="s">
        <v>16892</v>
      </c>
      <c r="C1404" s="26"/>
    </row>
    <row r="1405" ht="18" spans="1:3">
      <c r="A1405">
        <v>1404</v>
      </c>
      <c r="B1405" s="31" t="str">
        <f>IFERROR(__xludf.DUMMYFUNCTION("""COMPUTED_VALUE"""),"Kibrabe Fekadu")</f>
        <v>Kibrabe Fekadu</v>
      </c>
      <c r="C1405" s="31">
        <v>923516244</v>
      </c>
    </row>
    <row r="1406" ht="21" spans="1:3">
      <c r="A1406">
        <v>1405</v>
      </c>
      <c r="B1406" s="27" t="s">
        <v>16892</v>
      </c>
      <c r="C1406" s="26"/>
    </row>
    <row r="1407" ht="21" spans="1:3">
      <c r="A1407">
        <v>1406</v>
      </c>
      <c r="B1407" s="25" t="s">
        <v>16892</v>
      </c>
      <c r="C1407" s="26"/>
    </row>
    <row r="1408" spans="1:3">
      <c r="A1408">
        <v>1407</v>
      </c>
      <c r="B1408" s="45" t="s">
        <v>16909</v>
      </c>
      <c r="C1408" s="36">
        <v>908270696</v>
      </c>
    </row>
    <row r="1409" ht="21" spans="1:3">
      <c r="A1409">
        <v>1408</v>
      </c>
      <c r="B1409" s="25" t="s">
        <v>16892</v>
      </c>
      <c r="C1409" s="26"/>
    </row>
    <row r="1410" ht="21" spans="1:3">
      <c r="A1410">
        <v>1409</v>
      </c>
      <c r="B1410" s="27" t="s">
        <v>16892</v>
      </c>
      <c r="C1410" s="26"/>
    </row>
    <row r="1411" ht="18.75" spans="1:3">
      <c r="A1411">
        <v>1410</v>
      </c>
      <c r="B1411" s="39" t="str">
        <f>IFERROR(__xludf.DUMMYFUNCTION("""COMPUTED_VALUE"""),"zebib sebebie")</f>
        <v>zebib sebebie</v>
      </c>
      <c r="C1411" s="34"/>
    </row>
    <row r="1412" ht="36" spans="1:3">
      <c r="A1412">
        <v>1411</v>
      </c>
      <c r="B1412" s="46" t="s">
        <v>16910</v>
      </c>
      <c r="C1412" s="34">
        <v>910398447</v>
      </c>
    </row>
    <row r="1413" ht="15.75" spans="1:3">
      <c r="A1413">
        <v>1412</v>
      </c>
      <c r="B1413" s="26"/>
      <c r="C1413" s="26"/>
    </row>
    <row r="1414" ht="15.75" spans="1:3">
      <c r="A1414">
        <v>1413</v>
      </c>
      <c r="B1414" s="26"/>
      <c r="C1414" s="26"/>
    </row>
    <row r="1415" ht="15.75" spans="1:3">
      <c r="A1415">
        <v>1414</v>
      </c>
      <c r="B1415" s="26"/>
      <c r="C1415" s="26"/>
    </row>
    <row r="1416" ht="21" spans="1:3">
      <c r="A1416">
        <v>1415</v>
      </c>
      <c r="B1416" s="25" t="s">
        <v>16892</v>
      </c>
      <c r="C1416" s="26"/>
    </row>
    <row r="1417" spans="1:3">
      <c r="A1417">
        <v>1416</v>
      </c>
      <c r="B1417" s="45" t="s">
        <v>16911</v>
      </c>
      <c r="C1417" s="36">
        <v>913750495</v>
      </c>
    </row>
    <row r="1418" ht="15.75" spans="1:3">
      <c r="A1418">
        <v>1417</v>
      </c>
      <c r="B1418" s="26"/>
      <c r="C1418" s="26"/>
    </row>
    <row r="1419" ht="15.75" spans="1:3">
      <c r="A1419">
        <v>1418</v>
      </c>
      <c r="B1419" s="26"/>
      <c r="C1419" s="26"/>
    </row>
    <row r="1420" ht="21" spans="1:3">
      <c r="A1420">
        <v>1419</v>
      </c>
      <c r="B1420" s="25" t="s">
        <v>16892</v>
      </c>
      <c r="C1420" s="26"/>
    </row>
    <row r="1421" ht="15.75" spans="1:3">
      <c r="A1421">
        <v>1420</v>
      </c>
      <c r="B1421" s="26"/>
      <c r="C1421" s="26"/>
    </row>
    <row r="1422" ht="21" spans="1:3">
      <c r="A1422">
        <v>1421</v>
      </c>
      <c r="B1422" s="25" t="s">
        <v>16892</v>
      </c>
      <c r="C1422" s="26"/>
    </row>
    <row r="1423" ht="15.75" spans="1:3">
      <c r="A1423">
        <v>1422</v>
      </c>
      <c r="B1423" s="26"/>
      <c r="C1423" s="26"/>
    </row>
    <row r="1424" ht="15.75" spans="1:3">
      <c r="A1424">
        <v>1423</v>
      </c>
      <c r="B1424" s="26"/>
      <c r="C1424" s="26"/>
    </row>
    <row r="1425" ht="21" spans="1:3">
      <c r="A1425">
        <v>1424</v>
      </c>
      <c r="B1425" s="25" t="s">
        <v>16892</v>
      </c>
      <c r="C1425" s="26"/>
    </row>
    <row r="1426" ht="15.75" spans="1:3">
      <c r="A1426">
        <v>1425</v>
      </c>
      <c r="B1426" s="26"/>
      <c r="C1426" s="26"/>
    </row>
    <row r="1427" ht="15.75" spans="1:3">
      <c r="A1427">
        <v>1426</v>
      </c>
      <c r="B1427" s="26"/>
      <c r="C1427" s="26"/>
    </row>
    <row r="1428" ht="18.75" spans="1:3">
      <c r="A1428">
        <v>1427</v>
      </c>
      <c r="B1428" s="31" t="str">
        <f>IFERROR(__xludf.DUMMYFUNCTION("""COMPUTED_VALUE"""),"no Agent")</f>
        <v>no Agent</v>
      </c>
      <c r="C1428" s="30"/>
    </row>
    <row r="1429" ht="15.75" spans="1:3">
      <c r="A1429">
        <v>1428</v>
      </c>
      <c r="B1429" s="26"/>
      <c r="C1429" s="26"/>
    </row>
    <row r="1430" ht="15.75" spans="1:3">
      <c r="A1430">
        <v>1429</v>
      </c>
      <c r="B1430" s="26"/>
      <c r="C1430" s="26"/>
    </row>
    <row r="1431" ht="15.75" spans="1:3">
      <c r="A1431">
        <v>1430</v>
      </c>
      <c r="B1431" s="26"/>
      <c r="C1431" s="26"/>
    </row>
    <row r="1432" ht="21" spans="1:3">
      <c r="A1432">
        <v>1431</v>
      </c>
      <c r="B1432" s="27" t="s">
        <v>16892</v>
      </c>
      <c r="C1432" s="26"/>
    </row>
    <row r="1433" ht="18.75" spans="1:3">
      <c r="A1433">
        <v>1432</v>
      </c>
      <c r="B1433" s="31" t="str">
        <f>IFERROR(__xludf.DUMMYFUNCTION("""COMPUTED_VALUE"""),"bezawit mamushet")</f>
        <v>bezawit mamushet</v>
      </c>
      <c r="C1433" s="30">
        <v>915946387</v>
      </c>
    </row>
    <row r="1434" ht="21" spans="1:3">
      <c r="A1434">
        <v>1433</v>
      </c>
      <c r="B1434" s="25" t="s">
        <v>16892</v>
      </c>
      <c r="C1434" s="26"/>
    </row>
    <row r="1435" ht="15.75" spans="1:3">
      <c r="A1435">
        <v>1434</v>
      </c>
      <c r="B1435" s="26"/>
      <c r="C1435" s="26"/>
    </row>
    <row r="1436" ht="18.75" spans="1:3">
      <c r="A1436">
        <v>1435</v>
      </c>
      <c r="B1436" s="31" t="str">
        <f>IFERROR(__xludf.DUMMYFUNCTION("""COMPUTED_VALUE"""),"bezawit mamushet")</f>
        <v>bezawit mamushet</v>
      </c>
      <c r="C1436" s="30"/>
    </row>
    <row r="1437" ht="15.75" spans="1:3">
      <c r="A1437">
        <v>1436</v>
      </c>
      <c r="B1437" s="26"/>
      <c r="C1437" s="26"/>
    </row>
    <row r="1438" ht="15.75" spans="1:3">
      <c r="A1438">
        <v>1437</v>
      </c>
      <c r="B1438" s="26"/>
      <c r="C1438" s="26"/>
    </row>
    <row r="1439" ht="15.75" spans="1:3">
      <c r="A1439">
        <v>1438</v>
      </c>
      <c r="B1439" s="26"/>
      <c r="C1439" s="26"/>
    </row>
    <row r="1440" ht="21" spans="1:3">
      <c r="A1440">
        <v>1439</v>
      </c>
      <c r="B1440" s="25" t="s">
        <v>16892</v>
      </c>
      <c r="C1440" s="26"/>
    </row>
    <row r="1441" ht="15.75" spans="1:3">
      <c r="A1441">
        <v>1440</v>
      </c>
      <c r="B1441" s="26"/>
      <c r="C1441" s="26"/>
    </row>
    <row r="1442" ht="15.75" spans="1:3">
      <c r="A1442">
        <v>1441</v>
      </c>
      <c r="B1442" s="26"/>
      <c r="C1442" s="26"/>
    </row>
    <row r="1443" ht="15.75" spans="1:3">
      <c r="A1443">
        <v>1442</v>
      </c>
      <c r="B1443" s="26"/>
      <c r="C1443" s="26"/>
    </row>
    <row r="1444" ht="21" spans="1:3">
      <c r="A1444">
        <v>1443</v>
      </c>
      <c r="B1444" s="25" t="s">
        <v>16892</v>
      </c>
      <c r="C1444" s="26"/>
    </row>
    <row r="1445" ht="15.75" spans="1:3">
      <c r="A1445">
        <v>1444</v>
      </c>
      <c r="B1445" s="26"/>
      <c r="C1445" s="26"/>
    </row>
    <row r="1446" ht="15.75" spans="1:3">
      <c r="A1446">
        <v>1445</v>
      </c>
      <c r="B1446" s="26"/>
      <c r="C1446" s="26"/>
    </row>
    <row r="1447" ht="18.75" spans="1:3">
      <c r="A1447">
        <v>1446</v>
      </c>
      <c r="B1447" s="30" t="str">
        <f>IFERROR(__xludf.DUMMYFUNCTION("""COMPUTED_VALUE"""),"ህይወት ክሊል")</f>
        <v>ህይወት ክሊል</v>
      </c>
      <c r="C1447" s="30">
        <v>908270696</v>
      </c>
    </row>
    <row r="1448" ht="15.75" spans="1:3">
      <c r="A1448">
        <v>1447</v>
      </c>
      <c r="B1448" s="26"/>
      <c r="C1448" s="26"/>
    </row>
    <row r="1449" ht="18.75" spans="1:3">
      <c r="A1449">
        <v>1448</v>
      </c>
      <c r="B1449" s="39" t="str">
        <f>IFERROR(__xludf.DUMMYFUNCTION("""COMPUTED_VALUE"""),"Hiwot muluken")</f>
        <v>Hiwot muluken</v>
      </c>
      <c r="C1449" s="34">
        <v>955423569</v>
      </c>
    </row>
    <row r="1450" ht="18.75" spans="1:3">
      <c r="A1450">
        <v>1449</v>
      </c>
      <c r="B1450" s="39" t="str">
        <f>IFERROR(__xludf.DUMMYFUNCTION("""COMPUTED_VALUE"""),"hiwot muluken")</f>
        <v>hiwot muluken</v>
      </c>
      <c r="C1450" s="34">
        <v>955423569</v>
      </c>
    </row>
    <row r="1451" ht="15.75" spans="1:3">
      <c r="A1451">
        <v>1450</v>
      </c>
      <c r="B1451" s="26"/>
      <c r="C1451" s="26"/>
    </row>
    <row r="1452" ht="15.75" spans="1:3">
      <c r="A1452">
        <v>1451</v>
      </c>
      <c r="B1452" s="26"/>
      <c r="C1452" s="26"/>
    </row>
    <row r="1453" ht="15.75" spans="1:3">
      <c r="A1453">
        <v>1452</v>
      </c>
      <c r="B1453" s="26"/>
      <c r="C1453" s="26"/>
    </row>
    <row r="1454" ht="15.75" spans="1:3">
      <c r="A1454">
        <v>1453</v>
      </c>
      <c r="B1454" s="26"/>
      <c r="C1454" s="26"/>
    </row>
    <row r="1455" ht="21" spans="1:3">
      <c r="A1455">
        <v>1454</v>
      </c>
      <c r="B1455" s="27" t="s">
        <v>16892</v>
      </c>
      <c r="C1455" s="26"/>
    </row>
    <row r="1456" ht="15.75" spans="1:3">
      <c r="A1456">
        <v>1455</v>
      </c>
      <c r="B1456" s="26"/>
      <c r="C1456" s="26"/>
    </row>
    <row r="1457" ht="15.75" spans="1:3">
      <c r="A1457">
        <v>1456</v>
      </c>
      <c r="B1457" s="26"/>
      <c r="C1457" s="26"/>
    </row>
    <row r="1458" ht="15.75" spans="1:3">
      <c r="A1458">
        <v>1457</v>
      </c>
      <c r="B1458" s="29"/>
      <c r="C1458" s="29"/>
    </row>
    <row r="1459" ht="15.75" spans="1:3">
      <c r="A1459">
        <v>1458</v>
      </c>
      <c r="B1459" s="29"/>
      <c r="C1459" s="29"/>
    </row>
    <row r="1460" ht="15.75" spans="1:3">
      <c r="A1460">
        <v>1459</v>
      </c>
      <c r="B1460" s="26"/>
      <c r="C1460" s="26"/>
    </row>
    <row r="1461" ht="21" spans="1:3">
      <c r="A1461">
        <v>1460</v>
      </c>
      <c r="B1461" s="27" t="s">
        <v>16892</v>
      </c>
      <c r="C1461" s="26"/>
    </row>
    <row r="1462" ht="21" spans="1:3">
      <c r="A1462">
        <v>1461</v>
      </c>
      <c r="B1462" s="25" t="s">
        <v>16892</v>
      </c>
      <c r="C1462" s="26"/>
    </row>
    <row r="1463" ht="21" spans="1:3">
      <c r="A1463">
        <v>1462</v>
      </c>
      <c r="B1463" s="27" t="s">
        <v>16892</v>
      </c>
      <c r="C1463" s="26"/>
    </row>
    <row r="1464" ht="21" spans="1:3">
      <c r="A1464">
        <v>1463</v>
      </c>
      <c r="B1464" s="27" t="s">
        <v>16892</v>
      </c>
      <c r="C1464" s="26"/>
    </row>
    <row r="1465" ht="21" spans="1:3">
      <c r="A1465">
        <v>1464</v>
      </c>
      <c r="B1465" s="27" t="s">
        <v>16892</v>
      </c>
      <c r="C1465" s="26"/>
    </row>
    <row r="1466" ht="15.75" spans="1:3">
      <c r="A1466">
        <v>1465</v>
      </c>
      <c r="B1466" s="26"/>
      <c r="C1466" s="26"/>
    </row>
    <row r="1467" ht="21" spans="1:3">
      <c r="A1467">
        <v>1466</v>
      </c>
      <c r="B1467" s="25" t="s">
        <v>16892</v>
      </c>
      <c r="C1467" s="26"/>
    </row>
    <row r="1468" ht="21" spans="1:3">
      <c r="A1468">
        <v>1467</v>
      </c>
      <c r="B1468" s="27" t="s">
        <v>16892</v>
      </c>
      <c r="C1468" s="26"/>
    </row>
    <row r="1469" ht="21" spans="1:3">
      <c r="A1469">
        <v>1468</v>
      </c>
      <c r="B1469" s="25" t="s">
        <v>16892</v>
      </c>
      <c r="C1469" s="26"/>
    </row>
    <row r="1470" ht="15.75" spans="1:3">
      <c r="A1470">
        <v>1469</v>
      </c>
      <c r="B1470" s="26"/>
      <c r="C1470" s="26"/>
    </row>
    <row r="1471" ht="21" spans="1:3">
      <c r="A1471">
        <v>1470</v>
      </c>
      <c r="B1471" s="25" t="s">
        <v>16892</v>
      </c>
      <c r="C1471" s="26"/>
    </row>
    <row r="1472" ht="21" spans="1:3">
      <c r="A1472">
        <v>1471</v>
      </c>
      <c r="B1472" s="27" t="s">
        <v>16892</v>
      </c>
      <c r="C1472" s="26"/>
    </row>
    <row r="1473" ht="21" spans="1:3">
      <c r="A1473">
        <v>1472</v>
      </c>
      <c r="B1473" s="25" t="s">
        <v>16892</v>
      </c>
      <c r="C1473" s="26"/>
    </row>
    <row r="1474" ht="21" spans="1:3">
      <c r="A1474">
        <v>1473</v>
      </c>
      <c r="B1474" s="25" t="s">
        <v>16892</v>
      </c>
      <c r="C1474" s="26"/>
    </row>
    <row r="1475" ht="21" spans="1:3">
      <c r="A1475">
        <v>1474</v>
      </c>
      <c r="B1475" s="25" t="s">
        <v>16892</v>
      </c>
      <c r="C1475" s="26"/>
    </row>
    <row r="1476" ht="21" spans="1:3">
      <c r="A1476">
        <v>1475</v>
      </c>
      <c r="B1476" s="27" t="s">
        <v>16892</v>
      </c>
      <c r="C1476" s="26"/>
    </row>
    <row r="1477" ht="21" spans="1:3">
      <c r="A1477">
        <v>1476</v>
      </c>
      <c r="B1477" s="25" t="s">
        <v>16892</v>
      </c>
      <c r="C1477" s="26"/>
    </row>
    <row r="1478" ht="21" spans="1:3">
      <c r="A1478">
        <v>1477</v>
      </c>
      <c r="B1478" s="25" t="s">
        <v>16892</v>
      </c>
      <c r="C1478" s="26"/>
    </row>
    <row r="1479" ht="21" spans="1:3">
      <c r="A1479">
        <v>1478</v>
      </c>
      <c r="B1479" s="27" t="s">
        <v>16892</v>
      </c>
      <c r="C1479" s="26"/>
    </row>
    <row r="1480" ht="21" spans="1:3">
      <c r="A1480">
        <v>1479</v>
      </c>
      <c r="B1480" s="25" t="s">
        <v>16892</v>
      </c>
      <c r="C1480" s="26"/>
    </row>
    <row r="1481" ht="21" spans="1:3">
      <c r="A1481">
        <v>1480</v>
      </c>
      <c r="B1481" s="27" t="s">
        <v>16892</v>
      </c>
      <c r="C1481" s="26"/>
    </row>
    <row r="1482" ht="21" spans="1:3">
      <c r="A1482">
        <v>1481</v>
      </c>
      <c r="B1482" s="27" t="s">
        <v>16892</v>
      </c>
      <c r="C1482" s="26"/>
    </row>
    <row r="1483" ht="15.75" spans="1:3">
      <c r="A1483">
        <v>1482</v>
      </c>
      <c r="B1483" s="26"/>
      <c r="C1483" s="26"/>
    </row>
    <row r="1484" ht="21" spans="1:3">
      <c r="A1484">
        <v>1483</v>
      </c>
      <c r="B1484" s="27" t="s">
        <v>16892</v>
      </c>
      <c r="C1484" s="26"/>
    </row>
    <row r="1485" ht="21" spans="1:3">
      <c r="A1485">
        <v>1484</v>
      </c>
      <c r="B1485" s="27" t="s">
        <v>16892</v>
      </c>
      <c r="C1485" s="26"/>
    </row>
    <row r="1486" ht="21" spans="1:3">
      <c r="A1486">
        <v>1485</v>
      </c>
      <c r="B1486" s="25" t="s">
        <v>16892</v>
      </c>
      <c r="C1486" s="26"/>
    </row>
    <row r="1487" ht="21" spans="1:3">
      <c r="A1487">
        <v>1486</v>
      </c>
      <c r="B1487" s="25" t="s">
        <v>16892</v>
      </c>
      <c r="C1487" s="26"/>
    </row>
    <row r="1488" ht="21" spans="1:3">
      <c r="A1488">
        <v>1487</v>
      </c>
      <c r="B1488" s="25" t="s">
        <v>16892</v>
      </c>
      <c r="C1488" s="26"/>
    </row>
    <row r="1489" ht="21" spans="1:3">
      <c r="A1489">
        <v>1488</v>
      </c>
      <c r="B1489" s="27" t="s">
        <v>16892</v>
      </c>
      <c r="C1489" s="26"/>
    </row>
    <row r="1490" ht="18.75" spans="1:3">
      <c r="A1490">
        <v>1489</v>
      </c>
      <c r="B1490" s="30" t="str">
        <f>IFERROR(__xludf.DUMMYFUNCTION("""COMPUTED_VALUE"""),"Wassihun Wagaw")</f>
        <v>Wassihun Wagaw</v>
      </c>
      <c r="C1490" s="30">
        <v>911613514</v>
      </c>
    </row>
    <row r="1491" ht="21" spans="1:3">
      <c r="A1491">
        <v>1490</v>
      </c>
      <c r="B1491" s="27" t="s">
        <v>16892</v>
      </c>
      <c r="C1491" s="26"/>
    </row>
    <row r="1492" ht="21" spans="1:3">
      <c r="A1492">
        <v>1491</v>
      </c>
      <c r="B1492" s="27" t="s">
        <v>16892</v>
      </c>
      <c r="C1492" s="26"/>
    </row>
    <row r="1493" ht="21" spans="1:3">
      <c r="A1493">
        <v>1492</v>
      </c>
      <c r="B1493" s="25" t="s">
        <v>16892</v>
      </c>
      <c r="C1493" s="26"/>
    </row>
    <row r="1494" ht="15.75" spans="1:3">
      <c r="A1494">
        <v>1493</v>
      </c>
      <c r="B1494" s="26"/>
      <c r="C1494" s="26"/>
    </row>
    <row r="1495" ht="15.75" spans="1:3">
      <c r="A1495">
        <v>1494</v>
      </c>
      <c r="B1495" s="26"/>
      <c r="C1495" s="26"/>
    </row>
    <row r="1496" ht="15.75" spans="1:3">
      <c r="A1496">
        <v>1495</v>
      </c>
      <c r="B1496" s="26"/>
      <c r="C1496" s="26"/>
    </row>
    <row r="1497" ht="15.75" spans="1:3">
      <c r="A1497">
        <v>1496</v>
      </c>
      <c r="B1497" s="26"/>
      <c r="C1497" s="26"/>
    </row>
    <row r="1498" ht="15.75" spans="1:3">
      <c r="A1498">
        <v>1497</v>
      </c>
      <c r="B1498" s="26"/>
      <c r="C1498" s="26"/>
    </row>
    <row r="1499" ht="15.75" spans="1:3">
      <c r="A1499">
        <v>1498</v>
      </c>
      <c r="B1499" s="26"/>
      <c r="C1499" s="26"/>
    </row>
    <row r="1500" ht="15.75" spans="1:3">
      <c r="A1500">
        <v>1499</v>
      </c>
      <c r="B1500" s="26"/>
      <c r="C1500" s="26"/>
    </row>
    <row r="1501" ht="15.75" spans="1:3">
      <c r="A1501">
        <v>1500</v>
      </c>
      <c r="B1501" s="26"/>
      <c r="C1501" s="26"/>
    </row>
    <row r="1502" ht="15.75" spans="1:3">
      <c r="A1502">
        <v>1501</v>
      </c>
      <c r="B1502" s="26"/>
      <c r="C1502" s="26"/>
    </row>
    <row r="1503" ht="15.75" spans="1:3">
      <c r="A1503">
        <v>1502</v>
      </c>
      <c r="B1503" s="26"/>
      <c r="C1503" s="26"/>
    </row>
    <row r="1504" ht="15.75" spans="1:3">
      <c r="A1504">
        <v>1503</v>
      </c>
      <c r="B1504" s="26"/>
      <c r="C1504" s="26"/>
    </row>
    <row r="1505" ht="21" spans="1:3">
      <c r="A1505">
        <v>1504</v>
      </c>
      <c r="B1505" s="25" t="s">
        <v>16892</v>
      </c>
      <c r="C1505" s="26"/>
    </row>
    <row r="1506" ht="15.75" spans="1:3">
      <c r="A1506">
        <v>1505</v>
      </c>
      <c r="B1506" s="26"/>
      <c r="C1506" s="26"/>
    </row>
    <row r="1507" ht="21" spans="1:3">
      <c r="A1507">
        <v>1506</v>
      </c>
      <c r="B1507" s="25" t="s">
        <v>16892</v>
      </c>
      <c r="C1507" s="26"/>
    </row>
    <row r="1508" ht="15.75" spans="1:3">
      <c r="A1508">
        <v>1507</v>
      </c>
      <c r="B1508" s="26"/>
      <c r="C1508" s="26"/>
    </row>
    <row r="1509" ht="21" spans="1:3">
      <c r="A1509">
        <v>1508</v>
      </c>
      <c r="B1509" s="25" t="s">
        <v>16892</v>
      </c>
      <c r="C1509" s="26"/>
    </row>
    <row r="1510" ht="21" spans="1:3">
      <c r="A1510">
        <v>1509</v>
      </c>
      <c r="B1510" s="25" t="s">
        <v>16892</v>
      </c>
      <c r="C1510" s="26"/>
    </row>
    <row r="1511" ht="21" spans="1:3">
      <c r="A1511">
        <v>1510</v>
      </c>
      <c r="B1511" s="25" t="s">
        <v>16892</v>
      </c>
      <c r="C1511" s="26"/>
    </row>
    <row r="1512" ht="21" spans="1:3">
      <c r="A1512">
        <v>1511</v>
      </c>
      <c r="B1512" s="25" t="s">
        <v>16892</v>
      </c>
      <c r="C1512" s="26"/>
    </row>
    <row r="1513" ht="21" spans="1:3">
      <c r="A1513">
        <v>1512</v>
      </c>
      <c r="B1513" s="25" t="s">
        <v>16892</v>
      </c>
      <c r="C1513" s="26"/>
    </row>
    <row r="1514" ht="21" spans="1:3">
      <c r="A1514">
        <v>1513</v>
      </c>
      <c r="B1514" s="27" t="s">
        <v>16892</v>
      </c>
      <c r="C1514" s="26"/>
    </row>
    <row r="1515" ht="15.75" spans="1:3">
      <c r="A1515">
        <v>1514</v>
      </c>
      <c r="B1515" s="26"/>
      <c r="C1515" s="26"/>
    </row>
    <row r="1516" ht="21" spans="1:3">
      <c r="A1516">
        <v>1515</v>
      </c>
      <c r="B1516" s="27" t="s">
        <v>16902</v>
      </c>
      <c r="C1516" s="26"/>
    </row>
    <row r="1517" ht="15.75" spans="1:3">
      <c r="A1517">
        <v>1516</v>
      </c>
      <c r="B1517" s="26"/>
      <c r="C1517" s="26"/>
    </row>
    <row r="1518" ht="21" spans="1:3">
      <c r="A1518">
        <v>1517</v>
      </c>
      <c r="B1518" s="27" t="s">
        <v>16892</v>
      </c>
      <c r="C1518" s="26"/>
    </row>
    <row r="1519" ht="15.75" spans="1:3">
      <c r="A1519">
        <v>1518</v>
      </c>
      <c r="B1519" s="26"/>
      <c r="C1519" s="26"/>
    </row>
    <row r="1520" ht="15.75" spans="1:3">
      <c r="A1520">
        <v>1519</v>
      </c>
      <c r="B1520" s="26"/>
      <c r="C1520" s="26"/>
    </row>
    <row r="1521" ht="21" spans="1:3">
      <c r="A1521">
        <v>1520</v>
      </c>
      <c r="B1521" s="25" t="s">
        <v>16892</v>
      </c>
      <c r="C1521" s="26"/>
    </row>
    <row r="1522" ht="15.75" spans="1:3">
      <c r="A1522">
        <v>1521</v>
      </c>
      <c r="B1522" s="26"/>
      <c r="C1522" s="26"/>
    </row>
    <row r="1523" ht="21" spans="1:3">
      <c r="A1523">
        <v>1522</v>
      </c>
      <c r="B1523" s="25" t="s">
        <v>16892</v>
      </c>
      <c r="C1523" s="26"/>
    </row>
    <row r="1524" ht="21" spans="1:3">
      <c r="A1524">
        <v>1523</v>
      </c>
      <c r="B1524" s="25" t="s">
        <v>16892</v>
      </c>
      <c r="C1524" s="26"/>
    </row>
    <row r="1525" ht="21" spans="1:3">
      <c r="A1525">
        <v>1524</v>
      </c>
      <c r="B1525" s="27" t="s">
        <v>16892</v>
      </c>
      <c r="C1525" s="26"/>
    </row>
    <row r="1526" ht="21" spans="1:3">
      <c r="A1526">
        <v>1525</v>
      </c>
      <c r="B1526" s="27" t="s">
        <v>16892</v>
      </c>
      <c r="C1526" s="26"/>
    </row>
    <row r="1527" ht="21" spans="1:3">
      <c r="A1527">
        <v>1526</v>
      </c>
      <c r="B1527" s="25" t="s">
        <v>16892</v>
      </c>
      <c r="C1527" s="26"/>
    </row>
    <row r="1528" ht="21" spans="1:3">
      <c r="A1528">
        <v>1527</v>
      </c>
      <c r="B1528" s="25" t="s">
        <v>16892</v>
      </c>
      <c r="C1528" s="26"/>
    </row>
    <row r="1529" ht="21" spans="1:3">
      <c r="A1529">
        <v>1528</v>
      </c>
      <c r="B1529" s="27" t="s">
        <v>16892</v>
      </c>
      <c r="C1529" s="26"/>
    </row>
    <row r="1530" ht="18.75" spans="1:3">
      <c r="A1530">
        <v>1529</v>
      </c>
      <c r="B1530" s="31" t="str">
        <f>IFERROR(__xludf.DUMMYFUNCTION("""COMPUTED_VALUE"""),"Mesgana Asefa")</f>
        <v>Mesgana Asefa</v>
      </c>
      <c r="C1530" s="30">
        <v>921302374</v>
      </c>
    </row>
    <row r="1531" ht="21" spans="1:3">
      <c r="A1531">
        <v>1530</v>
      </c>
      <c r="B1531" s="27" t="s">
        <v>16892</v>
      </c>
      <c r="C1531" s="26"/>
    </row>
    <row r="1532" ht="21" spans="1:3">
      <c r="A1532">
        <v>1531</v>
      </c>
      <c r="B1532" s="25" t="s">
        <v>16892</v>
      </c>
      <c r="C1532" s="26"/>
    </row>
    <row r="1533" ht="21" spans="1:3">
      <c r="A1533">
        <v>1532</v>
      </c>
      <c r="B1533" s="25" t="s">
        <v>16892</v>
      </c>
      <c r="C1533" s="26"/>
    </row>
    <row r="1534" ht="21" spans="1:3">
      <c r="A1534">
        <v>1533</v>
      </c>
      <c r="B1534" s="25" t="s">
        <v>16892</v>
      </c>
      <c r="C1534" s="26"/>
    </row>
    <row r="1535" ht="21" spans="1:3">
      <c r="A1535">
        <v>1534</v>
      </c>
      <c r="B1535" s="25" t="s">
        <v>16892</v>
      </c>
      <c r="C1535" s="26"/>
    </row>
    <row r="1536" ht="21" spans="1:3">
      <c r="A1536">
        <v>1535</v>
      </c>
      <c r="B1536" s="25" t="s">
        <v>16892</v>
      </c>
      <c r="C1536" s="26"/>
    </row>
    <row r="1537" ht="21" spans="1:3">
      <c r="A1537">
        <v>1536</v>
      </c>
      <c r="B1537" s="27" t="s">
        <v>16892</v>
      </c>
      <c r="C1537" s="26"/>
    </row>
    <row r="1538" ht="21" spans="1:3">
      <c r="A1538">
        <v>1537</v>
      </c>
      <c r="B1538" s="27" t="s">
        <v>16892</v>
      </c>
      <c r="C1538" s="26"/>
    </row>
    <row r="1539" ht="21" spans="1:3">
      <c r="A1539">
        <v>1538</v>
      </c>
      <c r="B1539" s="25" t="s">
        <v>16892</v>
      </c>
      <c r="C1539" s="26"/>
    </row>
    <row r="1540" ht="21" spans="1:3">
      <c r="A1540">
        <v>1539</v>
      </c>
      <c r="B1540" s="25" t="s">
        <v>16892</v>
      </c>
      <c r="C1540" s="26"/>
    </row>
    <row r="1541" ht="21" spans="1:3">
      <c r="A1541">
        <v>1540</v>
      </c>
      <c r="B1541" s="27" t="s">
        <v>16892</v>
      </c>
      <c r="C1541" s="26"/>
    </row>
    <row r="1542" ht="21" spans="1:3">
      <c r="A1542">
        <v>1541</v>
      </c>
      <c r="B1542" s="27" t="s">
        <v>16892</v>
      </c>
      <c r="C1542" s="26"/>
    </row>
    <row r="1543" ht="21" spans="1:3">
      <c r="A1543">
        <v>1542</v>
      </c>
      <c r="B1543" s="27" t="s">
        <v>16892</v>
      </c>
      <c r="C1543" s="26"/>
    </row>
    <row r="1544" ht="21" spans="1:3">
      <c r="A1544">
        <v>1543</v>
      </c>
      <c r="B1544" s="27" t="s">
        <v>16892</v>
      </c>
      <c r="C1544" s="26"/>
    </row>
    <row r="1545" ht="21" spans="1:3">
      <c r="A1545">
        <v>1544</v>
      </c>
      <c r="B1545" s="25" t="s">
        <v>16892</v>
      </c>
      <c r="C1545" s="26"/>
    </row>
    <row r="1546" ht="21" spans="1:3">
      <c r="A1546">
        <v>1545</v>
      </c>
      <c r="B1546" s="25" t="s">
        <v>16892</v>
      </c>
      <c r="C1546" s="26"/>
    </row>
    <row r="1547" ht="15.75" spans="1:3">
      <c r="A1547">
        <v>1546</v>
      </c>
      <c r="B1547" s="26"/>
      <c r="C1547" s="26"/>
    </row>
    <row r="1548" ht="21" spans="1:3">
      <c r="A1548">
        <v>1547</v>
      </c>
      <c r="B1548" s="27" t="s">
        <v>16892</v>
      </c>
      <c r="C1548" s="26"/>
    </row>
    <row r="1549" ht="21" spans="1:3">
      <c r="A1549">
        <v>1548</v>
      </c>
      <c r="B1549" s="25" t="s">
        <v>16892</v>
      </c>
      <c r="C1549" s="26"/>
    </row>
    <row r="1550" ht="21" spans="1:3">
      <c r="A1550">
        <v>1549</v>
      </c>
      <c r="B1550" s="27" t="s">
        <v>16892</v>
      </c>
      <c r="C1550" s="26"/>
    </row>
    <row r="1551" ht="21" spans="1:3">
      <c r="A1551">
        <v>1550</v>
      </c>
      <c r="B1551" s="25" t="s">
        <v>16892</v>
      </c>
      <c r="C1551" s="26"/>
    </row>
    <row r="1552" ht="21" spans="1:3">
      <c r="A1552">
        <v>1551</v>
      </c>
      <c r="B1552" s="27" t="s">
        <v>16892</v>
      </c>
      <c r="C1552" s="26"/>
    </row>
    <row r="1553" ht="21" spans="1:3">
      <c r="A1553">
        <v>1552</v>
      </c>
      <c r="B1553" s="27" t="s">
        <v>16892</v>
      </c>
      <c r="C1553" s="26"/>
    </row>
    <row r="1554" ht="21" spans="1:3">
      <c r="A1554">
        <v>1553</v>
      </c>
      <c r="B1554" s="25" t="s">
        <v>16892</v>
      </c>
      <c r="C1554" s="26"/>
    </row>
    <row r="1555" ht="21" spans="1:3">
      <c r="A1555">
        <v>1554</v>
      </c>
      <c r="B1555" s="25" t="s">
        <v>16892</v>
      </c>
      <c r="C1555" s="26"/>
    </row>
    <row r="1556" ht="21" spans="1:3">
      <c r="A1556">
        <v>1555</v>
      </c>
      <c r="B1556" s="27" t="s">
        <v>16892</v>
      </c>
      <c r="C1556" s="26"/>
    </row>
    <row r="1557" ht="15.75" spans="1:3">
      <c r="A1557">
        <v>1556</v>
      </c>
      <c r="B1557" s="26"/>
      <c r="C1557" s="26"/>
    </row>
    <row r="1558" ht="21" spans="1:3">
      <c r="A1558">
        <v>1557</v>
      </c>
      <c r="B1558" s="27" t="s">
        <v>16892</v>
      </c>
      <c r="C1558" s="26"/>
    </row>
    <row r="1559" ht="21" spans="1:3">
      <c r="A1559">
        <v>1558</v>
      </c>
      <c r="B1559" s="25" t="s">
        <v>16892</v>
      </c>
      <c r="C1559" s="26"/>
    </row>
    <row r="1560" ht="21" spans="1:3">
      <c r="A1560">
        <v>1559</v>
      </c>
      <c r="B1560" s="27" t="s">
        <v>16892</v>
      </c>
      <c r="C1560" s="26"/>
    </row>
    <row r="1561" ht="15.75" spans="1:3">
      <c r="A1561">
        <v>1560</v>
      </c>
      <c r="B1561" s="26"/>
      <c r="C1561" s="26"/>
    </row>
    <row r="1562" ht="15.75" spans="1:3">
      <c r="A1562">
        <v>1561</v>
      </c>
      <c r="B1562" s="26"/>
      <c r="C1562" s="26"/>
    </row>
    <row r="1563" ht="15.75" spans="1:3">
      <c r="A1563">
        <v>1562</v>
      </c>
      <c r="B1563" s="26"/>
      <c r="C1563" s="26"/>
    </row>
    <row r="1564" ht="18.75" spans="1:3">
      <c r="A1564">
        <v>1563</v>
      </c>
      <c r="B1564" s="31" t="str">
        <f>IFERROR(__xludf.DUMMYFUNCTION("""COMPUTED_VALUE"""),"Selam Ashenafi")</f>
        <v>Selam Ashenafi</v>
      </c>
      <c r="C1564" s="30">
        <v>923769740</v>
      </c>
    </row>
    <row r="1565" ht="21" spans="1:3">
      <c r="A1565">
        <v>1564</v>
      </c>
      <c r="B1565" s="27" t="s">
        <v>16892</v>
      </c>
      <c r="C1565" s="26"/>
    </row>
    <row r="1566" ht="21" spans="1:3">
      <c r="A1566">
        <v>1565</v>
      </c>
      <c r="B1566" s="27" t="s">
        <v>16892</v>
      </c>
      <c r="C1566" s="26"/>
    </row>
    <row r="1567" ht="18" spans="1:3">
      <c r="A1567">
        <v>1566</v>
      </c>
      <c r="B1567" s="32" t="str">
        <f>IFERROR(__xludf.DUMMYFUNCTION("""COMPUTED_VALUE"""),"tefera hailu")</f>
        <v>tefera hailu</v>
      </c>
      <c r="C1567" s="32">
        <v>991189180</v>
      </c>
    </row>
    <row r="1568" ht="21" spans="1:3">
      <c r="A1568">
        <v>1567</v>
      </c>
      <c r="B1568" s="25" t="s">
        <v>16892</v>
      </c>
      <c r="C1568" s="26"/>
    </row>
    <row r="1569" ht="15.75" spans="1:3">
      <c r="A1569">
        <v>1568</v>
      </c>
      <c r="B1569" s="29"/>
      <c r="C1569" s="29"/>
    </row>
    <row r="1570" ht="15.75" spans="1:3">
      <c r="A1570">
        <v>1569</v>
      </c>
      <c r="B1570" s="29"/>
      <c r="C1570" s="29"/>
    </row>
    <row r="1571" ht="15.75" spans="1:3">
      <c r="A1571">
        <v>1570</v>
      </c>
      <c r="B1571" s="29"/>
      <c r="C1571" s="29"/>
    </row>
    <row r="1572" ht="15.75" spans="1:3">
      <c r="A1572">
        <v>1571</v>
      </c>
      <c r="B1572" s="29"/>
      <c r="C1572" s="29"/>
    </row>
    <row r="1573" ht="15.75" spans="1:3">
      <c r="A1573">
        <v>1572</v>
      </c>
      <c r="B1573" s="26"/>
      <c r="C1573" s="26"/>
    </row>
    <row r="1574" ht="15.75" spans="1:3">
      <c r="A1574">
        <v>1573</v>
      </c>
      <c r="B1574" s="26"/>
      <c r="C1574" s="26"/>
    </row>
    <row r="1575" ht="15.75" spans="1:3">
      <c r="A1575">
        <v>1574</v>
      </c>
      <c r="B1575" s="26"/>
      <c r="C1575" s="26"/>
    </row>
    <row r="1576" ht="15.75" spans="1:3">
      <c r="A1576">
        <v>1575</v>
      </c>
      <c r="B1576" s="26"/>
      <c r="C1576" s="26"/>
    </row>
    <row r="1577" ht="15.75" spans="1:3">
      <c r="A1577">
        <v>1576</v>
      </c>
      <c r="B1577" s="26"/>
      <c r="C1577" s="26"/>
    </row>
    <row r="1578" ht="15.75" spans="1:3">
      <c r="A1578">
        <v>1577</v>
      </c>
      <c r="B1578" s="26"/>
      <c r="C1578" s="26"/>
    </row>
    <row r="1579" ht="15.75" spans="1:3">
      <c r="A1579">
        <v>1578</v>
      </c>
      <c r="B1579" s="26"/>
      <c r="C1579" s="26"/>
    </row>
    <row r="1580" ht="15.75" spans="1:3">
      <c r="A1580">
        <v>1579</v>
      </c>
      <c r="B1580" s="29"/>
      <c r="C1580" s="29"/>
    </row>
    <row r="1581" ht="15.75" spans="1:3">
      <c r="A1581">
        <v>1580</v>
      </c>
      <c r="B1581" s="29"/>
      <c r="C1581" s="29"/>
    </row>
    <row r="1582" ht="15.75" spans="1:3">
      <c r="A1582">
        <v>1581</v>
      </c>
      <c r="B1582" s="26"/>
      <c r="C1582" s="26"/>
    </row>
    <row r="1583" ht="21" spans="1:3">
      <c r="A1583">
        <v>1582</v>
      </c>
      <c r="B1583" s="27" t="s">
        <v>16892</v>
      </c>
      <c r="C1583" s="26"/>
    </row>
    <row r="1584" ht="15.75" spans="1:3">
      <c r="A1584">
        <v>1583</v>
      </c>
      <c r="B1584" s="26"/>
      <c r="C1584" s="26"/>
    </row>
    <row r="1585" ht="18.75" spans="1:3">
      <c r="A1585">
        <v>1584</v>
      </c>
      <c r="B1585" s="30" t="str">
        <f>IFERROR(__xludf.DUMMYFUNCTION("""COMPUTED_VALUE"""),"woyineshet teshome")</f>
        <v>woyineshet teshome</v>
      </c>
      <c r="C1585" s="30">
        <v>925361383</v>
      </c>
    </row>
    <row r="1586" ht="15.75" spans="1:3">
      <c r="A1586">
        <v>1585</v>
      </c>
      <c r="B1586" s="26"/>
      <c r="C1586" s="26"/>
    </row>
    <row r="1587" ht="15.75" spans="1:3">
      <c r="A1587">
        <v>1586</v>
      </c>
      <c r="B1587" s="26"/>
      <c r="C1587" s="26"/>
    </row>
    <row r="1588" ht="15.75" spans="1:3">
      <c r="A1588">
        <v>1587</v>
      </c>
      <c r="B1588" s="26"/>
      <c r="C1588" s="26"/>
    </row>
    <row r="1589" ht="15.75" spans="1:3">
      <c r="A1589">
        <v>1588</v>
      </c>
      <c r="B1589" s="26"/>
      <c r="C1589" s="26"/>
    </row>
    <row r="1590" ht="15.75" spans="1:3">
      <c r="A1590">
        <v>1589</v>
      </c>
      <c r="B1590" s="26"/>
      <c r="C1590" s="26"/>
    </row>
    <row r="1591" ht="15.75" spans="1:3">
      <c r="A1591">
        <v>1590</v>
      </c>
      <c r="B1591" s="26"/>
      <c r="C1591" s="26"/>
    </row>
    <row r="1592" ht="21" spans="1:3">
      <c r="A1592">
        <v>1591</v>
      </c>
      <c r="B1592" s="25" t="s">
        <v>16892</v>
      </c>
      <c r="C1592" s="26"/>
    </row>
    <row r="1593" ht="21" spans="1:3">
      <c r="A1593">
        <v>1592</v>
      </c>
      <c r="B1593" s="25" t="s">
        <v>16892</v>
      </c>
      <c r="C1593" s="26"/>
    </row>
    <row r="1594" ht="21" spans="1:3">
      <c r="A1594">
        <v>1593</v>
      </c>
      <c r="B1594" s="25" t="s">
        <v>16892</v>
      </c>
      <c r="C1594" s="26"/>
    </row>
    <row r="1595" ht="21" spans="1:3">
      <c r="A1595">
        <v>1594</v>
      </c>
      <c r="B1595" s="25" t="s">
        <v>16892</v>
      </c>
      <c r="C1595" s="26"/>
    </row>
    <row r="1596" ht="21" spans="1:3">
      <c r="A1596">
        <v>1595</v>
      </c>
      <c r="B1596" s="25" t="s">
        <v>16892</v>
      </c>
      <c r="C1596" s="26"/>
    </row>
    <row r="1597" ht="21" spans="1:3">
      <c r="A1597">
        <v>1596</v>
      </c>
      <c r="B1597" s="27" t="s">
        <v>16892</v>
      </c>
      <c r="C1597" s="26"/>
    </row>
    <row r="1598" ht="21" spans="1:3">
      <c r="A1598">
        <v>1597</v>
      </c>
      <c r="B1598" s="25" t="s">
        <v>16892</v>
      </c>
      <c r="C1598" s="26"/>
    </row>
    <row r="1599" ht="15.75" spans="1:3">
      <c r="A1599">
        <v>1598</v>
      </c>
      <c r="B1599" s="26"/>
      <c r="C1599" s="26"/>
    </row>
    <row r="1600" ht="21" spans="1:3">
      <c r="A1600">
        <v>1599</v>
      </c>
      <c r="B1600" s="27" t="s">
        <v>16892</v>
      </c>
      <c r="C1600" s="26"/>
    </row>
    <row r="1601" ht="21" spans="1:3">
      <c r="A1601">
        <v>1600</v>
      </c>
      <c r="B1601" s="25" t="s">
        <v>16892</v>
      </c>
      <c r="C1601" s="26"/>
    </row>
    <row r="1602" ht="21" spans="1:3">
      <c r="A1602">
        <v>1601</v>
      </c>
      <c r="B1602" s="25" t="s">
        <v>16892</v>
      </c>
      <c r="C1602" s="26"/>
    </row>
    <row r="1603" ht="21" spans="1:3">
      <c r="A1603">
        <v>1602</v>
      </c>
      <c r="B1603" s="27" t="s">
        <v>16892</v>
      </c>
      <c r="C1603" s="26"/>
    </row>
    <row r="1604" ht="21" spans="1:3">
      <c r="A1604">
        <v>1603</v>
      </c>
      <c r="B1604" s="25" t="s">
        <v>16892</v>
      </c>
      <c r="C1604" s="26"/>
    </row>
    <row r="1605" ht="21" spans="1:3">
      <c r="A1605">
        <v>1604</v>
      </c>
      <c r="B1605" s="27" t="s">
        <v>16892</v>
      </c>
      <c r="C1605" s="26"/>
    </row>
    <row r="1606" ht="21" spans="1:3">
      <c r="A1606">
        <v>1605</v>
      </c>
      <c r="B1606" s="27" t="s">
        <v>16892</v>
      </c>
      <c r="C1606" s="26"/>
    </row>
    <row r="1607" ht="15.75" spans="1:3">
      <c r="A1607">
        <v>1606</v>
      </c>
      <c r="B1607" s="26"/>
      <c r="C1607" s="26"/>
    </row>
    <row r="1608" ht="21" spans="1:3">
      <c r="A1608">
        <v>1607</v>
      </c>
      <c r="B1608" s="25" t="s">
        <v>16892</v>
      </c>
      <c r="C1608" s="26"/>
    </row>
    <row r="1609" ht="21" spans="1:3">
      <c r="A1609">
        <v>1608</v>
      </c>
      <c r="B1609" s="25" t="s">
        <v>16892</v>
      </c>
      <c r="C1609" s="26"/>
    </row>
    <row r="1610" ht="21" spans="1:3">
      <c r="A1610">
        <v>1609</v>
      </c>
      <c r="B1610" s="25" t="s">
        <v>16892</v>
      </c>
      <c r="C1610" s="26"/>
    </row>
    <row r="1611" ht="21" spans="1:3">
      <c r="A1611">
        <v>1610</v>
      </c>
      <c r="B1611" s="25" t="s">
        <v>16892</v>
      </c>
      <c r="C1611" s="26"/>
    </row>
    <row r="1612" ht="21" spans="1:3">
      <c r="A1612">
        <v>1611</v>
      </c>
      <c r="B1612" s="25" t="s">
        <v>16892</v>
      </c>
      <c r="C1612" s="26"/>
    </row>
    <row r="1613" ht="15.75" spans="1:3">
      <c r="A1613">
        <v>1612</v>
      </c>
      <c r="B1613" s="26"/>
      <c r="C1613" s="26"/>
    </row>
    <row r="1614" ht="15.75" spans="1:3">
      <c r="A1614">
        <v>1613</v>
      </c>
      <c r="B1614" s="26"/>
      <c r="C1614" s="26"/>
    </row>
    <row r="1615" ht="15.75" spans="1:3">
      <c r="A1615">
        <v>1614</v>
      </c>
      <c r="B1615" s="26"/>
      <c r="C1615" s="26"/>
    </row>
    <row r="1616" ht="15.75" spans="1:3">
      <c r="A1616">
        <v>1615</v>
      </c>
      <c r="B1616" s="26"/>
      <c r="C1616" s="26"/>
    </row>
    <row r="1617" ht="15.75" spans="1:3">
      <c r="A1617">
        <v>1616</v>
      </c>
      <c r="B1617" s="26"/>
      <c r="C1617" s="26"/>
    </row>
    <row r="1618" ht="21" spans="1:3">
      <c r="A1618">
        <v>1617</v>
      </c>
      <c r="B1618" s="27" t="s">
        <v>16892</v>
      </c>
      <c r="C1618" s="26"/>
    </row>
    <row r="1619" ht="21" spans="1:3">
      <c r="A1619">
        <v>1618</v>
      </c>
      <c r="B1619" s="27" t="s">
        <v>16892</v>
      </c>
      <c r="C1619" s="26"/>
    </row>
    <row r="1620" ht="21" spans="1:3">
      <c r="A1620">
        <v>1619</v>
      </c>
      <c r="B1620" s="27" t="s">
        <v>16892</v>
      </c>
      <c r="C1620" s="26"/>
    </row>
    <row r="1621" ht="21" spans="1:3">
      <c r="A1621">
        <v>1620</v>
      </c>
      <c r="B1621" s="27" t="s">
        <v>16892</v>
      </c>
      <c r="C1621" s="26"/>
    </row>
    <row r="1622" ht="21" spans="1:3">
      <c r="A1622">
        <v>1621</v>
      </c>
      <c r="B1622" s="27" t="s">
        <v>16892</v>
      </c>
      <c r="C1622" s="26"/>
    </row>
    <row r="1623" ht="15.75" spans="1:3">
      <c r="A1623">
        <v>1622</v>
      </c>
      <c r="B1623" s="26"/>
      <c r="C1623" s="26"/>
    </row>
    <row r="1624" ht="21" spans="1:3">
      <c r="A1624">
        <v>1623</v>
      </c>
      <c r="B1624" s="27" t="s">
        <v>16892</v>
      </c>
      <c r="C1624" s="26"/>
    </row>
    <row r="1625" ht="18.75" spans="1:3">
      <c r="A1625">
        <v>1624</v>
      </c>
      <c r="B1625" s="31" t="str">
        <f>IFERROR(__xludf.DUMMYFUNCTION("""COMPUTED_VALUE"""),"Semahgn Desalgn")</f>
        <v>Semahgn Desalgn</v>
      </c>
      <c r="C1625" s="30">
        <v>911313139</v>
      </c>
    </row>
    <row r="1626" ht="18.75" spans="1:3">
      <c r="A1626">
        <v>1625</v>
      </c>
      <c r="B1626" s="31" t="str">
        <f>IFERROR(__xludf.DUMMYFUNCTION("""COMPUTED_VALUE"""),"Semahgn Desalgn")</f>
        <v>Semahgn Desalgn</v>
      </c>
      <c r="C1626" s="30">
        <v>911313139</v>
      </c>
    </row>
    <row r="1627" ht="21" spans="1:3">
      <c r="A1627">
        <v>1626</v>
      </c>
      <c r="B1627" s="27" t="s">
        <v>16892</v>
      </c>
      <c r="C1627" s="26"/>
    </row>
    <row r="1628" ht="21" spans="1:3">
      <c r="A1628">
        <v>1627</v>
      </c>
      <c r="B1628" s="25" t="s">
        <v>16892</v>
      </c>
      <c r="C1628" s="26"/>
    </row>
    <row r="1629" ht="21" spans="1:3">
      <c r="A1629">
        <v>1628</v>
      </c>
      <c r="B1629" s="25" t="s">
        <v>16892</v>
      </c>
      <c r="C1629" s="26"/>
    </row>
    <row r="1630" ht="15.75" spans="1:3">
      <c r="A1630">
        <v>1629</v>
      </c>
      <c r="B1630" s="26"/>
      <c r="C1630" s="26"/>
    </row>
    <row r="1631" ht="21" spans="1:3">
      <c r="A1631">
        <v>1630</v>
      </c>
      <c r="B1631" s="25" t="s">
        <v>16892</v>
      </c>
      <c r="C1631" s="26"/>
    </row>
    <row r="1632" ht="21" spans="1:3">
      <c r="A1632">
        <v>1631</v>
      </c>
      <c r="B1632" s="25" t="s">
        <v>16892</v>
      </c>
      <c r="C1632" s="26"/>
    </row>
    <row r="1633" ht="21" spans="1:3">
      <c r="A1633">
        <v>1632</v>
      </c>
      <c r="B1633" s="25" t="s">
        <v>16892</v>
      </c>
      <c r="C1633" s="26"/>
    </row>
    <row r="1634" ht="21" spans="1:3">
      <c r="A1634">
        <v>1633</v>
      </c>
      <c r="B1634" s="27" t="s">
        <v>16892</v>
      </c>
      <c r="C1634" s="26"/>
    </row>
    <row r="1635" ht="15.75" spans="1:3">
      <c r="A1635">
        <v>1634</v>
      </c>
      <c r="B1635" s="26"/>
      <c r="C1635" s="26"/>
    </row>
    <row r="1636" ht="15.75" spans="1:3">
      <c r="A1636">
        <v>1635</v>
      </c>
      <c r="B1636" s="26"/>
      <c r="C1636" s="26"/>
    </row>
    <row r="1637" ht="15.75" spans="1:3">
      <c r="A1637">
        <v>1636</v>
      </c>
      <c r="B1637" s="26"/>
      <c r="C1637" s="26"/>
    </row>
    <row r="1638" ht="15.75" spans="1:3">
      <c r="A1638">
        <v>1637</v>
      </c>
      <c r="B1638" s="26"/>
      <c r="C1638" s="26"/>
    </row>
    <row r="1639" ht="21" spans="1:3">
      <c r="A1639">
        <v>1638</v>
      </c>
      <c r="B1639" s="25" t="s">
        <v>16892</v>
      </c>
      <c r="C1639" s="26"/>
    </row>
    <row r="1640" ht="21" spans="1:3">
      <c r="A1640">
        <v>1639</v>
      </c>
      <c r="B1640" s="27" t="s">
        <v>16892</v>
      </c>
      <c r="C1640" s="26"/>
    </row>
    <row r="1641" ht="21" spans="1:3">
      <c r="A1641">
        <v>1640</v>
      </c>
      <c r="B1641" s="27" t="s">
        <v>16892</v>
      </c>
      <c r="C1641" s="26"/>
    </row>
    <row r="1642" ht="21" spans="1:3">
      <c r="A1642">
        <v>1641</v>
      </c>
      <c r="B1642" s="25" t="s">
        <v>16892</v>
      </c>
      <c r="C1642" s="26"/>
    </row>
    <row r="1643" ht="15.75" spans="1:3">
      <c r="A1643">
        <v>1642</v>
      </c>
      <c r="B1643" s="26"/>
      <c r="C1643" s="26"/>
    </row>
    <row r="1644" ht="15.75" spans="1:3">
      <c r="A1644">
        <v>1643</v>
      </c>
      <c r="B1644" s="26"/>
      <c r="C1644" s="26"/>
    </row>
    <row r="1645" ht="21" spans="1:3">
      <c r="A1645">
        <v>1644</v>
      </c>
      <c r="B1645" s="27" t="s">
        <v>16892</v>
      </c>
      <c r="C1645" s="26"/>
    </row>
    <row r="1646" ht="21" spans="1:3">
      <c r="A1646">
        <v>1645</v>
      </c>
      <c r="B1646" s="25" t="s">
        <v>16892</v>
      </c>
      <c r="C1646" s="26"/>
    </row>
    <row r="1647" ht="21" spans="1:3">
      <c r="A1647">
        <v>1646</v>
      </c>
      <c r="B1647" s="27" t="s">
        <v>16892</v>
      </c>
      <c r="C1647" s="26"/>
    </row>
    <row r="1648" ht="15.75" spans="1:3">
      <c r="A1648">
        <v>1647</v>
      </c>
      <c r="B1648" s="26"/>
      <c r="C1648" s="26"/>
    </row>
    <row r="1649" ht="18" spans="1:3">
      <c r="A1649">
        <v>1648</v>
      </c>
      <c r="B1649" s="31" t="str">
        <f>IFERROR(__xludf.DUMMYFUNCTION("""COMPUTED_VALUE"""),"Mesfin Feleke")</f>
        <v>Mesfin Feleke</v>
      </c>
      <c r="C1649" s="31">
        <v>911374134</v>
      </c>
    </row>
    <row r="1650" ht="15.75" spans="1:3">
      <c r="A1650">
        <v>1649</v>
      </c>
      <c r="B1650" s="26"/>
      <c r="C1650" s="26"/>
    </row>
    <row r="1651" ht="15.75" spans="1:3">
      <c r="A1651">
        <v>1650</v>
      </c>
      <c r="B1651" s="26"/>
      <c r="C1651" s="26"/>
    </row>
    <row r="1652" ht="15.75" spans="1:3">
      <c r="A1652">
        <v>1651</v>
      </c>
      <c r="B1652" s="26"/>
      <c r="C1652" s="26"/>
    </row>
    <row r="1653" ht="15.75" spans="1:3">
      <c r="A1653">
        <v>1652</v>
      </c>
      <c r="B1653" s="26"/>
      <c r="C1653" s="26"/>
    </row>
    <row r="1654" ht="21" spans="1:3">
      <c r="A1654">
        <v>1653</v>
      </c>
      <c r="B1654" s="27" t="s">
        <v>16892</v>
      </c>
      <c r="C1654" s="26"/>
    </row>
    <row r="1655" ht="21" spans="1:3">
      <c r="A1655">
        <v>1654</v>
      </c>
      <c r="B1655" s="25" t="s">
        <v>16892</v>
      </c>
      <c r="C1655" s="26"/>
    </row>
    <row r="1656" ht="15.75" spans="1:3">
      <c r="A1656">
        <v>1655</v>
      </c>
      <c r="B1656" s="26"/>
      <c r="C1656" s="26"/>
    </row>
    <row r="1657" ht="21" spans="1:3">
      <c r="A1657">
        <v>1656</v>
      </c>
      <c r="B1657" s="27" t="s">
        <v>16892</v>
      </c>
      <c r="C1657" s="26"/>
    </row>
    <row r="1658" ht="21" spans="1:3">
      <c r="A1658">
        <v>1657</v>
      </c>
      <c r="B1658" s="27" t="s">
        <v>16892</v>
      </c>
      <c r="C1658" s="26"/>
    </row>
    <row r="1659" ht="15.75" spans="1:3">
      <c r="A1659">
        <v>1658</v>
      </c>
      <c r="B1659" s="26"/>
      <c r="C1659" s="26"/>
    </row>
    <row r="1660" ht="18" spans="1:3">
      <c r="A1660">
        <v>1659</v>
      </c>
      <c r="B1660" s="32" t="str">
        <f>IFERROR(__xludf.DUMMYFUNCTION("""COMPUTED_VALUE"""),"tsigereda fisha")</f>
        <v>tsigereda fisha</v>
      </c>
      <c r="C1660" s="32">
        <v>963294069</v>
      </c>
    </row>
    <row r="1661" ht="21" spans="1:3">
      <c r="A1661">
        <v>1660</v>
      </c>
      <c r="B1661" s="27" t="s">
        <v>16892</v>
      </c>
      <c r="C1661" s="26"/>
    </row>
    <row r="1662" ht="15.75" spans="1:3">
      <c r="A1662">
        <v>1661</v>
      </c>
      <c r="B1662" s="26"/>
      <c r="C1662" s="26"/>
    </row>
    <row r="1663" ht="15.75" spans="1:3">
      <c r="A1663">
        <v>1662</v>
      </c>
      <c r="B1663" s="26"/>
      <c r="C1663" s="26"/>
    </row>
    <row r="1664" ht="15.75" spans="1:3">
      <c r="A1664">
        <v>1663</v>
      </c>
      <c r="B1664" s="26"/>
      <c r="C1664" s="26"/>
    </row>
    <row r="1665" ht="15.75" spans="1:3">
      <c r="A1665">
        <v>1664</v>
      </c>
      <c r="B1665" s="26"/>
      <c r="C1665" s="26"/>
    </row>
    <row r="1666" ht="15.75" spans="1:3">
      <c r="A1666">
        <v>1665</v>
      </c>
      <c r="B1666" s="26"/>
      <c r="C1666" s="26"/>
    </row>
    <row r="1667" ht="15.75" spans="1:3">
      <c r="A1667">
        <v>1666</v>
      </c>
      <c r="B1667" s="29"/>
      <c r="C1667" s="29"/>
    </row>
    <row r="1668" ht="15.75" spans="1:3">
      <c r="A1668">
        <v>1667</v>
      </c>
      <c r="B1668" s="29"/>
      <c r="C1668" s="29"/>
    </row>
    <row r="1669" ht="21" spans="1:3">
      <c r="A1669">
        <v>1668</v>
      </c>
      <c r="B1669" s="27" t="s">
        <v>16892</v>
      </c>
      <c r="C1669" s="26"/>
    </row>
    <row r="1670" ht="21" spans="1:3">
      <c r="A1670">
        <v>1669</v>
      </c>
      <c r="B1670" s="25" t="s">
        <v>16892</v>
      </c>
      <c r="C1670" s="26"/>
    </row>
    <row r="1671" ht="21" spans="1:3">
      <c r="A1671">
        <v>1670</v>
      </c>
      <c r="B1671" s="25" t="s">
        <v>16892</v>
      </c>
      <c r="C1671" s="26"/>
    </row>
    <row r="1672" ht="21" spans="1:3">
      <c r="A1672">
        <v>1671</v>
      </c>
      <c r="B1672" s="25" t="s">
        <v>16892</v>
      </c>
      <c r="C1672" s="26"/>
    </row>
    <row r="1673" ht="21" spans="1:3">
      <c r="A1673">
        <v>1672</v>
      </c>
      <c r="B1673" s="27" t="s">
        <v>16892</v>
      </c>
      <c r="C1673" s="26"/>
    </row>
    <row r="1674" ht="15.75" spans="1:3">
      <c r="A1674">
        <v>1673</v>
      </c>
      <c r="B1674" s="26"/>
      <c r="C1674" s="26"/>
    </row>
    <row r="1675" ht="21" spans="1:3">
      <c r="A1675">
        <v>1674</v>
      </c>
      <c r="B1675" s="27" t="s">
        <v>16892</v>
      </c>
      <c r="C1675" s="26"/>
    </row>
    <row r="1676" ht="15.75" spans="1:3">
      <c r="A1676">
        <v>1675</v>
      </c>
      <c r="B1676" s="26"/>
      <c r="C1676" s="26"/>
    </row>
    <row r="1677" ht="21" spans="1:3">
      <c r="A1677">
        <v>1676</v>
      </c>
      <c r="B1677" s="25" t="s">
        <v>16892</v>
      </c>
      <c r="C1677" s="26"/>
    </row>
    <row r="1678" ht="21" spans="1:3">
      <c r="A1678">
        <v>1677</v>
      </c>
      <c r="B1678" s="25" t="s">
        <v>16892</v>
      </c>
      <c r="C1678" s="26"/>
    </row>
    <row r="1679" ht="21" spans="1:3">
      <c r="A1679">
        <v>1678</v>
      </c>
      <c r="B1679" s="27" t="s">
        <v>16912</v>
      </c>
      <c r="C1679" s="26"/>
    </row>
    <row r="1680" ht="21" spans="1:3">
      <c r="A1680">
        <v>1679</v>
      </c>
      <c r="B1680" s="27" t="s">
        <v>16892</v>
      </c>
      <c r="C1680" s="26"/>
    </row>
    <row r="1681" ht="21" spans="1:3">
      <c r="A1681">
        <v>1680</v>
      </c>
      <c r="B1681" s="27" t="s">
        <v>16892</v>
      </c>
      <c r="C1681" s="26"/>
    </row>
    <row r="1682" ht="21" spans="1:3">
      <c r="A1682">
        <v>1681</v>
      </c>
      <c r="B1682" s="27" t="s">
        <v>16892</v>
      </c>
      <c r="C1682" s="26"/>
    </row>
    <row r="1683" ht="21" spans="1:3">
      <c r="A1683">
        <v>1682</v>
      </c>
      <c r="B1683" s="25" t="s">
        <v>16892</v>
      </c>
      <c r="C1683" s="26"/>
    </row>
    <row r="1684" ht="21" spans="1:3">
      <c r="A1684">
        <v>1683</v>
      </c>
      <c r="B1684" s="25" t="s">
        <v>16892</v>
      </c>
      <c r="C1684" s="26"/>
    </row>
    <row r="1685" ht="21" spans="1:3">
      <c r="A1685">
        <v>1684</v>
      </c>
      <c r="B1685" s="25" t="s">
        <v>16892</v>
      </c>
      <c r="C1685" s="26"/>
    </row>
    <row r="1686" ht="21" spans="1:3">
      <c r="A1686">
        <v>1685</v>
      </c>
      <c r="B1686" s="27" t="s">
        <v>16892</v>
      </c>
      <c r="C1686" s="26"/>
    </row>
    <row r="1687" ht="21" spans="1:3">
      <c r="A1687">
        <v>1686</v>
      </c>
      <c r="B1687" s="25" t="s">
        <v>16892</v>
      </c>
      <c r="C1687" s="26"/>
    </row>
    <row r="1688" ht="15.75" spans="1:3">
      <c r="A1688">
        <v>1687</v>
      </c>
      <c r="B1688" s="26"/>
      <c r="C1688" s="26"/>
    </row>
    <row r="1689" ht="15.75" spans="1:3">
      <c r="A1689">
        <v>1688</v>
      </c>
      <c r="B1689" s="26"/>
      <c r="C1689" s="26"/>
    </row>
    <row r="1690" ht="21" spans="1:3">
      <c r="A1690">
        <v>1689</v>
      </c>
      <c r="B1690" s="25" t="s">
        <v>16892</v>
      </c>
      <c r="C1690" s="26"/>
    </row>
    <row r="1691" ht="15.75" spans="1:3">
      <c r="A1691">
        <v>1690</v>
      </c>
      <c r="B1691" s="26"/>
      <c r="C1691" s="26"/>
    </row>
    <row r="1692" ht="15.75" spans="1:3">
      <c r="A1692">
        <v>1691</v>
      </c>
      <c r="B1692" s="26"/>
      <c r="C1692" s="26"/>
    </row>
    <row r="1693" ht="15.75" spans="1:3">
      <c r="A1693">
        <v>1692</v>
      </c>
      <c r="B1693" s="26"/>
      <c r="C1693" s="26"/>
    </row>
    <row r="1694" ht="21" spans="1:3">
      <c r="A1694">
        <v>1693</v>
      </c>
      <c r="B1694" s="27" t="s">
        <v>16892</v>
      </c>
      <c r="C1694" s="26"/>
    </row>
    <row r="1695" ht="15.75" spans="1:3">
      <c r="A1695">
        <v>1694</v>
      </c>
      <c r="B1695" s="26"/>
      <c r="C1695" s="26"/>
    </row>
    <row r="1696" ht="18.75" spans="1:3">
      <c r="A1696">
        <v>1695</v>
      </c>
      <c r="B1696" s="39"/>
      <c r="C1696" s="34"/>
    </row>
    <row r="1697" ht="18" spans="1:3">
      <c r="A1697">
        <v>1696</v>
      </c>
      <c r="B1697" s="39" t="str">
        <f>IFERROR(__xludf.DUMMYFUNCTION("""COMPUTED_VALUE"""),"Yosfe Tades")</f>
        <v>Yosfe Tades</v>
      </c>
      <c r="C1697" s="39">
        <v>910026377</v>
      </c>
    </row>
    <row r="1698" ht="15.75" spans="1:3">
      <c r="A1698">
        <v>1697</v>
      </c>
      <c r="B1698" s="26"/>
      <c r="C1698" s="26"/>
    </row>
    <row r="1699" ht="21" spans="1:3">
      <c r="A1699">
        <v>1698</v>
      </c>
      <c r="B1699" s="27" t="s">
        <v>16892</v>
      </c>
      <c r="C1699" s="26"/>
    </row>
    <row r="1700" ht="21" spans="1:3">
      <c r="A1700">
        <v>1699</v>
      </c>
      <c r="B1700" s="27" t="s">
        <v>16892</v>
      </c>
      <c r="C1700" s="26"/>
    </row>
    <row r="1701" ht="21" spans="1:3">
      <c r="A1701">
        <v>1700</v>
      </c>
      <c r="B1701" s="25" t="s">
        <v>16892</v>
      </c>
      <c r="C1701" s="26"/>
    </row>
    <row r="1702" ht="15.75" spans="1:3">
      <c r="A1702">
        <v>1701</v>
      </c>
      <c r="B1702" s="26"/>
      <c r="C1702" s="26"/>
    </row>
    <row r="1703" ht="21" spans="1:3">
      <c r="A1703">
        <v>1702</v>
      </c>
      <c r="B1703" s="25" t="s">
        <v>16892</v>
      </c>
      <c r="C1703" s="26"/>
    </row>
    <row r="1704" ht="21" spans="1:3">
      <c r="A1704">
        <v>1703</v>
      </c>
      <c r="B1704" s="25" t="s">
        <v>16892</v>
      </c>
      <c r="C1704" s="26"/>
    </row>
    <row r="1705" ht="21" spans="1:3">
      <c r="A1705">
        <v>1704</v>
      </c>
      <c r="B1705" s="27" t="s">
        <v>16892</v>
      </c>
      <c r="C1705" s="26"/>
    </row>
    <row r="1706" ht="21" spans="1:3">
      <c r="A1706">
        <v>1705</v>
      </c>
      <c r="B1706" s="27" t="s">
        <v>16892</v>
      </c>
      <c r="C1706" s="26"/>
    </row>
    <row r="1707" ht="21" spans="1:3">
      <c r="A1707">
        <v>1706</v>
      </c>
      <c r="B1707" s="25" t="s">
        <v>16892</v>
      </c>
      <c r="C1707" s="26"/>
    </row>
    <row r="1708" ht="15.75" spans="1:3">
      <c r="A1708">
        <v>1707</v>
      </c>
      <c r="B1708" s="26"/>
      <c r="C1708" s="26"/>
    </row>
    <row r="1709" ht="21" spans="1:3">
      <c r="A1709">
        <v>1708</v>
      </c>
      <c r="B1709" s="27" t="s">
        <v>16892</v>
      </c>
      <c r="C1709" s="26"/>
    </row>
    <row r="1710" ht="21" spans="1:3">
      <c r="A1710">
        <v>1709</v>
      </c>
      <c r="B1710" s="25" t="s">
        <v>16892</v>
      </c>
      <c r="C1710" s="26"/>
    </row>
    <row r="1711" ht="21" spans="1:3">
      <c r="A1711">
        <v>1710</v>
      </c>
      <c r="B1711" s="25" t="s">
        <v>16892</v>
      </c>
      <c r="C1711" s="26"/>
    </row>
    <row r="1712" ht="21" spans="1:3">
      <c r="A1712">
        <v>1711</v>
      </c>
      <c r="B1712" s="27" t="s">
        <v>16892</v>
      </c>
      <c r="C1712" s="26"/>
    </row>
    <row r="1713" ht="21" spans="1:3">
      <c r="A1713">
        <v>1712</v>
      </c>
      <c r="B1713" s="27" t="s">
        <v>16892</v>
      </c>
      <c r="C1713" s="26"/>
    </row>
    <row r="1714" ht="21" spans="1:3">
      <c r="A1714">
        <v>1713</v>
      </c>
      <c r="B1714" s="27" t="s">
        <v>16892</v>
      </c>
      <c r="C1714" s="26"/>
    </row>
    <row r="1715" ht="21" spans="1:3">
      <c r="A1715">
        <v>1714</v>
      </c>
      <c r="B1715" s="25" t="s">
        <v>16892</v>
      </c>
      <c r="C1715" s="26"/>
    </row>
    <row r="1716" ht="21" spans="1:3">
      <c r="A1716">
        <v>1715</v>
      </c>
      <c r="B1716" s="25" t="s">
        <v>16892</v>
      </c>
      <c r="C1716" s="26"/>
    </row>
    <row r="1717" ht="21" spans="1:3">
      <c r="A1717">
        <v>1716</v>
      </c>
      <c r="B1717" s="25" t="s">
        <v>16892</v>
      </c>
      <c r="C1717" s="26"/>
    </row>
    <row r="1718" ht="21" spans="1:3">
      <c r="A1718">
        <v>1717</v>
      </c>
      <c r="B1718" s="25" t="s">
        <v>16892</v>
      </c>
      <c r="C1718" s="26"/>
    </row>
    <row r="1719" ht="21" spans="1:3">
      <c r="A1719">
        <v>1718</v>
      </c>
      <c r="B1719" s="27" t="s">
        <v>16892</v>
      </c>
      <c r="C1719" s="26"/>
    </row>
    <row r="1720" ht="21" spans="1:3">
      <c r="A1720">
        <v>1719</v>
      </c>
      <c r="B1720" s="25" t="s">
        <v>16892</v>
      </c>
      <c r="C1720" s="26"/>
    </row>
    <row r="1721" ht="15.75" spans="1:3">
      <c r="A1721">
        <v>1720</v>
      </c>
      <c r="B1721" s="26"/>
      <c r="C1721" s="26"/>
    </row>
    <row r="1722" ht="15.75" spans="1:3">
      <c r="A1722">
        <v>1721</v>
      </c>
      <c r="B1722" s="26"/>
      <c r="C1722" s="26"/>
    </row>
    <row r="1723" ht="15.75" spans="1:3">
      <c r="A1723">
        <v>1722</v>
      </c>
      <c r="B1723" s="26"/>
      <c r="C1723" s="26"/>
    </row>
    <row r="1724" ht="15.75" spans="1:3">
      <c r="A1724">
        <v>1723</v>
      </c>
      <c r="B1724" s="26"/>
      <c r="C1724" s="26"/>
    </row>
    <row r="1725" ht="21" spans="1:3">
      <c r="A1725">
        <v>1724</v>
      </c>
      <c r="B1725" s="27" t="s">
        <v>16892</v>
      </c>
      <c r="C1725" s="26"/>
    </row>
    <row r="1726" ht="15.75" spans="1:3">
      <c r="A1726">
        <v>1725</v>
      </c>
      <c r="B1726" s="26"/>
      <c r="C1726" s="26"/>
    </row>
    <row r="1727" ht="15.75" spans="1:3">
      <c r="A1727">
        <v>1726</v>
      </c>
      <c r="B1727" s="26"/>
      <c r="C1727" s="26"/>
    </row>
    <row r="1728" ht="15.75" spans="1:3">
      <c r="A1728">
        <v>1727</v>
      </c>
      <c r="B1728" s="26"/>
      <c r="C1728" s="26"/>
    </row>
    <row r="1729" ht="18.75" spans="1:3">
      <c r="A1729">
        <v>1728</v>
      </c>
      <c r="B1729" s="31" t="str">
        <f>IFERROR(__xludf.DUMMYFUNCTION("""COMPUTED_VALUE"""),"zebib sebsbe")</f>
        <v>zebib sebsbe</v>
      </c>
      <c r="C1729" s="30">
        <v>923124965</v>
      </c>
    </row>
    <row r="1730" ht="15.75" spans="1:3">
      <c r="A1730">
        <v>1729</v>
      </c>
      <c r="B1730" s="26"/>
      <c r="C1730" s="26"/>
    </row>
    <row r="1731" ht="15.75" spans="1:3">
      <c r="A1731">
        <v>1730</v>
      </c>
      <c r="B1731" s="26"/>
      <c r="C1731" s="26"/>
    </row>
    <row r="1732" ht="15.75" spans="1:3">
      <c r="A1732">
        <v>1731</v>
      </c>
      <c r="B1732" s="26"/>
      <c r="C1732" s="26"/>
    </row>
    <row r="1733" ht="15.75" spans="1:3">
      <c r="A1733">
        <v>1732</v>
      </c>
      <c r="B1733" s="29"/>
      <c r="C1733" s="29"/>
    </row>
    <row r="1734" ht="15.75" spans="1:3">
      <c r="A1734">
        <v>1733</v>
      </c>
      <c r="B1734" s="29"/>
      <c r="C1734" s="29"/>
    </row>
    <row r="1735" ht="15.75" spans="1:3">
      <c r="A1735">
        <v>1734</v>
      </c>
      <c r="B1735" s="26"/>
      <c r="C1735" s="26"/>
    </row>
    <row r="1736" ht="15.75" spans="1:3">
      <c r="A1736">
        <v>1735</v>
      </c>
      <c r="B1736" s="26"/>
      <c r="C1736" s="26"/>
    </row>
    <row r="1737" ht="15.75" spans="1:3">
      <c r="A1737">
        <v>1736</v>
      </c>
      <c r="B1737" s="26"/>
      <c r="C1737" s="26"/>
    </row>
    <row r="1738" ht="15.75" spans="1:3">
      <c r="A1738">
        <v>1737</v>
      </c>
      <c r="B1738" s="26"/>
      <c r="C1738" s="26"/>
    </row>
    <row r="1739" ht="15.75" spans="1:3">
      <c r="A1739">
        <v>1738</v>
      </c>
      <c r="B1739" s="26"/>
      <c r="C1739" s="26"/>
    </row>
    <row r="1740" ht="15.75" spans="1:3">
      <c r="A1740">
        <v>1739</v>
      </c>
      <c r="B1740" s="26"/>
      <c r="C1740" s="26"/>
    </row>
    <row r="1741" ht="18" spans="1:3">
      <c r="A1741">
        <v>1740</v>
      </c>
      <c r="B1741" s="32" t="str">
        <f>IFERROR(__xludf.DUMMYFUNCTION("""COMPUTED_VALUE"""),"Messay Tadele")</f>
        <v>Messay Tadele</v>
      </c>
      <c r="C1741" s="32">
        <v>911901815</v>
      </c>
    </row>
    <row r="1742" ht="21" spans="1:3">
      <c r="A1742">
        <v>1741</v>
      </c>
      <c r="B1742" s="25" t="s">
        <v>16892</v>
      </c>
      <c r="C1742" s="26"/>
    </row>
    <row r="1743" ht="15.75" spans="1:3">
      <c r="A1743">
        <v>1742</v>
      </c>
      <c r="B1743" s="26"/>
      <c r="C1743" s="26"/>
    </row>
    <row r="1744" ht="18.75" spans="1:3">
      <c r="A1744">
        <v>1743</v>
      </c>
      <c r="B1744" s="31" t="str">
        <f>IFERROR(__xludf.DUMMYFUNCTION("""COMPUTED_VALUE"""),"Samrawit Asfaw")</f>
        <v>Samrawit Asfaw</v>
      </c>
      <c r="C1744" s="30">
        <v>922754523</v>
      </c>
    </row>
    <row r="1745" ht="18" spans="1:3">
      <c r="A1745">
        <v>1744</v>
      </c>
      <c r="B1745" s="31" t="str">
        <f>IFERROR(__xludf.DUMMYFUNCTION("""COMPUTED_VALUE"""),"TAGAY MENGISTU")</f>
        <v>TAGAY MENGISTU</v>
      </c>
      <c r="C1745" s="31">
        <v>924607886</v>
      </c>
    </row>
    <row r="1746" ht="15.75" spans="1:3">
      <c r="A1746">
        <v>1745</v>
      </c>
      <c r="B1746" s="26"/>
      <c r="C1746" s="26"/>
    </row>
    <row r="1747" ht="21" spans="1:3">
      <c r="A1747">
        <v>1746</v>
      </c>
      <c r="B1747" s="25" t="s">
        <v>16892</v>
      </c>
      <c r="C1747" s="26"/>
    </row>
    <row r="1748" ht="21" spans="1:3">
      <c r="A1748">
        <v>1747</v>
      </c>
      <c r="B1748" s="27" t="s">
        <v>16892</v>
      </c>
      <c r="C1748" s="26"/>
    </row>
    <row r="1749" ht="15.75" spans="1:3">
      <c r="A1749">
        <v>1748</v>
      </c>
      <c r="B1749" s="26"/>
      <c r="C1749" s="26"/>
    </row>
    <row r="1750" ht="15.75" spans="1:3">
      <c r="A1750">
        <v>1749</v>
      </c>
      <c r="B1750" s="26"/>
      <c r="C1750" s="26"/>
    </row>
    <row r="1751" ht="15.75" spans="1:3">
      <c r="A1751">
        <v>1750</v>
      </c>
      <c r="B1751" s="26"/>
      <c r="C1751" s="26"/>
    </row>
    <row r="1752" ht="21" spans="1:3">
      <c r="A1752">
        <v>1751</v>
      </c>
      <c r="B1752" s="27" t="s">
        <v>16892</v>
      </c>
      <c r="C1752" s="26"/>
    </row>
    <row r="1753" ht="15.75" spans="1:3">
      <c r="A1753">
        <v>1752</v>
      </c>
      <c r="B1753" s="26"/>
      <c r="C1753" s="26"/>
    </row>
    <row r="1754" ht="15.75" spans="1:3">
      <c r="A1754">
        <v>1753</v>
      </c>
      <c r="B1754" s="26"/>
      <c r="C1754" s="26"/>
    </row>
    <row r="1755" ht="15.75" spans="1:3">
      <c r="A1755">
        <v>1754</v>
      </c>
      <c r="B1755" s="26"/>
      <c r="C1755" s="26"/>
    </row>
    <row r="1756" ht="15.75" spans="1:3">
      <c r="A1756">
        <v>1755</v>
      </c>
      <c r="B1756" s="26"/>
      <c r="C1756" s="26"/>
    </row>
    <row r="1757" ht="18.75" spans="1:3">
      <c r="A1757">
        <v>1756</v>
      </c>
      <c r="B1757" s="31" t="str">
        <f>IFERROR(__xludf.DUMMYFUNCTION("""COMPUTED_VALUE"""),"dawit getachew")</f>
        <v>dawit getachew</v>
      </c>
      <c r="C1757" s="30"/>
    </row>
    <row r="1758" ht="18.75" spans="1:3">
      <c r="A1758">
        <v>1757</v>
      </c>
      <c r="B1758" s="31" t="str">
        <f>IFERROR(__xludf.DUMMYFUNCTION("""COMPUTED_VALUE"""),"Semahgn Desalgn")</f>
        <v>Semahgn Desalgn</v>
      </c>
      <c r="C1758" s="30">
        <v>911313139</v>
      </c>
    </row>
    <row r="1759" ht="15.75" spans="1:3">
      <c r="A1759">
        <v>1758</v>
      </c>
      <c r="B1759" s="26"/>
      <c r="C1759" s="26"/>
    </row>
    <row r="1760" ht="15.75" spans="1:3">
      <c r="A1760">
        <v>1759</v>
      </c>
      <c r="B1760" s="26"/>
      <c r="C1760" s="26"/>
    </row>
    <row r="1761" ht="15.75" spans="1:3">
      <c r="A1761">
        <v>1760</v>
      </c>
      <c r="B1761" s="26"/>
      <c r="C1761" s="26"/>
    </row>
    <row r="1762" ht="15.75" spans="1:3">
      <c r="A1762">
        <v>1761</v>
      </c>
      <c r="B1762" s="26"/>
      <c r="C1762" s="26"/>
    </row>
    <row r="1763" ht="21" spans="1:3">
      <c r="A1763">
        <v>1762</v>
      </c>
      <c r="B1763" s="27" t="s">
        <v>16892</v>
      </c>
      <c r="C1763" s="26"/>
    </row>
    <row r="1764" ht="21" spans="1:3">
      <c r="A1764">
        <v>1763</v>
      </c>
      <c r="B1764" s="27" t="s">
        <v>16892</v>
      </c>
      <c r="C1764" s="26"/>
    </row>
    <row r="1765" ht="21" spans="1:3">
      <c r="A1765">
        <v>1764</v>
      </c>
      <c r="B1765" s="25" t="s">
        <v>16892</v>
      </c>
      <c r="C1765" s="26"/>
    </row>
    <row r="1766" ht="21" spans="1:3">
      <c r="A1766">
        <v>1765</v>
      </c>
      <c r="B1766" s="27" t="s">
        <v>16892</v>
      </c>
      <c r="C1766" s="26"/>
    </row>
    <row r="1767" ht="21" spans="1:3">
      <c r="A1767">
        <v>1766</v>
      </c>
      <c r="B1767" s="25" t="s">
        <v>16892</v>
      </c>
      <c r="C1767" s="26"/>
    </row>
    <row r="1768" ht="21" spans="1:3">
      <c r="A1768">
        <v>1767</v>
      </c>
      <c r="B1768" s="25" t="s">
        <v>16892</v>
      </c>
      <c r="C1768" s="26"/>
    </row>
    <row r="1769" ht="21" spans="1:3">
      <c r="A1769">
        <v>1768</v>
      </c>
      <c r="B1769" s="25" t="s">
        <v>16892</v>
      </c>
      <c r="C1769" s="26"/>
    </row>
    <row r="1770" ht="21" spans="1:3">
      <c r="A1770">
        <v>1769</v>
      </c>
      <c r="B1770" s="27" t="s">
        <v>16892</v>
      </c>
      <c r="C1770" s="26"/>
    </row>
    <row r="1771" ht="21" spans="1:3">
      <c r="A1771">
        <v>1770</v>
      </c>
      <c r="B1771" s="27" t="s">
        <v>16892</v>
      </c>
      <c r="C1771" s="26"/>
    </row>
    <row r="1772" ht="21" spans="1:3">
      <c r="A1772">
        <v>1771</v>
      </c>
      <c r="B1772" s="25" t="s">
        <v>16892</v>
      </c>
      <c r="C1772" s="26"/>
    </row>
    <row r="1773" ht="21" spans="1:3">
      <c r="A1773">
        <v>1772</v>
      </c>
      <c r="B1773" s="25" t="s">
        <v>16892</v>
      </c>
      <c r="C1773" s="26"/>
    </row>
    <row r="1774" ht="15.75" spans="1:3">
      <c r="A1774">
        <v>1773</v>
      </c>
      <c r="B1774" s="26"/>
      <c r="C1774" s="26"/>
    </row>
    <row r="1775" ht="15.75" spans="1:3">
      <c r="A1775">
        <v>1774</v>
      </c>
      <c r="B1775" s="26"/>
      <c r="C1775" s="26"/>
    </row>
    <row r="1776" ht="21" spans="1:3">
      <c r="A1776">
        <v>1775</v>
      </c>
      <c r="B1776" s="27" t="s">
        <v>16892</v>
      </c>
      <c r="C1776" s="26"/>
    </row>
    <row r="1777" ht="21" spans="1:3">
      <c r="A1777">
        <v>1776</v>
      </c>
      <c r="B1777" s="25" t="s">
        <v>16892</v>
      </c>
      <c r="C1777" s="26"/>
    </row>
    <row r="1778" ht="21" spans="1:3">
      <c r="A1778">
        <v>1777</v>
      </c>
      <c r="B1778" s="27" t="s">
        <v>16892</v>
      </c>
      <c r="C1778" s="26"/>
    </row>
    <row r="1779" ht="21" spans="1:3">
      <c r="A1779">
        <v>1778</v>
      </c>
      <c r="B1779" s="27" t="s">
        <v>16892</v>
      </c>
      <c r="C1779" s="26"/>
    </row>
    <row r="1780" ht="21" spans="1:3">
      <c r="A1780">
        <v>1779</v>
      </c>
      <c r="B1780" s="25" t="s">
        <v>16892</v>
      </c>
      <c r="C1780" s="26"/>
    </row>
    <row r="1781" ht="21" spans="1:3">
      <c r="A1781">
        <v>1780</v>
      </c>
      <c r="B1781" s="27" t="s">
        <v>16892</v>
      </c>
      <c r="C1781" s="26"/>
    </row>
    <row r="1782" ht="21" spans="1:3">
      <c r="A1782">
        <v>1781</v>
      </c>
      <c r="B1782" s="25" t="s">
        <v>16892</v>
      </c>
      <c r="C1782" s="26"/>
    </row>
    <row r="1783" ht="21" spans="1:3">
      <c r="A1783">
        <v>1782</v>
      </c>
      <c r="B1783" s="25" t="s">
        <v>16892</v>
      </c>
      <c r="C1783" s="26"/>
    </row>
    <row r="1784" ht="21" spans="1:3">
      <c r="A1784">
        <v>1783</v>
      </c>
      <c r="B1784" s="27" t="s">
        <v>16892</v>
      </c>
      <c r="C1784" s="26"/>
    </row>
    <row r="1785" ht="21" spans="1:3">
      <c r="A1785">
        <v>1784</v>
      </c>
      <c r="B1785" s="25" t="s">
        <v>16892</v>
      </c>
      <c r="C1785" s="26"/>
    </row>
    <row r="1786" ht="21" spans="1:3">
      <c r="A1786">
        <v>1785</v>
      </c>
      <c r="B1786" s="25" t="s">
        <v>16892</v>
      </c>
      <c r="C1786" s="26"/>
    </row>
    <row r="1787" ht="15.75" spans="1:3">
      <c r="A1787">
        <v>1786</v>
      </c>
      <c r="B1787" s="26"/>
      <c r="C1787" s="26"/>
    </row>
    <row r="1788" ht="21" spans="1:3">
      <c r="A1788">
        <v>1787</v>
      </c>
      <c r="B1788" s="25" t="s">
        <v>16892</v>
      </c>
      <c r="C1788" s="26"/>
    </row>
    <row r="1789" ht="21" spans="1:3">
      <c r="A1789">
        <v>1788</v>
      </c>
      <c r="B1789" s="27" t="s">
        <v>16892</v>
      </c>
      <c r="C1789" s="26"/>
    </row>
    <row r="1790" ht="21" spans="1:3">
      <c r="A1790">
        <v>1789</v>
      </c>
      <c r="B1790" s="25" t="s">
        <v>16892</v>
      </c>
      <c r="C1790" s="26"/>
    </row>
    <row r="1791" ht="21" spans="1:3">
      <c r="A1791">
        <v>1790</v>
      </c>
      <c r="B1791" s="27" t="s">
        <v>16892</v>
      </c>
      <c r="C1791" s="26"/>
    </row>
    <row r="1792" ht="21" spans="1:3">
      <c r="A1792">
        <v>1791</v>
      </c>
      <c r="B1792" s="27" t="s">
        <v>16892</v>
      </c>
      <c r="C1792" s="26"/>
    </row>
    <row r="1793" ht="15.75" spans="1:3">
      <c r="A1793">
        <v>1792</v>
      </c>
      <c r="B1793" s="26"/>
      <c r="C1793" s="26"/>
    </row>
    <row r="1794" ht="21" spans="1:3">
      <c r="A1794">
        <v>1793</v>
      </c>
      <c r="B1794" s="27" t="s">
        <v>16892</v>
      </c>
      <c r="C1794" s="26"/>
    </row>
    <row r="1795" ht="21" spans="1:3">
      <c r="A1795">
        <v>1794</v>
      </c>
      <c r="B1795" s="25" t="s">
        <v>16892</v>
      </c>
      <c r="C1795" s="26"/>
    </row>
    <row r="1796" ht="21" spans="1:3">
      <c r="A1796">
        <v>1795</v>
      </c>
      <c r="B1796" s="25" t="s">
        <v>16892</v>
      </c>
      <c r="C1796" s="26"/>
    </row>
    <row r="1797" ht="15.75" spans="1:3">
      <c r="A1797">
        <v>1796</v>
      </c>
      <c r="B1797" s="26"/>
      <c r="C1797" s="26"/>
    </row>
    <row r="1798" ht="21" spans="1:3">
      <c r="A1798">
        <v>1797</v>
      </c>
      <c r="B1798" s="25" t="s">
        <v>16892</v>
      </c>
      <c r="C1798" s="26"/>
    </row>
    <row r="1799" ht="21" spans="1:3">
      <c r="A1799">
        <v>1798</v>
      </c>
      <c r="B1799" s="25" t="s">
        <v>16892</v>
      </c>
      <c r="C1799" s="26"/>
    </row>
    <row r="1800" ht="21" spans="1:3">
      <c r="A1800">
        <v>1799</v>
      </c>
      <c r="B1800" s="25" t="s">
        <v>16892</v>
      </c>
      <c r="C1800" s="26"/>
    </row>
    <row r="1801" ht="21" spans="1:3">
      <c r="A1801">
        <v>1800</v>
      </c>
      <c r="B1801" s="27" t="s">
        <v>16902</v>
      </c>
      <c r="C1801" s="26"/>
    </row>
    <row r="1802" ht="21" spans="1:3">
      <c r="A1802">
        <v>1801</v>
      </c>
      <c r="B1802" s="25" t="s">
        <v>16892</v>
      </c>
      <c r="C1802" s="26"/>
    </row>
    <row r="1803" ht="21" spans="1:3">
      <c r="A1803">
        <v>1802</v>
      </c>
      <c r="B1803" s="27" t="s">
        <v>16892</v>
      </c>
      <c r="C1803" s="26"/>
    </row>
    <row r="1804" ht="21" spans="1:3">
      <c r="A1804">
        <v>1803</v>
      </c>
      <c r="B1804" s="27" t="s">
        <v>16892</v>
      </c>
      <c r="C1804" s="26"/>
    </row>
    <row r="1805" ht="21" spans="1:3">
      <c r="A1805">
        <v>1804</v>
      </c>
      <c r="B1805" s="25" t="s">
        <v>16892</v>
      </c>
      <c r="C1805" s="26"/>
    </row>
    <row r="1806" ht="21" spans="1:3">
      <c r="A1806">
        <v>1805</v>
      </c>
      <c r="B1806" s="25" t="s">
        <v>16892</v>
      </c>
      <c r="C1806" s="26"/>
    </row>
    <row r="1807" ht="21" spans="1:3">
      <c r="A1807">
        <v>1806</v>
      </c>
      <c r="B1807" s="27" t="s">
        <v>16892</v>
      </c>
      <c r="C1807" s="26"/>
    </row>
    <row r="1808" ht="21" spans="1:3">
      <c r="A1808">
        <v>1807</v>
      </c>
      <c r="B1808" s="27" t="s">
        <v>16892</v>
      </c>
      <c r="C1808" s="26"/>
    </row>
    <row r="1809" ht="15.75" spans="1:3">
      <c r="A1809">
        <v>1808</v>
      </c>
      <c r="B1809" s="26"/>
      <c r="C1809" s="26"/>
    </row>
    <row r="1810" ht="21" spans="1:3">
      <c r="A1810">
        <v>1809</v>
      </c>
      <c r="B1810" s="27" t="s">
        <v>16892</v>
      </c>
      <c r="C1810" s="26"/>
    </row>
    <row r="1811" ht="21" spans="1:3">
      <c r="A1811">
        <v>1810</v>
      </c>
      <c r="B1811" s="25" t="s">
        <v>16892</v>
      </c>
      <c r="C1811" s="26"/>
    </row>
    <row r="1812" ht="21" spans="1:3">
      <c r="A1812">
        <v>1811</v>
      </c>
      <c r="B1812" s="27" t="s">
        <v>16892</v>
      </c>
      <c r="C1812" s="26"/>
    </row>
    <row r="1813" ht="21" spans="1:3">
      <c r="A1813">
        <v>1812</v>
      </c>
      <c r="B1813" s="25" t="s">
        <v>16892</v>
      </c>
      <c r="C1813" s="26"/>
    </row>
    <row r="1814" ht="15.75" spans="1:3">
      <c r="A1814">
        <v>1813</v>
      </c>
      <c r="B1814" s="26"/>
      <c r="C1814" s="26"/>
    </row>
    <row r="1815" ht="18.75" spans="1:3">
      <c r="A1815">
        <v>1814</v>
      </c>
      <c r="B1815" s="39" t="str">
        <f>IFERROR(__xludf.DUMMYFUNCTION("""COMPUTED_VALUE"""),"No Agent")</f>
        <v>No Agent</v>
      </c>
      <c r="C1815" s="34"/>
    </row>
    <row r="1816" ht="18.75" spans="1:3">
      <c r="A1816">
        <v>1815</v>
      </c>
      <c r="B1816" s="39" t="str">
        <f>IFERROR(__xludf.DUMMYFUNCTION("""COMPUTED_VALUE"""),"No Agent")</f>
        <v>No Agent</v>
      </c>
      <c r="C1816" s="34"/>
    </row>
    <row r="1817" ht="15.75" spans="1:3">
      <c r="A1817">
        <v>1816</v>
      </c>
      <c r="B1817" s="26"/>
      <c r="C1817" s="26"/>
    </row>
    <row r="1818" ht="15.75" spans="1:3">
      <c r="A1818">
        <v>1817</v>
      </c>
      <c r="B1818" s="26"/>
      <c r="C1818" s="26"/>
    </row>
    <row r="1819" ht="15.75" spans="1:3">
      <c r="A1819">
        <v>1818</v>
      </c>
      <c r="B1819" s="26"/>
      <c r="C1819" s="26"/>
    </row>
    <row r="1820" ht="21" spans="1:3">
      <c r="A1820">
        <v>1819</v>
      </c>
      <c r="B1820" s="27" t="s">
        <v>16892</v>
      </c>
      <c r="C1820" s="26"/>
    </row>
    <row r="1821" ht="21" spans="1:3">
      <c r="A1821">
        <v>1820</v>
      </c>
      <c r="B1821" s="27" t="s">
        <v>16892</v>
      </c>
      <c r="C1821" s="26"/>
    </row>
    <row r="1822" ht="15.75" spans="1:3">
      <c r="A1822">
        <v>1821</v>
      </c>
      <c r="B1822" s="26"/>
      <c r="C1822" s="26"/>
    </row>
    <row r="1823" ht="21" spans="1:3">
      <c r="A1823">
        <v>1822</v>
      </c>
      <c r="B1823" s="27" t="s">
        <v>16892</v>
      </c>
      <c r="C1823" s="26"/>
    </row>
    <row r="1824" ht="21" spans="1:3">
      <c r="A1824">
        <v>1823</v>
      </c>
      <c r="B1824" s="27" t="s">
        <v>16892</v>
      </c>
      <c r="C1824" s="26"/>
    </row>
    <row r="1825" ht="21" spans="1:3">
      <c r="A1825">
        <v>1824</v>
      </c>
      <c r="B1825" s="25" t="s">
        <v>16892</v>
      </c>
      <c r="C1825" s="26"/>
    </row>
    <row r="1826" ht="21" spans="1:3">
      <c r="A1826">
        <v>1825</v>
      </c>
      <c r="B1826" s="25" t="s">
        <v>16892</v>
      </c>
      <c r="C1826" s="26"/>
    </row>
    <row r="1827" ht="21" spans="1:3">
      <c r="A1827">
        <v>1826</v>
      </c>
      <c r="B1827" s="25" t="s">
        <v>16892</v>
      </c>
      <c r="C1827" s="26"/>
    </row>
    <row r="1828" ht="21" spans="1:3">
      <c r="A1828">
        <v>1827</v>
      </c>
      <c r="B1828" s="27" t="s">
        <v>16892</v>
      </c>
      <c r="C1828" s="26"/>
    </row>
    <row r="1829" ht="15.75" spans="1:3">
      <c r="A1829">
        <v>1828</v>
      </c>
      <c r="B1829" s="26"/>
      <c r="C1829" s="26"/>
    </row>
    <row r="1830" ht="21" spans="1:3">
      <c r="A1830">
        <v>1829</v>
      </c>
      <c r="B1830" s="25" t="s">
        <v>16892</v>
      </c>
      <c r="C1830" s="26"/>
    </row>
    <row r="1831" ht="21" spans="1:3">
      <c r="A1831">
        <v>1830</v>
      </c>
      <c r="B1831" s="27" t="s">
        <v>16892</v>
      </c>
      <c r="C1831" s="26"/>
    </row>
    <row r="1832" ht="21" spans="1:3">
      <c r="A1832">
        <v>1831</v>
      </c>
      <c r="B1832" s="27" t="s">
        <v>16892</v>
      </c>
      <c r="C1832" s="26"/>
    </row>
    <row r="1833" ht="21" spans="1:3">
      <c r="A1833">
        <v>1832</v>
      </c>
      <c r="B1833" s="25" t="s">
        <v>16892</v>
      </c>
      <c r="C1833" s="26"/>
    </row>
    <row r="1834" ht="21" spans="1:3">
      <c r="A1834">
        <v>1833</v>
      </c>
      <c r="B1834" s="25" t="s">
        <v>16892</v>
      </c>
      <c r="C1834" s="26"/>
    </row>
    <row r="1835" ht="15.75" spans="1:3">
      <c r="A1835">
        <v>1834</v>
      </c>
      <c r="B1835" s="26"/>
      <c r="C1835" s="26"/>
    </row>
    <row r="1836" ht="15.75" spans="1:3">
      <c r="A1836">
        <v>1835</v>
      </c>
      <c r="B1836" s="26"/>
      <c r="C1836" s="26"/>
    </row>
    <row r="1837" ht="15.75" spans="1:3">
      <c r="A1837">
        <v>1836</v>
      </c>
      <c r="B1837" s="26"/>
      <c r="C1837" s="26"/>
    </row>
    <row r="1838" ht="15.75" spans="1:3">
      <c r="A1838">
        <v>1837</v>
      </c>
      <c r="B1838" s="29"/>
      <c r="C1838" s="29"/>
    </row>
    <row r="1839" ht="15.75" spans="1:3">
      <c r="A1839">
        <v>1838</v>
      </c>
      <c r="B1839" s="29"/>
      <c r="C1839" s="29"/>
    </row>
    <row r="1840" ht="15.75" spans="1:3">
      <c r="A1840">
        <v>1839</v>
      </c>
      <c r="B1840" s="26"/>
      <c r="C1840" s="26"/>
    </row>
    <row r="1841" ht="15.75" spans="1:3">
      <c r="A1841">
        <v>1840</v>
      </c>
      <c r="B1841" s="26"/>
      <c r="C1841" s="26"/>
    </row>
    <row r="1842" ht="15.75" spans="1:3">
      <c r="A1842">
        <v>1841</v>
      </c>
      <c r="B1842" s="26"/>
      <c r="C1842" s="26"/>
    </row>
    <row r="1843" ht="15.75" spans="1:3">
      <c r="A1843">
        <v>1842</v>
      </c>
      <c r="B1843" s="26"/>
      <c r="C1843" s="26"/>
    </row>
    <row r="1844" ht="21" spans="1:3">
      <c r="A1844">
        <v>1843</v>
      </c>
      <c r="B1844" s="27" t="s">
        <v>16892</v>
      </c>
      <c r="C1844" s="26"/>
    </row>
    <row r="1845" ht="21" spans="1:3">
      <c r="A1845">
        <v>1844</v>
      </c>
      <c r="B1845" s="27" t="s">
        <v>16892</v>
      </c>
      <c r="C1845" s="26"/>
    </row>
    <row r="1846" ht="15.75" spans="1:3">
      <c r="A1846">
        <v>1845</v>
      </c>
      <c r="B1846" s="26"/>
      <c r="C1846" s="26"/>
    </row>
    <row r="1847" ht="21" spans="1:3">
      <c r="A1847">
        <v>1846</v>
      </c>
      <c r="B1847" s="25" t="s">
        <v>16892</v>
      </c>
      <c r="C1847" s="26"/>
    </row>
    <row r="1848" ht="15.75" spans="1:3">
      <c r="A1848">
        <v>1847</v>
      </c>
      <c r="B1848" s="26"/>
      <c r="C1848" s="26"/>
    </row>
    <row r="1849" ht="21" spans="1:3">
      <c r="A1849">
        <v>1848</v>
      </c>
      <c r="B1849" s="25" t="s">
        <v>16892</v>
      </c>
      <c r="C1849" s="26"/>
    </row>
    <row r="1850" ht="15.75" spans="1:3">
      <c r="A1850">
        <v>1849</v>
      </c>
      <c r="B1850" s="26"/>
      <c r="C1850" s="26"/>
    </row>
    <row r="1851" spans="1:3">
      <c r="A1851">
        <v>1850</v>
      </c>
      <c r="B1851" s="45" t="s">
        <v>16913</v>
      </c>
      <c r="C1851" s="36">
        <v>911477166</v>
      </c>
    </row>
    <row r="1852" ht="15.75" spans="1:3">
      <c r="A1852">
        <v>1851</v>
      </c>
      <c r="B1852" s="26"/>
      <c r="C1852" s="26"/>
    </row>
    <row r="1853" ht="15.75" spans="1:3">
      <c r="A1853">
        <v>1852</v>
      </c>
      <c r="B1853" s="26"/>
      <c r="C1853" s="26"/>
    </row>
    <row r="1854" ht="15.75" spans="1:3">
      <c r="A1854">
        <v>1853</v>
      </c>
      <c r="B1854" s="26"/>
      <c r="C1854" s="26"/>
    </row>
    <row r="1855" ht="21" spans="1:3">
      <c r="A1855">
        <v>1854</v>
      </c>
      <c r="B1855" s="27" t="s">
        <v>16892</v>
      </c>
      <c r="C1855" s="26"/>
    </row>
    <row r="1856" ht="21" spans="1:3">
      <c r="A1856">
        <v>1855</v>
      </c>
      <c r="B1856" s="27" t="s">
        <v>16892</v>
      </c>
      <c r="C1856" s="26"/>
    </row>
    <row r="1857" ht="21" spans="1:3">
      <c r="A1857">
        <v>1856</v>
      </c>
      <c r="B1857" s="25" t="s">
        <v>16892</v>
      </c>
      <c r="C1857" s="26"/>
    </row>
    <row r="1858" ht="21" spans="1:3">
      <c r="A1858">
        <v>1857</v>
      </c>
      <c r="B1858" s="25" t="s">
        <v>16892</v>
      </c>
      <c r="C1858" s="26"/>
    </row>
    <row r="1859" ht="21" spans="1:3">
      <c r="A1859">
        <v>1858</v>
      </c>
      <c r="B1859" s="25" t="s">
        <v>16892</v>
      </c>
      <c r="C1859" s="26"/>
    </row>
    <row r="1860" ht="21" spans="1:3">
      <c r="A1860">
        <v>1859</v>
      </c>
      <c r="B1860" s="25" t="s">
        <v>16892</v>
      </c>
      <c r="C1860" s="26"/>
    </row>
    <row r="1861" ht="15.75" spans="1:3">
      <c r="A1861">
        <v>1860</v>
      </c>
      <c r="B1861" s="26"/>
      <c r="C1861" s="26"/>
    </row>
    <row r="1862" ht="21" spans="1:3">
      <c r="A1862">
        <v>1861</v>
      </c>
      <c r="B1862" s="27" t="s">
        <v>16892</v>
      </c>
      <c r="C1862" s="26"/>
    </row>
    <row r="1863" ht="21" spans="1:3">
      <c r="A1863">
        <v>1862</v>
      </c>
      <c r="B1863" s="27" t="s">
        <v>16892</v>
      </c>
      <c r="C1863" s="26"/>
    </row>
    <row r="1864" ht="21" spans="1:3">
      <c r="A1864">
        <v>1863</v>
      </c>
      <c r="B1864" s="27" t="s">
        <v>16892</v>
      </c>
      <c r="C1864" s="26"/>
    </row>
    <row r="1865" ht="21" spans="1:3">
      <c r="A1865">
        <v>1864</v>
      </c>
      <c r="B1865" s="25" t="s">
        <v>16892</v>
      </c>
      <c r="C1865" s="26"/>
    </row>
    <row r="1866" ht="21" spans="1:3">
      <c r="A1866">
        <v>1865</v>
      </c>
      <c r="B1866" s="25" t="s">
        <v>16892</v>
      </c>
      <c r="C1866" s="26"/>
    </row>
    <row r="1867" ht="21" spans="1:3">
      <c r="A1867">
        <v>1866</v>
      </c>
      <c r="B1867" s="25" t="s">
        <v>16892</v>
      </c>
      <c r="C1867" s="26"/>
    </row>
    <row r="1868" ht="15.75" spans="1:3">
      <c r="A1868">
        <v>1867</v>
      </c>
      <c r="B1868" s="26"/>
      <c r="C1868" s="26"/>
    </row>
    <row r="1869" ht="21" spans="1:3">
      <c r="A1869">
        <v>1868</v>
      </c>
      <c r="B1869" s="27" t="s">
        <v>16892</v>
      </c>
      <c r="C1869" s="26"/>
    </row>
    <row r="1870" ht="21" spans="1:3">
      <c r="A1870">
        <v>1869</v>
      </c>
      <c r="B1870" s="25" t="s">
        <v>16892</v>
      </c>
      <c r="C1870" s="26"/>
    </row>
    <row r="1871" ht="21" spans="1:3">
      <c r="A1871">
        <v>1870</v>
      </c>
      <c r="B1871" s="27" t="s">
        <v>16892</v>
      </c>
      <c r="C1871" s="26"/>
    </row>
    <row r="1872" ht="21" spans="1:3">
      <c r="A1872">
        <v>1871</v>
      </c>
      <c r="B1872" s="27" t="s">
        <v>16892</v>
      </c>
      <c r="C1872" s="26"/>
    </row>
    <row r="1873" ht="15.75" spans="1:3">
      <c r="A1873">
        <v>1872</v>
      </c>
      <c r="B1873" s="26"/>
      <c r="C1873" s="26"/>
    </row>
    <row r="1874" ht="21" spans="1:3">
      <c r="A1874">
        <v>1873</v>
      </c>
      <c r="B1874" s="27" t="s">
        <v>16892</v>
      </c>
      <c r="C1874" s="26"/>
    </row>
    <row r="1875" ht="21" spans="1:3">
      <c r="A1875">
        <v>1874</v>
      </c>
      <c r="B1875" s="27" t="s">
        <v>16892</v>
      </c>
      <c r="C1875" s="26"/>
    </row>
    <row r="1876" ht="21" spans="1:3">
      <c r="A1876">
        <v>1875</v>
      </c>
      <c r="B1876" s="27" t="s">
        <v>16892</v>
      </c>
      <c r="C1876" s="26"/>
    </row>
    <row r="1877" ht="21" spans="1:3">
      <c r="A1877">
        <v>1876</v>
      </c>
      <c r="B1877" s="27" t="s">
        <v>16892</v>
      </c>
      <c r="C1877" s="26"/>
    </row>
    <row r="1878" ht="18.75" spans="1:3">
      <c r="A1878">
        <v>1877</v>
      </c>
      <c r="B1878" s="31" t="str">
        <f>IFERROR(__xludf.DUMMYFUNCTION("""COMPUTED_VALUE"""),"matiwos mesfn ")</f>
        <v>matiwos mesfn </v>
      </c>
      <c r="C1878" s="30">
        <v>911809671</v>
      </c>
    </row>
    <row r="1879" ht="15.75" spans="1:3">
      <c r="A1879">
        <v>1878</v>
      </c>
      <c r="B1879" s="26"/>
      <c r="C1879" s="26"/>
    </row>
    <row r="1880" ht="21" spans="1:3">
      <c r="A1880">
        <v>1879</v>
      </c>
      <c r="B1880" s="25" t="s">
        <v>16892</v>
      </c>
      <c r="C1880" s="26"/>
    </row>
    <row r="1881" ht="18" spans="1:3">
      <c r="A1881">
        <v>1880</v>
      </c>
      <c r="B1881" s="31" t="str">
        <f>IFERROR(__xludf.DUMMYFUNCTION("""COMPUTED_VALUE"""),"ንጉስ ደግፍ")</f>
        <v>ንጉስ ደግፍ</v>
      </c>
      <c r="C1881" s="31">
        <v>926689400</v>
      </c>
    </row>
    <row r="1882" ht="18" spans="1:3">
      <c r="A1882">
        <v>1881</v>
      </c>
      <c r="B1882" s="31" t="str">
        <f>IFERROR(__xludf.DUMMYFUNCTION("""COMPUTED_VALUE"""),"behailu getachew")</f>
        <v>behailu getachew</v>
      </c>
      <c r="C1882" s="31">
        <v>911483522</v>
      </c>
    </row>
    <row r="1883" ht="15.75" spans="1:3">
      <c r="A1883">
        <v>1882</v>
      </c>
      <c r="B1883" s="26"/>
      <c r="C1883" s="26"/>
    </row>
    <row r="1884" ht="15.75" spans="1:3">
      <c r="A1884">
        <v>1883</v>
      </c>
      <c r="B1884" s="26"/>
      <c r="C1884" s="26"/>
    </row>
    <row r="1885" ht="15.75" spans="1:3">
      <c r="A1885">
        <v>1884</v>
      </c>
      <c r="B1885" s="26"/>
      <c r="C1885" s="26"/>
    </row>
    <row r="1886" ht="15.75" spans="1:3">
      <c r="A1886">
        <v>1885</v>
      </c>
      <c r="B1886" s="26"/>
      <c r="C1886" s="26"/>
    </row>
    <row r="1887" ht="21" spans="1:3">
      <c r="A1887">
        <v>1886</v>
      </c>
      <c r="B1887" s="25" t="s">
        <v>16892</v>
      </c>
      <c r="C1887" s="26"/>
    </row>
    <row r="1888" ht="21" spans="1:3">
      <c r="A1888">
        <v>1887</v>
      </c>
      <c r="B1888" s="25" t="s">
        <v>16892</v>
      </c>
      <c r="C1888" s="26"/>
    </row>
    <row r="1889" ht="21" spans="1:3">
      <c r="A1889">
        <v>1888</v>
      </c>
      <c r="B1889" s="27" t="s">
        <v>16892</v>
      </c>
      <c r="C1889" s="26"/>
    </row>
    <row r="1890" ht="15.75" spans="1:3">
      <c r="A1890">
        <v>1889</v>
      </c>
      <c r="B1890" s="26"/>
      <c r="C1890" s="26"/>
    </row>
    <row r="1891" ht="21" spans="1:3">
      <c r="A1891">
        <v>1890</v>
      </c>
      <c r="B1891" s="25" t="s">
        <v>16892</v>
      </c>
      <c r="C1891" s="26"/>
    </row>
    <row r="1892" ht="15.75" spans="1:3">
      <c r="A1892">
        <v>1891</v>
      </c>
      <c r="B1892" s="26"/>
      <c r="C1892" s="26"/>
    </row>
    <row r="1893" ht="18" spans="1:3">
      <c r="A1893">
        <v>1892</v>
      </c>
      <c r="B1893" s="31" t="str">
        <f>IFERROR(__xludf.DUMMYFUNCTION("""COMPUTED_VALUE"""),"Lidya Tinker")</f>
        <v>Lidya Tinker</v>
      </c>
      <c r="C1893" s="31">
        <v>931238193</v>
      </c>
    </row>
    <row r="1894" ht="15.75" spans="1:3">
      <c r="A1894">
        <v>1893</v>
      </c>
      <c r="B1894" s="26"/>
      <c r="C1894" s="26"/>
    </row>
    <row r="1895" ht="15.75" spans="1:3">
      <c r="A1895">
        <v>1894</v>
      </c>
      <c r="B1895" s="26"/>
      <c r="C1895" s="26"/>
    </row>
    <row r="1896" ht="15.75" spans="1:3">
      <c r="A1896">
        <v>1895</v>
      </c>
      <c r="B1896" s="26"/>
      <c r="C1896" s="26"/>
    </row>
    <row r="1897" ht="15.75" spans="1:3">
      <c r="A1897">
        <v>1896</v>
      </c>
      <c r="B1897" s="26"/>
      <c r="C1897" s="26"/>
    </row>
    <row r="1898" ht="15.75" spans="1:3">
      <c r="A1898">
        <v>1897</v>
      </c>
      <c r="B1898" s="26"/>
      <c r="C1898" s="26"/>
    </row>
    <row r="1899" ht="21" spans="1:3">
      <c r="A1899">
        <v>1898</v>
      </c>
      <c r="B1899" s="25" t="s">
        <v>16892</v>
      </c>
      <c r="C1899" s="26"/>
    </row>
    <row r="1900" ht="21" spans="1:3">
      <c r="A1900">
        <v>1899</v>
      </c>
      <c r="B1900" s="25" t="s">
        <v>16892</v>
      </c>
      <c r="C1900" s="26"/>
    </row>
    <row r="1901" ht="15.75" spans="1:3">
      <c r="A1901">
        <v>1900</v>
      </c>
      <c r="B1901" s="26"/>
      <c r="C1901" s="26"/>
    </row>
    <row r="1902" ht="15.75" spans="1:3">
      <c r="A1902">
        <v>1901</v>
      </c>
      <c r="B1902" s="26"/>
      <c r="C1902" s="26"/>
    </row>
    <row r="1903" ht="15.75" spans="1:3">
      <c r="A1903">
        <v>1902</v>
      </c>
      <c r="B1903" s="26"/>
      <c r="C1903" s="26"/>
    </row>
    <row r="1904" ht="15.75" spans="1:3">
      <c r="A1904">
        <v>1903</v>
      </c>
      <c r="B1904" s="26"/>
      <c r="C1904" s="26"/>
    </row>
    <row r="1905" ht="18.75" spans="1:3">
      <c r="A1905">
        <v>1904</v>
      </c>
      <c r="B1905" s="39" t="str">
        <f>IFERROR(__xludf.DUMMYFUNCTION("""COMPUTED_VALUE"""),"birhan wada")</f>
        <v>birhan wada</v>
      </c>
      <c r="C1905" s="34">
        <v>924445406</v>
      </c>
    </row>
    <row r="1906" ht="15.75" spans="1:3">
      <c r="A1906">
        <v>1905</v>
      </c>
      <c r="B1906" s="29"/>
      <c r="C1906" s="29"/>
    </row>
    <row r="1907" ht="21" spans="1:3">
      <c r="A1907">
        <v>1906</v>
      </c>
      <c r="B1907" s="25" t="s">
        <v>16892</v>
      </c>
      <c r="C1907" s="26"/>
    </row>
    <row r="1908" ht="15.75" spans="1:3">
      <c r="A1908">
        <v>1907</v>
      </c>
      <c r="B1908" s="26"/>
      <c r="C1908" s="26"/>
    </row>
    <row r="1909" ht="15.75" spans="1:3">
      <c r="A1909">
        <v>1908</v>
      </c>
      <c r="B1909" s="26"/>
      <c r="C1909" s="26"/>
    </row>
    <row r="1910" ht="15.75" spans="1:3">
      <c r="A1910">
        <v>1909</v>
      </c>
      <c r="B1910" s="26"/>
      <c r="C1910" s="26"/>
    </row>
    <row r="1911" ht="15.75" spans="1:3">
      <c r="A1911">
        <v>1910</v>
      </c>
      <c r="B1911" s="26"/>
      <c r="C1911" s="26"/>
    </row>
    <row r="1912" ht="15.75" spans="1:3">
      <c r="A1912">
        <v>1911</v>
      </c>
      <c r="B1912" s="26"/>
      <c r="C1912" s="26"/>
    </row>
    <row r="1913" ht="15.75" spans="1:3">
      <c r="A1913">
        <v>1912</v>
      </c>
      <c r="B1913" s="26"/>
      <c r="C1913" s="26"/>
    </row>
    <row r="1914" ht="21" spans="1:3">
      <c r="A1914">
        <v>1913</v>
      </c>
      <c r="B1914" s="25" t="s">
        <v>16892</v>
      </c>
      <c r="C1914" s="26"/>
    </row>
    <row r="1915" ht="15.75" spans="1:3">
      <c r="A1915">
        <v>1914</v>
      </c>
      <c r="B1915" s="26"/>
      <c r="C1915" s="26"/>
    </row>
    <row r="1916" ht="21" spans="1:3">
      <c r="A1916">
        <v>1915</v>
      </c>
      <c r="B1916" s="25" t="s">
        <v>16892</v>
      </c>
      <c r="C1916" s="26"/>
    </row>
    <row r="1917" ht="18.75" spans="1:3">
      <c r="A1917">
        <v>1916</v>
      </c>
      <c r="B1917" s="31" t="str">
        <f>IFERROR(__xludf.DUMMYFUNCTION("""COMPUTED_VALUE"""),"ትደነቂያለሽ ብ/ክርስቶስ")</f>
        <v>ትደነቂያለሽ ብ/ክርስቶስ</v>
      </c>
      <c r="C1917" s="30">
        <v>945684276</v>
      </c>
    </row>
    <row r="1918" ht="15.75" spans="1:3">
      <c r="A1918">
        <v>1917</v>
      </c>
      <c r="B1918" s="26"/>
      <c r="C1918" s="26"/>
    </row>
    <row r="1919" ht="21" spans="1:3">
      <c r="A1919">
        <v>1918</v>
      </c>
      <c r="B1919" s="25" t="s">
        <v>16892</v>
      </c>
      <c r="C1919" s="26"/>
    </row>
    <row r="1920" ht="21" spans="1:3">
      <c r="A1920">
        <v>1919</v>
      </c>
      <c r="B1920" s="27" t="s">
        <v>16892</v>
      </c>
      <c r="C1920" s="26"/>
    </row>
    <row r="1921" ht="15.75" spans="1:3">
      <c r="A1921">
        <v>1920</v>
      </c>
      <c r="B1921" s="26"/>
      <c r="C1921" s="26"/>
    </row>
    <row r="1922" ht="15.75" spans="1:3">
      <c r="A1922">
        <v>1921</v>
      </c>
      <c r="B1922" s="26"/>
      <c r="C1922" s="26"/>
    </row>
    <row r="1923" ht="21" spans="1:3">
      <c r="A1923">
        <v>1922</v>
      </c>
      <c r="B1923" s="27" t="s">
        <v>16892</v>
      </c>
      <c r="C1923" s="26"/>
    </row>
    <row r="1924" ht="21" spans="1:3">
      <c r="A1924">
        <v>1923</v>
      </c>
      <c r="B1924" s="27" t="s">
        <v>16892</v>
      </c>
      <c r="C1924" s="26"/>
    </row>
    <row r="1925" ht="21" spans="1:3">
      <c r="A1925">
        <v>1924</v>
      </c>
      <c r="B1925" s="25" t="s">
        <v>16892</v>
      </c>
      <c r="C1925" s="26"/>
    </row>
    <row r="1926" ht="21" spans="1:3">
      <c r="A1926">
        <v>1925</v>
      </c>
      <c r="B1926" s="27" t="s">
        <v>16892</v>
      </c>
      <c r="C1926" s="26"/>
    </row>
    <row r="1927" ht="21" spans="1:3">
      <c r="A1927">
        <v>1926</v>
      </c>
      <c r="B1927" s="27" t="s">
        <v>16892</v>
      </c>
      <c r="C1927" s="26"/>
    </row>
    <row r="1928" ht="21" spans="1:3">
      <c r="A1928">
        <v>1927</v>
      </c>
      <c r="B1928" s="25" t="s">
        <v>16892</v>
      </c>
      <c r="C1928" s="26"/>
    </row>
    <row r="1929" ht="21" spans="1:3">
      <c r="A1929">
        <v>1928</v>
      </c>
      <c r="B1929" s="27" t="s">
        <v>16892</v>
      </c>
      <c r="C1929" s="26"/>
    </row>
    <row r="1930" ht="21" spans="1:3">
      <c r="A1930">
        <v>1929</v>
      </c>
      <c r="B1930" s="25" t="s">
        <v>16892</v>
      </c>
      <c r="C1930" s="26"/>
    </row>
    <row r="1931" ht="21" spans="1:3">
      <c r="A1931">
        <v>1930</v>
      </c>
      <c r="B1931" s="25" t="s">
        <v>16892</v>
      </c>
      <c r="C1931" s="26"/>
    </row>
    <row r="1932" ht="21" spans="1:3">
      <c r="A1932">
        <v>1931</v>
      </c>
      <c r="B1932" s="27" t="s">
        <v>16892</v>
      </c>
      <c r="C1932" s="26"/>
    </row>
    <row r="1933" ht="21" spans="1:3">
      <c r="A1933">
        <v>1932</v>
      </c>
      <c r="B1933" s="27" t="s">
        <v>16892</v>
      </c>
      <c r="C1933" s="26"/>
    </row>
    <row r="1934" ht="21" spans="1:3">
      <c r="A1934">
        <v>1933</v>
      </c>
      <c r="B1934" s="25" t="s">
        <v>16892</v>
      </c>
      <c r="C1934" s="26"/>
    </row>
    <row r="1935" ht="15.75" spans="1:3">
      <c r="A1935">
        <v>1934</v>
      </c>
      <c r="B1935" s="26"/>
      <c r="C1935" s="26"/>
    </row>
    <row r="1936" ht="21" spans="1:3">
      <c r="A1936">
        <v>1935</v>
      </c>
      <c r="B1936" s="27" t="s">
        <v>16892</v>
      </c>
      <c r="C1936" s="26"/>
    </row>
    <row r="1937" ht="21" spans="1:3">
      <c r="A1937">
        <v>1936</v>
      </c>
      <c r="B1937" s="27" t="s">
        <v>16892</v>
      </c>
      <c r="C1937" s="26"/>
    </row>
    <row r="1938" ht="21" spans="1:3">
      <c r="A1938">
        <v>1937</v>
      </c>
      <c r="B1938" s="25" t="s">
        <v>16892</v>
      </c>
      <c r="C1938" s="26"/>
    </row>
    <row r="1939" ht="21" spans="1:3">
      <c r="A1939">
        <v>1938</v>
      </c>
      <c r="B1939" s="27" t="s">
        <v>16892</v>
      </c>
      <c r="C1939" s="26"/>
    </row>
    <row r="1940" ht="21" spans="1:3">
      <c r="A1940">
        <v>1939</v>
      </c>
      <c r="B1940" s="27" t="s">
        <v>16892</v>
      </c>
      <c r="C1940" s="26"/>
    </row>
    <row r="1941" ht="21" spans="1:3">
      <c r="A1941">
        <v>1940</v>
      </c>
      <c r="B1941" s="25" t="s">
        <v>16892</v>
      </c>
      <c r="C1941" s="26"/>
    </row>
    <row r="1942" ht="18.75" spans="1:3">
      <c r="A1942">
        <v>1941</v>
      </c>
      <c r="B1942" s="31" t="str">
        <f>IFERROR(__xludf.DUMMYFUNCTION("""COMPUTED_VALUE"""),"ለዕቅ ነብይ")</f>
        <v>ለዕቅ ነብይ</v>
      </c>
      <c r="C1942" s="30">
        <v>911444443</v>
      </c>
    </row>
    <row r="1943" ht="21" spans="1:3">
      <c r="A1943">
        <v>1942</v>
      </c>
      <c r="B1943" s="27" t="s">
        <v>16892</v>
      </c>
      <c r="C1943" s="26"/>
    </row>
    <row r="1944" ht="21" spans="1:3">
      <c r="A1944">
        <v>1943</v>
      </c>
      <c r="B1944" s="25" t="s">
        <v>16892</v>
      </c>
      <c r="C1944" s="26"/>
    </row>
    <row r="1945" ht="21" spans="1:3">
      <c r="A1945">
        <v>1944</v>
      </c>
      <c r="B1945" s="27" t="s">
        <v>16892</v>
      </c>
      <c r="C1945" s="26"/>
    </row>
    <row r="1946" ht="21" spans="1:3">
      <c r="A1946">
        <v>1945</v>
      </c>
      <c r="B1946" s="27" t="s">
        <v>16892</v>
      </c>
      <c r="C1946" s="26"/>
    </row>
    <row r="1947" ht="15.75" spans="1:3">
      <c r="A1947">
        <v>1946</v>
      </c>
      <c r="B1947" s="26"/>
      <c r="C1947" s="26"/>
    </row>
    <row r="1948" ht="15.75" spans="1:3">
      <c r="A1948">
        <v>1947</v>
      </c>
      <c r="B1948" s="26"/>
      <c r="C1948" s="26"/>
    </row>
    <row r="1949" ht="21" spans="1:3">
      <c r="A1949">
        <v>1948</v>
      </c>
      <c r="B1949" s="27" t="s">
        <v>16892</v>
      </c>
      <c r="C1949" s="26"/>
    </row>
    <row r="1950" ht="21" spans="1:3">
      <c r="A1950">
        <v>1949</v>
      </c>
      <c r="B1950" s="25" t="s">
        <v>16892</v>
      </c>
      <c r="C1950" s="26"/>
    </row>
    <row r="1951" ht="15.75" spans="1:3">
      <c r="A1951">
        <v>1950</v>
      </c>
      <c r="B1951" s="26"/>
      <c r="C1951" s="26"/>
    </row>
    <row r="1952" ht="15.75" spans="1:3">
      <c r="A1952">
        <v>1951</v>
      </c>
      <c r="B1952" s="26"/>
      <c r="C1952" s="26"/>
    </row>
    <row r="1953" ht="21" spans="1:3">
      <c r="A1953">
        <v>1952</v>
      </c>
      <c r="B1953" s="25" t="s">
        <v>16892</v>
      </c>
      <c r="C1953" s="26"/>
    </row>
    <row r="1954" ht="21" spans="1:3">
      <c r="A1954">
        <v>1953</v>
      </c>
      <c r="B1954" s="25" t="s">
        <v>16892</v>
      </c>
      <c r="C1954" s="26"/>
    </row>
    <row r="1955" ht="15.75" spans="1:3">
      <c r="A1955">
        <v>1954</v>
      </c>
      <c r="B1955" s="26"/>
      <c r="C1955" s="26"/>
    </row>
    <row r="1956" ht="21" spans="1:3">
      <c r="A1956">
        <v>1955</v>
      </c>
      <c r="B1956" s="25" t="s">
        <v>16892</v>
      </c>
      <c r="C1956" s="26"/>
    </row>
    <row r="1957" ht="15.75" spans="1:3">
      <c r="A1957">
        <v>1956</v>
      </c>
      <c r="B1957" s="26"/>
      <c r="C1957" s="26"/>
    </row>
    <row r="1958" ht="21" spans="1:3">
      <c r="A1958">
        <v>1957</v>
      </c>
      <c r="B1958" s="27" t="s">
        <v>16892</v>
      </c>
      <c r="C1958" s="26"/>
    </row>
    <row r="1959" ht="21" spans="1:3">
      <c r="A1959">
        <v>1958</v>
      </c>
      <c r="B1959" s="27" t="s">
        <v>16892</v>
      </c>
      <c r="C1959" s="26"/>
    </row>
    <row r="1960" ht="21" spans="1:3">
      <c r="A1960">
        <v>1959</v>
      </c>
      <c r="B1960" s="27" t="s">
        <v>16892</v>
      </c>
      <c r="C1960" s="26"/>
    </row>
    <row r="1961" ht="21" spans="1:3">
      <c r="A1961">
        <v>1960</v>
      </c>
      <c r="B1961" s="25" t="s">
        <v>16892</v>
      </c>
      <c r="C1961" s="26"/>
    </row>
    <row r="1962" ht="15.75" spans="1:3">
      <c r="A1962">
        <v>1961</v>
      </c>
      <c r="B1962" s="26"/>
      <c r="C1962" s="26"/>
    </row>
    <row r="1963" ht="21" spans="1:3">
      <c r="A1963">
        <v>1962</v>
      </c>
      <c r="B1963" s="25" t="s">
        <v>16892</v>
      </c>
      <c r="C1963" s="26"/>
    </row>
    <row r="1964" ht="21" spans="1:3">
      <c r="A1964">
        <v>1963</v>
      </c>
      <c r="B1964" s="27" t="s">
        <v>16892</v>
      </c>
      <c r="C1964" s="26"/>
    </row>
    <row r="1965" ht="21" spans="1:3">
      <c r="A1965">
        <v>1964</v>
      </c>
      <c r="B1965" s="27" t="s">
        <v>16892</v>
      </c>
      <c r="C1965" s="26"/>
    </row>
    <row r="1966" ht="15.75" spans="1:3">
      <c r="A1966">
        <v>1965</v>
      </c>
      <c r="B1966" s="26"/>
      <c r="C1966" s="26"/>
    </row>
    <row r="1967" ht="15.75" spans="1:3">
      <c r="A1967">
        <v>1966</v>
      </c>
      <c r="B1967" s="26"/>
      <c r="C1967" s="26"/>
    </row>
    <row r="1968" ht="21" spans="1:3">
      <c r="A1968">
        <v>1967</v>
      </c>
      <c r="B1968" s="27" t="s">
        <v>16892</v>
      </c>
      <c r="C1968" s="26"/>
    </row>
    <row r="1969" ht="21" spans="1:3">
      <c r="A1969">
        <v>1968</v>
      </c>
      <c r="B1969" s="27" t="s">
        <v>16892</v>
      </c>
      <c r="C1969" s="26"/>
    </row>
    <row r="1970" ht="15.75" spans="1:3">
      <c r="A1970">
        <v>1969</v>
      </c>
      <c r="B1970" s="26"/>
      <c r="C1970" s="26"/>
    </row>
    <row r="1971" ht="15.75" spans="1:3">
      <c r="A1971">
        <v>1970</v>
      </c>
      <c r="B1971" s="26"/>
      <c r="C1971" s="26"/>
    </row>
    <row r="1972" ht="21" spans="1:3">
      <c r="A1972">
        <v>1971</v>
      </c>
      <c r="B1972" s="25" t="s">
        <v>16892</v>
      </c>
      <c r="C1972" s="26"/>
    </row>
    <row r="1973" ht="15.75" spans="1:3">
      <c r="A1973">
        <v>1972</v>
      </c>
      <c r="B1973" s="26"/>
      <c r="C1973" s="26"/>
    </row>
    <row r="1974" ht="18.75" spans="1:3">
      <c r="A1974">
        <v>1973</v>
      </c>
      <c r="B1974" s="31" t="str">
        <f>IFERROR(__xludf.DUMMYFUNCTION("""COMPUTED_VALUE"""),"Mesgana Asefa")</f>
        <v>Mesgana Asefa</v>
      </c>
      <c r="C1974" s="30">
        <v>921302374</v>
      </c>
    </row>
    <row r="1975" ht="15.75" spans="1:3">
      <c r="A1975">
        <v>1974</v>
      </c>
      <c r="B1975" s="26"/>
      <c r="C1975" s="26"/>
    </row>
    <row r="1976" ht="21" spans="1:3">
      <c r="A1976">
        <v>1975</v>
      </c>
      <c r="B1976" s="25" t="s">
        <v>16892</v>
      </c>
      <c r="C1976" s="26"/>
    </row>
    <row r="1977" ht="21" spans="1:3">
      <c r="A1977">
        <v>1976</v>
      </c>
      <c r="B1977" s="27" t="s">
        <v>16892</v>
      </c>
      <c r="C1977" s="26"/>
    </row>
    <row r="1978" ht="15.75" spans="1:3">
      <c r="A1978">
        <v>1977</v>
      </c>
      <c r="B1978" s="26"/>
      <c r="C1978" s="26"/>
    </row>
    <row r="1979" ht="15.75" spans="1:3">
      <c r="A1979">
        <v>1978</v>
      </c>
      <c r="B1979" s="26"/>
      <c r="C1979" s="26"/>
    </row>
    <row r="1980" ht="15.75" spans="1:3">
      <c r="A1980">
        <v>1979</v>
      </c>
      <c r="B1980" s="26"/>
      <c r="C1980" s="26"/>
    </row>
    <row r="1981" ht="15.75" spans="1:3">
      <c r="A1981">
        <v>1980</v>
      </c>
      <c r="B1981" s="26"/>
      <c r="C1981" s="26"/>
    </row>
    <row r="1982" ht="15.75" spans="1:3">
      <c r="A1982">
        <v>1981</v>
      </c>
      <c r="B1982" s="26"/>
      <c r="C1982" s="26"/>
    </row>
    <row r="1983" ht="15.75" spans="1:3">
      <c r="A1983">
        <v>1982</v>
      </c>
      <c r="B1983" s="26"/>
      <c r="C1983" s="26"/>
    </row>
    <row r="1984" ht="15.75" spans="1:3">
      <c r="A1984">
        <v>1983</v>
      </c>
      <c r="B1984" s="26"/>
      <c r="C1984" s="26"/>
    </row>
    <row r="1985" ht="15.75" spans="1:3">
      <c r="A1985">
        <v>1984</v>
      </c>
      <c r="B1985" s="26"/>
      <c r="C1985" s="26"/>
    </row>
    <row r="1986" ht="21" spans="1:3">
      <c r="A1986">
        <v>1985</v>
      </c>
      <c r="B1986" s="27" t="s">
        <v>16892</v>
      </c>
      <c r="C1986" s="26"/>
    </row>
    <row r="1987" ht="15.75" spans="1:3">
      <c r="A1987">
        <v>1986</v>
      </c>
      <c r="B1987" s="26"/>
      <c r="C1987" s="26"/>
    </row>
    <row r="1988" ht="18.75" spans="1:3">
      <c r="A1988">
        <v>1987</v>
      </c>
      <c r="B1988" s="31" t="str">
        <f>IFERROR(__xludf.DUMMYFUNCTION("""COMPUTED_VALUE"""),"ትደነቂያለሽ ብ/ክርስቶስ")</f>
        <v>ትደነቂያለሽ ብ/ክርስቶስ</v>
      </c>
      <c r="C1988" s="30">
        <v>945684276</v>
      </c>
    </row>
    <row r="1989" ht="15.75" spans="1:3">
      <c r="A1989">
        <v>1988</v>
      </c>
      <c r="B1989" s="26"/>
      <c r="C1989" s="26"/>
    </row>
    <row r="1990" ht="15.75" spans="1:3">
      <c r="A1990">
        <v>1989</v>
      </c>
      <c r="B1990" s="26"/>
      <c r="C1990" s="26"/>
    </row>
    <row r="1991" ht="15.75" spans="1:3">
      <c r="A1991">
        <v>1990</v>
      </c>
      <c r="B1991" s="26"/>
      <c r="C1991" s="26"/>
    </row>
    <row r="1992" ht="21" spans="1:3">
      <c r="A1992">
        <v>1991</v>
      </c>
      <c r="B1992" s="25" t="s">
        <v>16892</v>
      </c>
      <c r="C1992" s="26"/>
    </row>
    <row r="1993" ht="15.75" spans="1:3">
      <c r="A1993">
        <v>1992</v>
      </c>
      <c r="B1993" s="26"/>
      <c r="C1993" s="26"/>
    </row>
    <row r="1994" ht="15.75" spans="1:3">
      <c r="A1994">
        <v>1993</v>
      </c>
      <c r="B1994" s="26"/>
      <c r="C1994" s="26"/>
    </row>
    <row r="1995" ht="15.75" spans="1:3">
      <c r="A1995">
        <v>1994</v>
      </c>
      <c r="B1995" s="26"/>
      <c r="C1995" s="26"/>
    </row>
    <row r="1996" ht="18" spans="1:3">
      <c r="A1996">
        <v>1995</v>
      </c>
      <c r="B1996" s="31" t="str">
        <f>IFERROR(__xludf.DUMMYFUNCTION("""COMPUTED_VALUE"""),"Tesfaye Tadesse")</f>
        <v>Tesfaye Tadesse</v>
      </c>
      <c r="C1996" s="31">
        <v>923942202</v>
      </c>
    </row>
    <row r="1997" ht="15.75" spans="1:3">
      <c r="A1997">
        <v>1996</v>
      </c>
      <c r="B1997" s="26"/>
      <c r="C1997" s="26"/>
    </row>
    <row r="1998" ht="15.75" spans="1:3">
      <c r="A1998">
        <v>1997</v>
      </c>
      <c r="B1998" s="26"/>
      <c r="C1998" s="26"/>
    </row>
    <row r="1999" ht="15.75" spans="1:3">
      <c r="A1999">
        <v>1998</v>
      </c>
      <c r="B1999" s="26"/>
      <c r="C1999" s="26"/>
    </row>
    <row r="2000" ht="15.75" spans="1:3">
      <c r="A2000">
        <v>1999</v>
      </c>
      <c r="B2000" s="26"/>
      <c r="C2000" s="26"/>
    </row>
    <row r="2001" ht="15.75" spans="1:3">
      <c r="A2001">
        <v>2000</v>
      </c>
      <c r="B2001" s="26"/>
      <c r="C2001" s="26"/>
    </row>
    <row r="2002" ht="15.75" spans="1:3">
      <c r="A2002">
        <v>2001</v>
      </c>
      <c r="B2002" s="26"/>
      <c r="C2002" s="26"/>
    </row>
    <row r="2003" ht="15.75" spans="1:3">
      <c r="A2003">
        <v>2002</v>
      </c>
      <c r="B2003" s="26"/>
      <c r="C2003" s="26"/>
    </row>
    <row r="2004" ht="15.75" spans="1:3">
      <c r="A2004">
        <v>2003</v>
      </c>
      <c r="B2004" s="26"/>
      <c r="C2004" s="26"/>
    </row>
    <row r="2005" ht="15.75" spans="1:3">
      <c r="A2005">
        <v>2004</v>
      </c>
      <c r="B2005" s="26"/>
      <c r="C2005" s="26"/>
    </row>
    <row r="2006" ht="15.75" spans="1:3">
      <c r="A2006">
        <v>2005</v>
      </c>
      <c r="B2006" s="26"/>
      <c r="C2006" s="26"/>
    </row>
    <row r="2007" ht="15.75" spans="1:3">
      <c r="A2007">
        <v>2006</v>
      </c>
      <c r="B2007" s="26"/>
      <c r="C2007" s="26"/>
    </row>
    <row r="2008" ht="21" spans="1:3">
      <c r="A2008">
        <v>2007</v>
      </c>
      <c r="B2008" s="27" t="s">
        <v>16892</v>
      </c>
      <c r="C2008" s="26"/>
    </row>
    <row r="2009" ht="15.75" spans="1:3">
      <c r="A2009">
        <v>2008</v>
      </c>
      <c r="B2009" s="26"/>
      <c r="C2009" s="26"/>
    </row>
    <row r="2010" ht="15.75" spans="1:3">
      <c r="A2010">
        <v>2009</v>
      </c>
      <c r="B2010" s="26"/>
      <c r="C2010" s="26"/>
    </row>
    <row r="2011" ht="21" spans="1:3">
      <c r="A2011">
        <v>2010</v>
      </c>
      <c r="B2011" s="27" t="s">
        <v>16892</v>
      </c>
      <c r="C2011" s="26"/>
    </row>
    <row r="2012" ht="15.75" spans="1:3">
      <c r="A2012">
        <v>2011</v>
      </c>
      <c r="B2012" s="29"/>
      <c r="C2012" s="29"/>
    </row>
    <row r="2013" ht="15.75" spans="1:3">
      <c r="A2013">
        <v>2012</v>
      </c>
      <c r="B2013" s="29"/>
      <c r="C2013" s="29"/>
    </row>
    <row r="2014" ht="15.75" spans="1:3">
      <c r="A2014">
        <v>2013</v>
      </c>
      <c r="B2014" s="29"/>
      <c r="C2014" s="29"/>
    </row>
    <row r="2015" ht="15.75" spans="1:3">
      <c r="A2015">
        <v>2014</v>
      </c>
      <c r="B2015" s="29"/>
      <c r="C2015" s="29"/>
    </row>
    <row r="2016" ht="15.75" spans="1:3">
      <c r="A2016">
        <v>2015</v>
      </c>
      <c r="B2016" s="26"/>
      <c r="C2016" s="26"/>
    </row>
    <row r="2017" ht="15.75" spans="1:3">
      <c r="A2017">
        <v>2016</v>
      </c>
      <c r="B2017" s="26"/>
      <c r="C2017" s="26"/>
    </row>
    <row r="2018" ht="15.75" spans="1:3">
      <c r="A2018">
        <v>2017</v>
      </c>
      <c r="B2018" s="26"/>
      <c r="C2018" s="26"/>
    </row>
    <row r="2019" ht="18.75" spans="1:3">
      <c r="A2019">
        <v>2018</v>
      </c>
      <c r="B2019" s="30" t="str">
        <f>IFERROR(__xludf.DUMMYFUNCTION("""COMPUTED_VALUE"""),"Nardos Ketema")</f>
        <v>Nardos Ketema</v>
      </c>
      <c r="C2019" s="30">
        <v>911983420</v>
      </c>
    </row>
    <row r="2020" ht="15.75" spans="1:3">
      <c r="A2020">
        <v>2019</v>
      </c>
      <c r="B2020" s="26"/>
      <c r="C2020" s="26"/>
    </row>
    <row r="2021" ht="15.75" spans="1:3">
      <c r="A2021">
        <v>2020</v>
      </c>
      <c r="B2021" s="26"/>
      <c r="C2021" s="26"/>
    </row>
    <row r="2022" ht="15.75" spans="1:3">
      <c r="A2022">
        <v>2021</v>
      </c>
      <c r="B2022" s="26"/>
      <c r="C2022" s="26"/>
    </row>
    <row r="2023" ht="15.75" spans="1:3">
      <c r="A2023">
        <v>2022</v>
      </c>
      <c r="B2023" s="26"/>
      <c r="C2023" s="26"/>
    </row>
    <row r="2024" ht="15.75" spans="1:3">
      <c r="A2024">
        <v>2023</v>
      </c>
      <c r="B2024" s="26"/>
      <c r="C2024" s="26"/>
    </row>
    <row r="2025" ht="18" spans="1:3">
      <c r="A2025">
        <v>2024</v>
      </c>
      <c r="B2025" s="31" t="str">
        <f>IFERROR(__xludf.DUMMYFUNCTION("""COMPUTED_VALUE"""),"tsigereda fisiha")</f>
        <v>tsigereda fisiha</v>
      </c>
      <c r="C2025" s="31">
        <v>963294069</v>
      </c>
    </row>
    <row r="2026" ht="15.75" spans="1:3">
      <c r="A2026">
        <v>2025</v>
      </c>
      <c r="B2026" s="26"/>
      <c r="C2026" s="26"/>
    </row>
    <row r="2027" ht="21" spans="1:3">
      <c r="A2027">
        <v>2026</v>
      </c>
      <c r="B2027" s="25" t="s">
        <v>16892</v>
      </c>
      <c r="C2027" s="26"/>
    </row>
    <row r="2028" ht="21" spans="1:3">
      <c r="A2028">
        <v>2027</v>
      </c>
      <c r="B2028" s="27" t="s">
        <v>16914</v>
      </c>
      <c r="C2028" s="26"/>
    </row>
    <row r="2029" ht="21" spans="1:3">
      <c r="A2029">
        <v>2028</v>
      </c>
      <c r="B2029" s="25" t="s">
        <v>16892</v>
      </c>
      <c r="C2029" s="26"/>
    </row>
    <row r="2030" ht="15.75" spans="1:3">
      <c r="A2030">
        <v>2029</v>
      </c>
      <c r="B2030" s="26"/>
      <c r="C2030" s="26"/>
    </row>
    <row r="2031" ht="21" spans="1:3">
      <c r="A2031">
        <v>2030</v>
      </c>
      <c r="B2031" s="27" t="s">
        <v>16892</v>
      </c>
      <c r="C2031" s="26"/>
    </row>
    <row r="2032" ht="21" spans="1:3">
      <c r="A2032">
        <v>2031</v>
      </c>
      <c r="B2032" s="27" t="s">
        <v>16892</v>
      </c>
      <c r="C2032" s="26"/>
    </row>
    <row r="2033" ht="21" spans="1:3">
      <c r="A2033">
        <v>2032</v>
      </c>
      <c r="B2033" s="25" t="s">
        <v>16892</v>
      </c>
      <c r="C2033" s="26"/>
    </row>
    <row r="2034" ht="15.75" spans="1:3">
      <c r="A2034">
        <v>2033</v>
      </c>
      <c r="B2034" s="26"/>
      <c r="C2034" s="26"/>
    </row>
    <row r="2035" ht="21" spans="1:3">
      <c r="A2035">
        <v>2034</v>
      </c>
      <c r="B2035" s="27" t="s">
        <v>16892</v>
      </c>
      <c r="C2035" s="26"/>
    </row>
    <row r="2036" ht="21" spans="1:3">
      <c r="A2036">
        <v>2035</v>
      </c>
      <c r="B2036" s="27" t="s">
        <v>16892</v>
      </c>
      <c r="C2036" s="26"/>
    </row>
    <row r="2037" ht="21" spans="1:3">
      <c r="A2037">
        <v>2036</v>
      </c>
      <c r="B2037" s="25" t="s">
        <v>16892</v>
      </c>
      <c r="C2037" s="26"/>
    </row>
    <row r="2038" ht="21" spans="1:3">
      <c r="A2038">
        <v>2037</v>
      </c>
      <c r="B2038" s="27" t="s">
        <v>16892</v>
      </c>
      <c r="C2038" s="26"/>
    </row>
    <row r="2039" ht="21" spans="1:3">
      <c r="A2039">
        <v>2038</v>
      </c>
      <c r="B2039" s="25" t="s">
        <v>16892</v>
      </c>
      <c r="C2039" s="26"/>
    </row>
    <row r="2040" ht="21" spans="1:3">
      <c r="A2040">
        <v>2039</v>
      </c>
      <c r="B2040" s="25" t="s">
        <v>16892</v>
      </c>
      <c r="C2040" s="26"/>
    </row>
    <row r="2041" ht="21" spans="1:3">
      <c r="A2041">
        <v>2040</v>
      </c>
      <c r="B2041" s="27" t="s">
        <v>16892</v>
      </c>
      <c r="C2041" s="26"/>
    </row>
    <row r="2042" ht="21" spans="1:3">
      <c r="A2042">
        <v>2041</v>
      </c>
      <c r="B2042" s="25" t="s">
        <v>16892</v>
      </c>
      <c r="C2042" s="26"/>
    </row>
    <row r="2043" ht="21" spans="1:3">
      <c r="A2043">
        <v>2042</v>
      </c>
      <c r="B2043" s="27" t="s">
        <v>16892</v>
      </c>
      <c r="C2043" s="26"/>
    </row>
    <row r="2044" ht="15.75" spans="1:3">
      <c r="A2044">
        <v>2043</v>
      </c>
      <c r="B2044" s="26"/>
      <c r="C2044" s="26"/>
    </row>
    <row r="2045" ht="21" spans="1:3">
      <c r="A2045">
        <v>2044</v>
      </c>
      <c r="B2045" s="25" t="s">
        <v>16892</v>
      </c>
      <c r="C2045" s="26"/>
    </row>
    <row r="2046" ht="21" spans="1:3">
      <c r="A2046">
        <v>2045</v>
      </c>
      <c r="B2046" s="27" t="s">
        <v>16892</v>
      </c>
      <c r="C2046" s="26"/>
    </row>
    <row r="2047" ht="21" spans="1:3">
      <c r="A2047">
        <v>2046</v>
      </c>
      <c r="B2047" s="25" t="s">
        <v>16892</v>
      </c>
      <c r="C2047" s="26"/>
    </row>
    <row r="2048" ht="15.75" spans="1:3">
      <c r="A2048">
        <v>2047</v>
      </c>
      <c r="B2048" s="26"/>
      <c r="C2048" s="26"/>
    </row>
    <row r="2049" ht="21" spans="1:3">
      <c r="A2049">
        <v>2048</v>
      </c>
      <c r="B2049" s="25" t="s">
        <v>16892</v>
      </c>
      <c r="C2049" s="26"/>
    </row>
    <row r="2050" ht="21" spans="1:3">
      <c r="A2050">
        <v>2049</v>
      </c>
      <c r="B2050" s="27" t="s">
        <v>16892</v>
      </c>
      <c r="C2050" s="26"/>
    </row>
    <row r="2051" ht="21" spans="1:3">
      <c r="A2051">
        <v>2050</v>
      </c>
      <c r="B2051" s="27" t="s">
        <v>16892</v>
      </c>
      <c r="C2051" s="26"/>
    </row>
    <row r="2052" ht="21" spans="1:3">
      <c r="A2052">
        <v>2051</v>
      </c>
      <c r="B2052" s="25" t="s">
        <v>16892</v>
      </c>
      <c r="C2052" s="26"/>
    </row>
    <row r="2053" ht="21" spans="1:3">
      <c r="A2053">
        <v>2052</v>
      </c>
      <c r="B2053" s="27" t="s">
        <v>16892</v>
      </c>
      <c r="C2053" s="26"/>
    </row>
    <row r="2054" ht="21" spans="1:3">
      <c r="A2054">
        <v>2053</v>
      </c>
      <c r="B2054" s="25" t="s">
        <v>16892</v>
      </c>
      <c r="C2054" s="26"/>
    </row>
    <row r="2055" ht="15.75" spans="1:3">
      <c r="A2055">
        <v>2054</v>
      </c>
      <c r="B2055" s="26"/>
      <c r="C2055" s="26"/>
    </row>
    <row r="2056" ht="21" spans="1:3">
      <c r="A2056">
        <v>2055</v>
      </c>
      <c r="B2056" s="25" t="s">
        <v>16892</v>
      </c>
      <c r="C2056" s="26"/>
    </row>
    <row r="2057" ht="21" spans="1:3">
      <c r="A2057">
        <v>2056</v>
      </c>
      <c r="B2057" s="25" t="s">
        <v>16892</v>
      </c>
      <c r="C2057" s="26"/>
    </row>
    <row r="2058" ht="21" spans="1:3">
      <c r="A2058">
        <v>2057</v>
      </c>
      <c r="B2058" s="25" t="s">
        <v>16892</v>
      </c>
      <c r="C2058" s="26"/>
    </row>
    <row r="2059" ht="21" spans="1:3">
      <c r="A2059">
        <v>2058</v>
      </c>
      <c r="B2059" s="27" t="s">
        <v>16892</v>
      </c>
      <c r="C2059" s="26"/>
    </row>
    <row r="2060" ht="21" spans="1:3">
      <c r="A2060">
        <v>2059</v>
      </c>
      <c r="B2060" s="25" t="s">
        <v>16892</v>
      </c>
      <c r="C2060" s="26"/>
    </row>
    <row r="2061" ht="21" spans="1:3">
      <c r="A2061">
        <v>2060</v>
      </c>
      <c r="B2061" s="27" t="s">
        <v>16892</v>
      </c>
      <c r="C2061" s="26"/>
    </row>
    <row r="2062" ht="21" spans="1:3">
      <c r="A2062">
        <v>2061</v>
      </c>
      <c r="B2062" s="25" t="s">
        <v>16892</v>
      </c>
      <c r="C2062" s="26"/>
    </row>
    <row r="2063" ht="15.75" spans="1:3">
      <c r="A2063">
        <v>2062</v>
      </c>
      <c r="B2063" s="26"/>
      <c r="C2063" s="26"/>
    </row>
    <row r="2064" ht="15.75" spans="1:3">
      <c r="A2064">
        <v>2063</v>
      </c>
      <c r="B2064" s="26"/>
      <c r="C2064" s="26"/>
    </row>
    <row r="2065" ht="21" spans="1:3">
      <c r="A2065">
        <v>2064</v>
      </c>
      <c r="B2065" s="27" t="s">
        <v>16892</v>
      </c>
      <c r="C2065" s="26"/>
    </row>
    <row r="2066" ht="15.75" spans="1:3">
      <c r="A2066">
        <v>2065</v>
      </c>
      <c r="B2066" s="26"/>
      <c r="C2066" s="26"/>
    </row>
    <row r="2067" ht="21" spans="1:3">
      <c r="A2067">
        <v>2066</v>
      </c>
      <c r="B2067" s="25" t="s">
        <v>16892</v>
      </c>
      <c r="C2067" s="26"/>
    </row>
    <row r="2068" ht="21" spans="1:3">
      <c r="A2068">
        <v>2067</v>
      </c>
      <c r="B2068" s="25" t="s">
        <v>16892</v>
      </c>
      <c r="C2068" s="26"/>
    </row>
    <row r="2069" ht="21" spans="1:3">
      <c r="A2069">
        <v>2068</v>
      </c>
      <c r="B2069" s="27" t="s">
        <v>16892</v>
      </c>
      <c r="C2069" s="26"/>
    </row>
    <row r="2070" ht="21" spans="1:3">
      <c r="A2070">
        <v>2069</v>
      </c>
      <c r="B2070" s="25" t="s">
        <v>16892</v>
      </c>
      <c r="C2070" s="26"/>
    </row>
    <row r="2071" ht="21" spans="1:3">
      <c r="A2071">
        <v>2070</v>
      </c>
      <c r="B2071" s="25" t="s">
        <v>16892</v>
      </c>
      <c r="C2071" s="26"/>
    </row>
    <row r="2072" ht="21" spans="1:3">
      <c r="A2072">
        <v>2071</v>
      </c>
      <c r="B2072" s="25" t="s">
        <v>16892</v>
      </c>
      <c r="C2072" s="26"/>
    </row>
    <row r="2073" ht="21" spans="1:3">
      <c r="A2073">
        <v>2072</v>
      </c>
      <c r="B2073" s="25" t="s">
        <v>16892</v>
      </c>
      <c r="C2073" s="26"/>
    </row>
    <row r="2074" ht="21" spans="1:3">
      <c r="A2074">
        <v>2073</v>
      </c>
      <c r="B2074" s="25" t="s">
        <v>16892</v>
      </c>
      <c r="C2074" s="26"/>
    </row>
    <row r="2075" ht="21" spans="1:3">
      <c r="A2075">
        <v>2074</v>
      </c>
      <c r="B2075" s="25" t="s">
        <v>16892</v>
      </c>
      <c r="C2075" s="26"/>
    </row>
    <row r="2076" ht="21" spans="1:3">
      <c r="A2076">
        <v>2075</v>
      </c>
      <c r="B2076" s="27" t="s">
        <v>16892</v>
      </c>
      <c r="C2076" s="26"/>
    </row>
    <row r="2077" ht="21" spans="1:3">
      <c r="A2077">
        <v>2076</v>
      </c>
      <c r="B2077" s="27" t="s">
        <v>16892</v>
      </c>
      <c r="C2077" s="26"/>
    </row>
    <row r="2078" ht="15.75" spans="1:3">
      <c r="A2078">
        <v>2077</v>
      </c>
      <c r="B2078" s="26"/>
      <c r="C2078" s="26"/>
    </row>
    <row r="2079" ht="21" spans="1:3">
      <c r="A2079">
        <v>2078</v>
      </c>
      <c r="B2079" s="25" t="s">
        <v>16892</v>
      </c>
      <c r="C2079" s="26"/>
    </row>
    <row r="2080" ht="15.75" spans="1:3">
      <c r="A2080">
        <v>2079</v>
      </c>
      <c r="B2080" s="26"/>
      <c r="C2080" s="26"/>
    </row>
    <row r="2081" ht="21" spans="1:3">
      <c r="A2081">
        <v>2080</v>
      </c>
      <c r="B2081" s="25" t="s">
        <v>16892</v>
      </c>
      <c r="C2081" s="26"/>
    </row>
    <row r="2082" ht="21" spans="1:3">
      <c r="A2082">
        <v>2081</v>
      </c>
      <c r="B2082" s="27" t="s">
        <v>16892</v>
      </c>
      <c r="C2082" s="26"/>
    </row>
    <row r="2083" ht="15.75" spans="1:3">
      <c r="A2083">
        <v>2082</v>
      </c>
      <c r="B2083" s="26"/>
      <c r="C2083" s="26"/>
    </row>
    <row r="2084" ht="15.75" spans="1:3">
      <c r="A2084">
        <v>2083</v>
      </c>
      <c r="B2084" s="26"/>
      <c r="C2084" s="26"/>
    </row>
    <row r="2085" ht="21" spans="1:3">
      <c r="A2085">
        <v>2084</v>
      </c>
      <c r="B2085" s="27" t="s">
        <v>16892</v>
      </c>
      <c r="C2085" s="26"/>
    </row>
    <row r="2086" ht="21" spans="1:3">
      <c r="A2086">
        <v>2085</v>
      </c>
      <c r="B2086" s="27" t="s">
        <v>16892</v>
      </c>
      <c r="C2086" s="26"/>
    </row>
    <row r="2087" ht="21" spans="1:3">
      <c r="A2087">
        <v>2086</v>
      </c>
      <c r="B2087" s="27" t="s">
        <v>16892</v>
      </c>
      <c r="C2087" s="26"/>
    </row>
    <row r="2088" ht="21" spans="1:3">
      <c r="A2088">
        <v>2087</v>
      </c>
      <c r="B2088" s="25" t="s">
        <v>16892</v>
      </c>
      <c r="C2088" s="26"/>
    </row>
    <row r="2089" ht="21" spans="1:3">
      <c r="A2089">
        <v>2088</v>
      </c>
      <c r="B2089" s="27" t="s">
        <v>16892</v>
      </c>
      <c r="C2089" s="26"/>
    </row>
    <row r="2090" ht="21" spans="1:3">
      <c r="A2090">
        <v>2089</v>
      </c>
      <c r="B2090" s="25" t="s">
        <v>16892</v>
      </c>
      <c r="C2090" s="26"/>
    </row>
    <row r="2091" ht="21" spans="1:3">
      <c r="A2091">
        <v>2090</v>
      </c>
      <c r="B2091" s="27" t="s">
        <v>16892</v>
      </c>
      <c r="C2091" s="26"/>
    </row>
    <row r="2092" ht="21" spans="1:3">
      <c r="A2092">
        <v>2091</v>
      </c>
      <c r="B2092" s="27" t="s">
        <v>16892</v>
      </c>
      <c r="C2092" s="26"/>
    </row>
    <row r="2093" ht="18.75" spans="1:3">
      <c r="A2093">
        <v>2092</v>
      </c>
      <c r="B2093" s="34" t="str">
        <f>IFERROR(__xludf.DUMMYFUNCTION("""COMPUTED_VALUE"""),"ዶ/ር ኤርምያስ ብርሃኑ")</f>
        <v>ዶ/ር ኤርምያስ ብርሃኑ</v>
      </c>
      <c r="C2093" s="34">
        <v>911477166</v>
      </c>
    </row>
    <row r="2094" ht="18.75" spans="1:3">
      <c r="A2094">
        <v>2093</v>
      </c>
      <c r="B2094" s="34" t="str">
        <f>IFERROR(__xludf.DUMMYFUNCTION("""COMPUTED_VALUE"""),"ዶ/ር ኤርምያስ ብርሃኑ")</f>
        <v>ዶ/ር ኤርምያስ ብርሃኑ</v>
      </c>
      <c r="C2094" s="34">
        <v>911477166</v>
      </c>
    </row>
    <row r="2095" spans="1:3">
      <c r="A2095">
        <v>2094</v>
      </c>
      <c r="B2095" s="37" t="s">
        <v>16913</v>
      </c>
      <c r="C2095" s="38">
        <v>911477166</v>
      </c>
    </row>
    <row r="2096" ht="30" spans="1:3">
      <c r="A2096">
        <v>2095</v>
      </c>
      <c r="B2096" s="37" t="s">
        <v>16915</v>
      </c>
      <c r="C2096" s="38">
        <v>919850338</v>
      </c>
    </row>
    <row r="2097" ht="15.75" spans="1:3">
      <c r="A2097">
        <v>2096</v>
      </c>
      <c r="B2097" s="26"/>
      <c r="C2097" s="26"/>
    </row>
    <row r="2098" ht="21" spans="1:3">
      <c r="A2098">
        <v>2097</v>
      </c>
      <c r="B2098" s="25" t="s">
        <v>16892</v>
      </c>
      <c r="C2098" s="26"/>
    </row>
    <row r="2099" ht="21" spans="1:3">
      <c r="A2099">
        <v>2098</v>
      </c>
      <c r="B2099" s="25" t="s">
        <v>16892</v>
      </c>
      <c r="C2099" s="26"/>
    </row>
    <row r="2100" ht="21" spans="1:3">
      <c r="A2100">
        <v>2099</v>
      </c>
      <c r="B2100" s="25" t="s">
        <v>16892</v>
      </c>
      <c r="C2100" s="26"/>
    </row>
    <row r="2101" ht="21" spans="1:3">
      <c r="A2101">
        <v>2100</v>
      </c>
      <c r="B2101" s="25" t="s">
        <v>16892</v>
      </c>
      <c r="C2101" s="26"/>
    </row>
    <row r="2102" ht="21" spans="1:3">
      <c r="A2102">
        <v>2101</v>
      </c>
      <c r="B2102" s="25" t="s">
        <v>16892</v>
      </c>
      <c r="C2102" s="26"/>
    </row>
    <row r="2103" ht="15.75" spans="1:3">
      <c r="A2103">
        <v>2102</v>
      </c>
      <c r="B2103" s="26"/>
      <c r="C2103" s="26"/>
    </row>
    <row r="2104" ht="21" spans="1:3">
      <c r="A2104">
        <v>2103</v>
      </c>
      <c r="B2104" s="27" t="s">
        <v>16892</v>
      </c>
      <c r="C2104" s="26"/>
    </row>
    <row r="2105" ht="15.75" spans="1:3">
      <c r="A2105">
        <v>2104</v>
      </c>
      <c r="B2105" s="26"/>
      <c r="C2105" s="26"/>
    </row>
    <row r="2106" ht="21" spans="1:3">
      <c r="A2106">
        <v>2105</v>
      </c>
      <c r="B2106" s="27" t="s">
        <v>16892</v>
      </c>
      <c r="C2106" s="26"/>
    </row>
    <row r="2107" ht="15.75" spans="1:3">
      <c r="A2107">
        <v>2106</v>
      </c>
      <c r="B2107" s="26"/>
      <c r="C2107" s="26"/>
    </row>
    <row r="2108" ht="15.75" spans="1:3">
      <c r="A2108">
        <v>2107</v>
      </c>
      <c r="B2108" s="26"/>
      <c r="C2108" s="26"/>
    </row>
    <row r="2109" ht="15.75" spans="1:3">
      <c r="A2109">
        <v>2108</v>
      </c>
      <c r="B2109" s="26"/>
      <c r="C2109" s="26"/>
    </row>
    <row r="2110" ht="21" spans="1:3">
      <c r="A2110">
        <v>2109</v>
      </c>
      <c r="B2110" s="25" t="s">
        <v>16892</v>
      </c>
      <c r="C2110" s="26"/>
    </row>
    <row r="2111" ht="15.75" spans="1:3">
      <c r="A2111">
        <v>2110</v>
      </c>
      <c r="B2111" s="26"/>
      <c r="C2111" s="26"/>
    </row>
    <row r="2112" ht="15.75" spans="1:3">
      <c r="A2112">
        <v>2111</v>
      </c>
      <c r="B2112" s="26"/>
      <c r="C2112" s="26"/>
    </row>
    <row r="2113" ht="15.75" spans="1:3">
      <c r="A2113">
        <v>2112</v>
      </c>
      <c r="B2113" s="26"/>
      <c r="C2113" s="26"/>
    </row>
    <row r="2114" ht="15.75" spans="1:3">
      <c r="A2114">
        <v>2113</v>
      </c>
      <c r="B2114" s="26"/>
      <c r="C2114" s="26"/>
    </row>
    <row r="2115" ht="18.75" spans="1:3">
      <c r="A2115">
        <v>2114</v>
      </c>
      <c r="B2115" s="39" t="str">
        <f>IFERROR(__xludf.DUMMYFUNCTION("""COMPUTED_VALUE"""),"No Agent")</f>
        <v>No Agent</v>
      </c>
      <c r="C2115" s="34"/>
    </row>
    <row r="2116" ht="18.75" spans="1:3">
      <c r="A2116">
        <v>2115</v>
      </c>
      <c r="B2116" s="39" t="str">
        <f>IFERROR(__xludf.DUMMYFUNCTION("""COMPUTED_VALUE"""),"No Agent")</f>
        <v>No Agent</v>
      </c>
      <c r="C2116" s="34"/>
    </row>
    <row r="2117" ht="15.75" spans="1:3">
      <c r="A2117">
        <v>2116</v>
      </c>
      <c r="B2117" s="26"/>
      <c r="C2117" s="26"/>
    </row>
    <row r="2118" ht="15.75" spans="1:3">
      <c r="A2118">
        <v>2117</v>
      </c>
      <c r="B2118" s="26"/>
      <c r="C2118" s="26"/>
    </row>
    <row r="2119" ht="21" spans="1:3">
      <c r="A2119">
        <v>2118</v>
      </c>
      <c r="B2119" s="25" t="s">
        <v>16892</v>
      </c>
      <c r="C2119" s="26"/>
    </row>
    <row r="2120" ht="18.75" spans="1:3">
      <c r="A2120">
        <v>2119</v>
      </c>
      <c r="B2120" s="30" t="str">
        <f>IFERROR(__xludf.DUMMYFUNCTION("""COMPUTED_VALUE"""),"Million Seyum")</f>
        <v>Million Seyum</v>
      </c>
      <c r="C2120" s="30">
        <v>944540064</v>
      </c>
    </row>
    <row r="2121" ht="15.75" spans="1:3">
      <c r="A2121">
        <v>2120</v>
      </c>
      <c r="B2121" s="26"/>
      <c r="C2121" s="26"/>
    </row>
    <row r="2122" ht="15.75" spans="1:3">
      <c r="A2122">
        <v>2121</v>
      </c>
      <c r="B2122" s="26"/>
      <c r="C2122" s="26"/>
    </row>
    <row r="2123" ht="15.75" spans="1:3">
      <c r="A2123">
        <v>2122</v>
      </c>
      <c r="B2123" s="26"/>
      <c r="C2123" s="26"/>
    </row>
    <row r="2124" ht="15.75" spans="1:3">
      <c r="A2124">
        <v>2123</v>
      </c>
      <c r="B2124" s="26"/>
      <c r="C2124" s="26"/>
    </row>
    <row r="2125" ht="15.75" spans="1:3">
      <c r="A2125">
        <v>2124</v>
      </c>
      <c r="B2125" s="26"/>
      <c r="C2125" s="26"/>
    </row>
    <row r="2126" ht="15.75" spans="1:3">
      <c r="A2126">
        <v>2125</v>
      </c>
      <c r="B2126" s="26"/>
      <c r="C2126" s="26"/>
    </row>
    <row r="2127" ht="21" spans="1:3">
      <c r="A2127">
        <v>2126</v>
      </c>
      <c r="B2127" s="27" t="s">
        <v>16892</v>
      </c>
      <c r="C2127" s="26"/>
    </row>
    <row r="2128" ht="15.75" spans="1:3">
      <c r="A2128">
        <v>2127</v>
      </c>
      <c r="B2128" s="26"/>
      <c r="C2128" s="26"/>
    </row>
    <row r="2129" ht="21" spans="1:3">
      <c r="A2129">
        <v>2128</v>
      </c>
      <c r="B2129" s="25" t="s">
        <v>16892</v>
      </c>
      <c r="C2129" s="26"/>
    </row>
    <row r="2130" ht="21" spans="1:3">
      <c r="A2130">
        <v>2129</v>
      </c>
      <c r="B2130" s="27" t="s">
        <v>16892</v>
      </c>
      <c r="C2130" s="26"/>
    </row>
    <row r="2131" ht="15.75" spans="1:3">
      <c r="A2131">
        <v>2130</v>
      </c>
      <c r="B2131" s="26"/>
      <c r="C2131" s="26"/>
    </row>
    <row r="2132" ht="15.75" spans="1:3">
      <c r="A2132">
        <v>2131</v>
      </c>
      <c r="B2132" s="26"/>
      <c r="C2132" s="26"/>
    </row>
    <row r="2133" ht="15.75" spans="1:3">
      <c r="A2133">
        <v>2132</v>
      </c>
      <c r="B2133" s="26"/>
      <c r="C2133" s="26"/>
    </row>
    <row r="2134" ht="15.75" spans="1:3">
      <c r="A2134">
        <v>2133</v>
      </c>
      <c r="B2134" s="26"/>
      <c r="C2134" s="26"/>
    </row>
    <row r="2135" ht="15.75" spans="1:3">
      <c r="A2135">
        <v>2134</v>
      </c>
      <c r="B2135" s="26"/>
      <c r="C2135" s="26"/>
    </row>
    <row r="2136" ht="21" spans="1:3">
      <c r="A2136">
        <v>2135</v>
      </c>
      <c r="B2136" s="25" t="s">
        <v>16892</v>
      </c>
      <c r="C2136" s="26"/>
    </row>
    <row r="2137" ht="18.75" spans="1:3">
      <c r="A2137">
        <v>2136</v>
      </c>
      <c r="B2137" s="39" t="str">
        <f>IFERROR(__xludf.DUMMYFUNCTION("""COMPUTED_VALUE"""),"million siyum")</f>
        <v>million siyum</v>
      </c>
      <c r="C2137" s="34">
        <v>944540064</v>
      </c>
    </row>
    <row r="2138" ht="18.75" spans="1:3">
      <c r="A2138">
        <v>2137</v>
      </c>
      <c r="B2138" s="39" t="str">
        <f>IFERROR(__xludf.DUMMYFUNCTION("""COMPUTED_VALUE"""),"million siyum")</f>
        <v>million siyum</v>
      </c>
      <c r="C2138" s="34">
        <v>944540064</v>
      </c>
    </row>
    <row r="2139" ht="15.75" spans="1:3">
      <c r="A2139">
        <v>2138</v>
      </c>
      <c r="B2139" s="26"/>
      <c r="C2139" s="26"/>
    </row>
    <row r="2140" ht="21" spans="1:3">
      <c r="A2140">
        <v>2139</v>
      </c>
      <c r="B2140" s="25" t="s">
        <v>16902</v>
      </c>
      <c r="C2140" s="26"/>
    </row>
    <row r="2141" ht="21" spans="1:3">
      <c r="A2141">
        <v>2140</v>
      </c>
      <c r="B2141" s="25" t="s">
        <v>16892</v>
      </c>
      <c r="C2141" s="26"/>
    </row>
    <row r="2142" ht="15.75" spans="1:3">
      <c r="A2142">
        <v>2141</v>
      </c>
      <c r="B2142" s="26"/>
      <c r="C2142" s="26"/>
    </row>
    <row r="2143" ht="18.75" spans="1:3">
      <c r="A2143">
        <v>2142</v>
      </c>
      <c r="B2143" s="30" t="s">
        <v>16916</v>
      </c>
      <c r="C2143" s="30" t="s">
        <v>16917</v>
      </c>
    </row>
    <row r="2144" spans="1:3">
      <c r="A2144">
        <v>2143</v>
      </c>
      <c r="B2144" s="45" t="s">
        <v>16913</v>
      </c>
      <c r="C2144" s="36">
        <v>911477166</v>
      </c>
    </row>
    <row r="2145" ht="15.75" spans="1:3">
      <c r="A2145">
        <v>2144</v>
      </c>
      <c r="B2145" s="26"/>
      <c r="C2145" s="26"/>
    </row>
    <row r="2146" ht="18.75" spans="1:3">
      <c r="A2146">
        <v>2145</v>
      </c>
      <c r="B2146" s="31" t="str">
        <f>IFERROR(__xludf.DUMMYFUNCTION("""COMPUTED_VALUE"""),"አስፓየር ግሪን ላንድ ኢትዮፒያ")</f>
        <v>አስፓየር ግሪን ላንድ ኢትዮፒያ</v>
      </c>
      <c r="C2146" s="30"/>
    </row>
    <row r="2147" ht="21" spans="1:3">
      <c r="A2147">
        <v>2146</v>
      </c>
      <c r="B2147" s="27" t="s">
        <v>16892</v>
      </c>
      <c r="C2147" s="26"/>
    </row>
    <row r="2148" ht="15.75" spans="1:3">
      <c r="A2148">
        <v>2147</v>
      </c>
      <c r="B2148" s="26"/>
      <c r="C2148" s="26"/>
    </row>
    <row r="2149" ht="18.75" spans="1:3">
      <c r="A2149">
        <v>2148</v>
      </c>
      <c r="B2149" s="31" t="str">
        <f>IFERROR(__xludf.DUMMYFUNCTION("""COMPUTED_VALUE"""),"Lidiya Tenkir")</f>
        <v>Lidiya Tenkir</v>
      </c>
      <c r="C2149" s="30">
        <v>931238193</v>
      </c>
    </row>
    <row r="2150" ht="21" spans="1:3">
      <c r="A2150">
        <v>2149</v>
      </c>
      <c r="B2150" s="25" t="s">
        <v>16892</v>
      </c>
      <c r="C2150" s="26"/>
    </row>
    <row r="2151" ht="21" spans="1:3">
      <c r="A2151">
        <v>2150</v>
      </c>
      <c r="B2151" s="27" t="s">
        <v>16892</v>
      </c>
      <c r="C2151" s="26"/>
    </row>
    <row r="2152" ht="21" spans="1:3">
      <c r="A2152">
        <v>2151</v>
      </c>
      <c r="B2152" s="25" t="s">
        <v>16892</v>
      </c>
      <c r="C2152" s="26"/>
    </row>
    <row r="2153" ht="21" spans="1:3">
      <c r="A2153">
        <v>2152</v>
      </c>
      <c r="B2153" s="27" t="s">
        <v>16892</v>
      </c>
      <c r="C2153" s="26"/>
    </row>
    <row r="2154" ht="15.75" spans="1:3">
      <c r="A2154">
        <v>2153</v>
      </c>
      <c r="B2154" s="26"/>
      <c r="C2154" s="26"/>
    </row>
    <row r="2155" ht="15.75" spans="1:3">
      <c r="A2155">
        <v>2154</v>
      </c>
      <c r="B2155" s="26"/>
      <c r="C2155" s="26"/>
    </row>
    <row r="2156" ht="15.75" spans="1:3">
      <c r="A2156">
        <v>2155</v>
      </c>
      <c r="B2156" s="26"/>
      <c r="C2156" s="26"/>
    </row>
    <row r="2157" ht="21" spans="1:3">
      <c r="A2157">
        <v>2156</v>
      </c>
      <c r="B2157" s="27" t="s">
        <v>16892</v>
      </c>
      <c r="C2157" s="26"/>
    </row>
    <row r="2158" ht="21" spans="1:3">
      <c r="A2158">
        <v>2157</v>
      </c>
      <c r="B2158" s="27" t="s">
        <v>16892</v>
      </c>
      <c r="C2158" s="26"/>
    </row>
    <row r="2159" ht="21" spans="1:3">
      <c r="A2159">
        <v>2158</v>
      </c>
      <c r="B2159" s="27" t="s">
        <v>16892</v>
      </c>
      <c r="C2159" s="26"/>
    </row>
    <row r="2160" ht="21" spans="1:3">
      <c r="A2160">
        <v>2159</v>
      </c>
      <c r="B2160" s="25" t="s">
        <v>16892</v>
      </c>
      <c r="C2160" s="26"/>
    </row>
    <row r="2161" ht="21" spans="1:3">
      <c r="A2161">
        <v>2160</v>
      </c>
      <c r="B2161" s="27" t="s">
        <v>16892</v>
      </c>
      <c r="C2161" s="26"/>
    </row>
    <row r="2162" ht="21" spans="1:3">
      <c r="A2162">
        <v>2161</v>
      </c>
      <c r="B2162" s="25" t="s">
        <v>16892</v>
      </c>
      <c r="C2162" s="26"/>
    </row>
    <row r="2163" ht="21" spans="1:3">
      <c r="A2163">
        <v>2162</v>
      </c>
      <c r="B2163" s="27" t="s">
        <v>16892</v>
      </c>
      <c r="C2163" s="26"/>
    </row>
    <row r="2164" ht="21" spans="1:3">
      <c r="A2164">
        <v>2163</v>
      </c>
      <c r="B2164" s="27" t="s">
        <v>16892</v>
      </c>
      <c r="C2164" s="26"/>
    </row>
    <row r="2165" ht="21" spans="1:3">
      <c r="A2165">
        <v>2164</v>
      </c>
      <c r="B2165" s="25" t="s">
        <v>16892</v>
      </c>
      <c r="C2165" s="26"/>
    </row>
    <row r="2166" ht="15.75" spans="1:3">
      <c r="A2166">
        <v>2165</v>
      </c>
      <c r="B2166" s="26"/>
      <c r="C2166" s="26"/>
    </row>
    <row r="2167" ht="15.75" spans="1:3">
      <c r="A2167">
        <v>2166</v>
      </c>
      <c r="B2167" s="26"/>
      <c r="C2167" s="26"/>
    </row>
    <row r="2168" ht="15.75" spans="1:3">
      <c r="A2168">
        <v>2167</v>
      </c>
      <c r="B2168" s="26"/>
      <c r="C2168" s="26"/>
    </row>
    <row r="2169" ht="18" spans="1:3">
      <c r="A2169">
        <v>2168</v>
      </c>
      <c r="B2169" s="47" t="s">
        <v>16918</v>
      </c>
      <c r="C2169" s="31">
        <v>924445408</v>
      </c>
    </row>
    <row r="2170" ht="15.75" spans="1:3">
      <c r="A2170">
        <v>2169</v>
      </c>
      <c r="B2170" s="26"/>
      <c r="C2170" s="26"/>
    </row>
    <row r="2171" ht="21" spans="1:3">
      <c r="A2171">
        <v>2170</v>
      </c>
      <c r="B2171" s="25" t="s">
        <v>16892</v>
      </c>
      <c r="C2171" s="26"/>
    </row>
    <row r="2172" ht="15.75" spans="1:3">
      <c r="A2172">
        <v>2171</v>
      </c>
      <c r="B2172" s="26"/>
      <c r="C2172" s="26"/>
    </row>
    <row r="2173" ht="15.75" spans="1:3">
      <c r="A2173">
        <v>2172</v>
      </c>
      <c r="B2173" s="26"/>
      <c r="C2173" s="26"/>
    </row>
    <row r="2174" ht="15.75" spans="1:3">
      <c r="A2174">
        <v>2173</v>
      </c>
      <c r="B2174" s="26"/>
      <c r="C2174" s="26"/>
    </row>
    <row r="2175" ht="21" spans="1:3">
      <c r="A2175">
        <v>2174</v>
      </c>
      <c r="B2175" s="25" t="s">
        <v>16892</v>
      </c>
      <c r="C2175" s="26"/>
    </row>
    <row r="2176" ht="21" spans="1:3">
      <c r="A2176">
        <v>2175</v>
      </c>
      <c r="B2176" s="27" t="s">
        <v>16892</v>
      </c>
      <c r="C2176" s="26"/>
    </row>
    <row r="2177" ht="21" spans="1:3">
      <c r="A2177">
        <v>2176</v>
      </c>
      <c r="B2177" s="27" t="s">
        <v>16892</v>
      </c>
      <c r="C2177" s="26"/>
    </row>
    <row r="2178" ht="21" spans="1:3">
      <c r="A2178">
        <v>2177</v>
      </c>
      <c r="B2178" s="25" t="s">
        <v>16892</v>
      </c>
      <c r="C2178" s="26"/>
    </row>
    <row r="2179" ht="21" spans="1:3">
      <c r="A2179">
        <v>2178</v>
      </c>
      <c r="B2179" s="27" t="s">
        <v>16892</v>
      </c>
      <c r="C2179" s="26"/>
    </row>
    <row r="2180" ht="21" spans="1:3">
      <c r="A2180">
        <v>2179</v>
      </c>
      <c r="B2180" s="27" t="s">
        <v>16892</v>
      </c>
      <c r="C2180" s="26"/>
    </row>
    <row r="2181" ht="15.75" spans="1:3">
      <c r="A2181">
        <v>2180</v>
      </c>
      <c r="B2181" s="26"/>
      <c r="C2181" s="26"/>
    </row>
    <row r="2182" ht="21" spans="1:3">
      <c r="A2182">
        <v>2181</v>
      </c>
      <c r="B2182" s="27" t="s">
        <v>16892</v>
      </c>
      <c r="C2182" s="26"/>
    </row>
    <row r="2183" ht="21" spans="1:3">
      <c r="A2183">
        <v>2182</v>
      </c>
      <c r="B2183" s="27" t="s">
        <v>16892</v>
      </c>
      <c r="C2183" s="26"/>
    </row>
    <row r="2184" ht="15.75" spans="1:3">
      <c r="A2184">
        <v>2183</v>
      </c>
      <c r="B2184" s="26"/>
      <c r="C2184" s="26"/>
    </row>
    <row r="2185" ht="15.75" spans="1:3">
      <c r="A2185">
        <v>2184</v>
      </c>
      <c r="B2185" s="26"/>
      <c r="C2185" s="26"/>
    </row>
    <row r="2186" ht="15.75" spans="1:3">
      <c r="A2186">
        <v>2185</v>
      </c>
      <c r="B2186" s="26"/>
      <c r="C2186" s="26"/>
    </row>
    <row r="2187" ht="21" spans="1:3">
      <c r="A2187">
        <v>2186</v>
      </c>
      <c r="B2187" s="27" t="s">
        <v>16892</v>
      </c>
      <c r="C2187" s="26"/>
    </row>
    <row r="2188" ht="21" spans="1:3">
      <c r="A2188">
        <v>2187</v>
      </c>
      <c r="B2188" s="25" t="s">
        <v>16892</v>
      </c>
      <c r="C2188" s="26"/>
    </row>
    <row r="2189" ht="21" spans="1:3">
      <c r="A2189">
        <v>2188</v>
      </c>
      <c r="B2189" s="25" t="s">
        <v>16892</v>
      </c>
      <c r="C2189" s="26"/>
    </row>
    <row r="2190" ht="21" spans="1:3">
      <c r="A2190">
        <v>2189</v>
      </c>
      <c r="B2190" s="27" t="s">
        <v>16902</v>
      </c>
      <c r="C2190" s="26"/>
    </row>
    <row r="2191" ht="21" spans="1:3">
      <c r="A2191">
        <v>2190</v>
      </c>
      <c r="B2191" s="25" t="s">
        <v>16892</v>
      </c>
      <c r="C2191" s="26"/>
    </row>
    <row r="2192" ht="21" spans="1:3">
      <c r="A2192">
        <v>2191</v>
      </c>
      <c r="B2192" s="25" t="s">
        <v>16892</v>
      </c>
      <c r="C2192" s="26"/>
    </row>
    <row r="2193" ht="21" spans="1:3">
      <c r="A2193">
        <v>2192</v>
      </c>
      <c r="B2193" s="27" t="s">
        <v>16892</v>
      </c>
      <c r="C2193" s="26"/>
    </row>
    <row r="2194" ht="21" spans="1:3">
      <c r="A2194">
        <v>2193</v>
      </c>
      <c r="B2194" s="25" t="s">
        <v>16892</v>
      </c>
      <c r="C2194" s="26"/>
    </row>
    <row r="2195" ht="15.75" spans="1:3">
      <c r="A2195">
        <v>2194</v>
      </c>
      <c r="B2195" s="26"/>
      <c r="C2195" s="26"/>
    </row>
    <row r="2196" ht="21" spans="1:3">
      <c r="A2196">
        <v>2195</v>
      </c>
      <c r="B2196" s="25" t="s">
        <v>16892</v>
      </c>
      <c r="C2196" s="26"/>
    </row>
    <row r="2197" ht="21" spans="1:3">
      <c r="A2197">
        <v>2196</v>
      </c>
      <c r="B2197" s="27" t="s">
        <v>16892</v>
      </c>
      <c r="C2197" s="26"/>
    </row>
    <row r="2198" ht="21" spans="1:3">
      <c r="A2198">
        <v>2197</v>
      </c>
      <c r="B2198" s="25" t="s">
        <v>16892</v>
      </c>
      <c r="C2198" s="26"/>
    </row>
    <row r="2199" ht="15.75" spans="1:3">
      <c r="A2199">
        <v>2198</v>
      </c>
      <c r="B2199" s="26"/>
      <c r="C2199" s="26"/>
    </row>
    <row r="2200" ht="15.75" spans="1:3">
      <c r="A2200">
        <v>2199</v>
      </c>
      <c r="B2200" s="26"/>
      <c r="C2200" s="26"/>
    </row>
    <row r="2201" ht="15.75" spans="1:3">
      <c r="A2201">
        <v>2200</v>
      </c>
      <c r="B2201" s="26"/>
      <c r="C2201" s="26"/>
    </row>
    <row r="2202" ht="21" spans="1:3">
      <c r="A2202">
        <v>2201</v>
      </c>
      <c r="B2202" s="27" t="s">
        <v>16892</v>
      </c>
      <c r="C2202" s="26"/>
    </row>
    <row r="2203" ht="21" spans="1:3">
      <c r="A2203">
        <v>2202</v>
      </c>
      <c r="B2203" s="27" t="s">
        <v>16898</v>
      </c>
      <c r="C2203" s="26"/>
    </row>
    <row r="2204" ht="21" spans="1:3">
      <c r="A2204">
        <v>2203</v>
      </c>
      <c r="B2204" s="25" t="s">
        <v>16892</v>
      </c>
      <c r="C2204" s="26"/>
    </row>
    <row r="2205" ht="21" spans="1:3">
      <c r="A2205">
        <v>2204</v>
      </c>
      <c r="B2205" s="27" t="s">
        <v>16892</v>
      </c>
      <c r="C2205" s="26"/>
    </row>
    <row r="2206" ht="21" spans="1:3">
      <c r="A2206">
        <v>2205</v>
      </c>
      <c r="B2206" s="25" t="s">
        <v>16892</v>
      </c>
      <c r="C2206" s="26"/>
    </row>
    <row r="2207" ht="18.75" spans="1:3">
      <c r="A2207">
        <v>2206</v>
      </c>
      <c r="B2207" s="31" t="str">
        <f>IFERROR(__xludf.DUMMYFUNCTION("""COMPUTED_VALUE"""),"asporeyoland ethiopa (wedesen)")</f>
        <v>asporeyoland ethiopa (wedesen)</v>
      </c>
      <c r="C2207" s="30">
        <v>937858589</v>
      </c>
    </row>
    <row r="2208" ht="21" spans="1:3">
      <c r="A2208">
        <v>2207</v>
      </c>
      <c r="B2208" s="25" t="s">
        <v>16892</v>
      </c>
      <c r="C2208" s="26"/>
    </row>
    <row r="2209" ht="21" spans="1:3">
      <c r="A2209">
        <v>2208</v>
      </c>
      <c r="B2209" s="27" t="s">
        <v>16892</v>
      </c>
      <c r="C2209" s="26"/>
    </row>
    <row r="2210" ht="21" spans="1:3">
      <c r="A2210">
        <v>2209</v>
      </c>
      <c r="B2210" s="27" t="s">
        <v>16892</v>
      </c>
      <c r="C2210" s="26"/>
    </row>
    <row r="2211" ht="15.75" spans="1:3">
      <c r="A2211">
        <v>2210</v>
      </c>
      <c r="B2211" s="26"/>
      <c r="C2211" s="26"/>
    </row>
    <row r="2212" ht="21" spans="1:3">
      <c r="A2212">
        <v>2211</v>
      </c>
      <c r="B2212" s="25" t="s">
        <v>16892</v>
      </c>
      <c r="C2212" s="26"/>
    </row>
    <row r="2213" ht="15.75" spans="1:3">
      <c r="A2213">
        <v>2212</v>
      </c>
      <c r="B2213" s="26"/>
      <c r="C2213" s="26"/>
    </row>
    <row r="2214" ht="21" spans="1:3">
      <c r="A2214">
        <v>2213</v>
      </c>
      <c r="B2214" s="27" t="s">
        <v>16892</v>
      </c>
      <c r="C2214" s="26"/>
    </row>
    <row r="2215" ht="21" spans="1:3">
      <c r="A2215">
        <v>2214</v>
      </c>
      <c r="B2215" s="27" t="s">
        <v>16892</v>
      </c>
      <c r="C2215" s="26"/>
    </row>
    <row r="2216" ht="21" spans="1:3">
      <c r="A2216">
        <v>2215</v>
      </c>
      <c r="B2216" s="27" t="s">
        <v>16892</v>
      </c>
      <c r="C2216" s="26"/>
    </row>
    <row r="2217" ht="21" spans="1:3">
      <c r="A2217">
        <v>2216</v>
      </c>
      <c r="B2217" s="27" t="s">
        <v>16892</v>
      </c>
      <c r="C2217" s="26"/>
    </row>
    <row r="2218" ht="21" spans="1:3">
      <c r="A2218">
        <v>2217</v>
      </c>
      <c r="B2218" s="25" t="s">
        <v>16892</v>
      </c>
      <c r="C2218" s="26"/>
    </row>
    <row r="2219" ht="21" spans="1:3">
      <c r="A2219">
        <v>2218</v>
      </c>
      <c r="B2219" s="27" t="s">
        <v>16892</v>
      </c>
      <c r="C2219" s="26"/>
    </row>
    <row r="2220" ht="21" spans="1:3">
      <c r="A2220">
        <v>2219</v>
      </c>
      <c r="B2220" s="25" t="s">
        <v>16892</v>
      </c>
      <c r="C2220" s="26"/>
    </row>
    <row r="2221" ht="21" spans="1:3">
      <c r="A2221">
        <v>2220</v>
      </c>
      <c r="B2221" s="27" t="s">
        <v>16892</v>
      </c>
      <c r="C2221" s="26"/>
    </row>
    <row r="2222" ht="15.75" spans="1:3">
      <c r="A2222">
        <v>2221</v>
      </c>
      <c r="B2222" s="26"/>
      <c r="C2222" s="26"/>
    </row>
    <row r="2223" ht="15.75" spans="1:3">
      <c r="A2223">
        <v>2222</v>
      </c>
      <c r="B2223" s="26"/>
      <c r="C2223" s="26"/>
    </row>
    <row r="2224" ht="15.75" spans="1:3">
      <c r="A2224">
        <v>2223</v>
      </c>
      <c r="B2224" s="26"/>
      <c r="C2224" s="26"/>
    </row>
    <row r="2225" ht="15.75" spans="1:3">
      <c r="A2225">
        <v>2224</v>
      </c>
      <c r="B2225" s="26"/>
      <c r="C2225" s="26"/>
    </row>
    <row r="2226" ht="15.75" spans="1:3">
      <c r="A2226">
        <v>2225</v>
      </c>
      <c r="B2226" s="26"/>
      <c r="C2226" s="26"/>
    </row>
    <row r="2227" ht="15.75" spans="1:3">
      <c r="A2227">
        <v>2226</v>
      </c>
      <c r="B2227" s="26"/>
      <c r="C2227" s="26"/>
    </row>
    <row r="2228" ht="21" spans="1:3">
      <c r="A2228">
        <v>2227</v>
      </c>
      <c r="B2228" s="25" t="s">
        <v>16892</v>
      </c>
      <c r="C2228" s="26"/>
    </row>
    <row r="2229" ht="21" spans="1:3">
      <c r="A2229">
        <v>2228</v>
      </c>
      <c r="B2229" s="27" t="s">
        <v>16892</v>
      </c>
      <c r="C2229" s="26"/>
    </row>
    <row r="2230" ht="21" spans="1:3">
      <c r="A2230">
        <v>2229</v>
      </c>
      <c r="B2230" s="27" t="s">
        <v>16892</v>
      </c>
      <c r="C2230" s="26"/>
    </row>
    <row r="2231" ht="21" spans="1:3">
      <c r="A2231">
        <v>2230</v>
      </c>
      <c r="B2231" s="27" t="s">
        <v>16892</v>
      </c>
      <c r="C2231" s="26"/>
    </row>
    <row r="2232" ht="15.75" spans="1:3">
      <c r="A2232">
        <v>2231</v>
      </c>
      <c r="B2232" s="26"/>
      <c r="C2232" s="26"/>
    </row>
    <row r="2233" ht="21" spans="1:3">
      <c r="A2233">
        <v>2232</v>
      </c>
      <c r="B2233" s="25" t="s">
        <v>16892</v>
      </c>
      <c r="C2233" s="26"/>
    </row>
    <row r="2234" ht="21" spans="1:3">
      <c r="A2234">
        <v>2233</v>
      </c>
      <c r="B2234" s="27" t="s">
        <v>16892</v>
      </c>
      <c r="C2234" s="26"/>
    </row>
    <row r="2235" ht="21" spans="1:3">
      <c r="A2235">
        <v>2234</v>
      </c>
      <c r="B2235" s="27" t="s">
        <v>16892</v>
      </c>
      <c r="C2235" s="26"/>
    </row>
    <row r="2236" ht="21" spans="1:3">
      <c r="A2236">
        <v>2235</v>
      </c>
      <c r="B2236" s="27" t="s">
        <v>16892</v>
      </c>
      <c r="C2236" s="26"/>
    </row>
    <row r="2237" ht="18" spans="1:3">
      <c r="A2237">
        <v>2236</v>
      </c>
      <c r="B2237" s="39" t="str">
        <f>IFERROR(__xludf.DUMMYFUNCTION("""COMPUTED_VALUE"""),"አስፓዮር ላንድ ኢትዮጵያ (ግዛፍው አሰሪ)")</f>
        <v>አስፓዮር ላንድ ኢትዮጵያ (ግዛፍው አሰሪ)</v>
      </c>
      <c r="C2237" s="39">
        <v>937858589</v>
      </c>
    </row>
    <row r="2238" ht="18.75" spans="1:3">
      <c r="A2238">
        <v>2237</v>
      </c>
      <c r="B2238" s="39" t="str">
        <f>IFERROR(__xludf.DUMMYFUNCTION("""COMPUTED_VALUE"""),"Aspaire Green land Ethiopia(Gizachew Asire)")</f>
        <v>Aspaire Green land Ethiopia(Gizachew Asire)</v>
      </c>
      <c r="C2238" s="34">
        <v>937858589</v>
      </c>
    </row>
    <row r="2239" ht="21" spans="1:3">
      <c r="A2239">
        <v>2238</v>
      </c>
      <c r="B2239" s="25" t="s">
        <v>16892</v>
      </c>
      <c r="C2239" s="26"/>
    </row>
    <row r="2240" ht="15.75" spans="1:3">
      <c r="A2240">
        <v>2239</v>
      </c>
      <c r="B2240" s="26"/>
      <c r="C2240" s="26"/>
    </row>
    <row r="2241" ht="21" spans="1:3">
      <c r="A2241">
        <v>2240</v>
      </c>
      <c r="B2241" s="27" t="s">
        <v>16892</v>
      </c>
      <c r="C2241" s="26"/>
    </row>
    <row r="2242" ht="21" spans="1:3">
      <c r="A2242">
        <v>2241</v>
      </c>
      <c r="B2242" s="25" t="s">
        <v>16892</v>
      </c>
      <c r="C2242" s="26"/>
    </row>
    <row r="2243" ht="18.75" spans="1:3">
      <c r="A2243">
        <v>2242</v>
      </c>
      <c r="B2243" s="31" t="str">
        <f>IFERROR(__xludf.DUMMYFUNCTION("""COMPUTED_VALUE"""),"Firehiwot G/Hiwot")</f>
        <v>Firehiwot G/Hiwot</v>
      </c>
      <c r="C2243" s="30">
        <v>911131557</v>
      </c>
    </row>
    <row r="2244" ht="21" spans="1:3">
      <c r="A2244">
        <v>2243</v>
      </c>
      <c r="B2244" s="25" t="s">
        <v>16892</v>
      </c>
      <c r="C2244" s="26"/>
    </row>
    <row r="2245" ht="21" spans="1:3">
      <c r="A2245">
        <v>2244</v>
      </c>
      <c r="B2245" s="25" t="s">
        <v>16892</v>
      </c>
      <c r="C2245" s="26"/>
    </row>
    <row r="2246" ht="21" spans="1:3">
      <c r="A2246">
        <v>2245</v>
      </c>
      <c r="B2246" s="25" t="s">
        <v>16892</v>
      </c>
      <c r="C2246" s="26"/>
    </row>
    <row r="2247" ht="30" spans="1:3">
      <c r="A2247">
        <v>2246</v>
      </c>
      <c r="B2247" s="43" t="s">
        <v>16919</v>
      </c>
      <c r="C2247" s="36">
        <v>915946387</v>
      </c>
    </row>
    <row r="2248" ht="21" spans="1:3">
      <c r="A2248">
        <v>2247</v>
      </c>
      <c r="B2248" s="27" t="s">
        <v>16892</v>
      </c>
      <c r="C2248" s="26"/>
    </row>
    <row r="2249" ht="21" spans="1:3">
      <c r="A2249">
        <v>2248</v>
      </c>
      <c r="B2249" s="25" t="s">
        <v>16892</v>
      </c>
      <c r="C2249" s="26"/>
    </row>
    <row r="2250" ht="15.75" spans="1:3">
      <c r="A2250">
        <v>2249</v>
      </c>
      <c r="B2250" s="26"/>
      <c r="C2250" s="26"/>
    </row>
    <row r="2251" ht="15.75" spans="1:3">
      <c r="A2251">
        <v>2250</v>
      </c>
      <c r="B2251" s="26"/>
      <c r="C2251" s="26"/>
    </row>
    <row r="2252" ht="21" spans="1:3">
      <c r="A2252">
        <v>2251</v>
      </c>
      <c r="B2252" s="27" t="s">
        <v>16892</v>
      </c>
      <c r="C2252" s="26"/>
    </row>
    <row r="2253" ht="21" spans="1:3">
      <c r="A2253">
        <v>2252</v>
      </c>
      <c r="B2253" s="27" t="s">
        <v>16892</v>
      </c>
      <c r="C2253" s="26"/>
    </row>
    <row r="2254" ht="21" spans="1:3">
      <c r="A2254">
        <v>2253</v>
      </c>
      <c r="B2254" s="25" t="s">
        <v>16892</v>
      </c>
      <c r="C2254" s="26"/>
    </row>
    <row r="2255" ht="15.75" spans="1:3">
      <c r="A2255">
        <v>2254</v>
      </c>
      <c r="B2255" s="29"/>
      <c r="C2255" s="29"/>
    </row>
    <row r="2256" ht="15.75" spans="1:3">
      <c r="A2256">
        <v>2255</v>
      </c>
      <c r="B2256" s="29"/>
      <c r="C2256" s="29"/>
    </row>
    <row r="2257" ht="21" spans="1:3">
      <c r="A2257">
        <v>2256</v>
      </c>
      <c r="B2257" s="25" t="s">
        <v>16892</v>
      </c>
      <c r="C2257" s="26"/>
    </row>
    <row r="2258" ht="15.75" spans="1:3">
      <c r="A2258">
        <v>2257</v>
      </c>
      <c r="B2258" s="26"/>
      <c r="C2258" s="26"/>
    </row>
    <row r="2259" ht="15.75" spans="1:3">
      <c r="A2259">
        <v>2258</v>
      </c>
      <c r="B2259" s="26"/>
      <c r="C2259" s="26"/>
    </row>
    <row r="2260" ht="15.75" spans="1:3">
      <c r="A2260">
        <v>2259</v>
      </c>
      <c r="B2260" s="26"/>
      <c r="C2260" s="26"/>
    </row>
    <row r="2261" ht="21" spans="1:3">
      <c r="A2261">
        <v>2260</v>
      </c>
      <c r="B2261" s="27" t="s">
        <v>16892</v>
      </c>
      <c r="C2261" s="26"/>
    </row>
    <row r="2262" ht="15.75" spans="1:3">
      <c r="A2262">
        <v>2261</v>
      </c>
      <c r="B2262" s="26"/>
      <c r="C2262" s="26"/>
    </row>
    <row r="2263" ht="15.75" spans="1:3">
      <c r="A2263">
        <v>2262</v>
      </c>
      <c r="B2263" s="26"/>
      <c r="C2263" s="26"/>
    </row>
    <row r="2264" ht="15.75" spans="1:3">
      <c r="A2264">
        <v>2263</v>
      </c>
      <c r="B2264" s="26"/>
      <c r="C2264" s="26"/>
    </row>
    <row r="2265" ht="21" spans="1:3">
      <c r="A2265">
        <v>2264</v>
      </c>
      <c r="B2265" s="25" t="s">
        <v>16892</v>
      </c>
      <c r="C2265" s="26"/>
    </row>
    <row r="2266" ht="18.75" spans="1:3">
      <c r="A2266">
        <v>2265</v>
      </c>
      <c r="B2266" s="30" t="str">
        <f>IFERROR(__xludf.DUMMYFUNCTION("""COMPUTED_VALUE"""),"Getahun Akelilu")</f>
        <v>Getahun Akelilu</v>
      </c>
      <c r="C2266" s="30">
        <v>925283372</v>
      </c>
    </row>
    <row r="2267" ht="21" spans="1:3">
      <c r="A2267">
        <v>2266</v>
      </c>
      <c r="B2267" s="25" t="s">
        <v>16892</v>
      </c>
      <c r="C2267" s="26"/>
    </row>
    <row r="2268" ht="21" spans="1:3">
      <c r="A2268">
        <v>2267</v>
      </c>
      <c r="B2268" s="25" t="s">
        <v>16892</v>
      </c>
      <c r="C2268" s="26"/>
    </row>
    <row r="2269" ht="21" spans="1:3">
      <c r="A2269">
        <v>2268</v>
      </c>
      <c r="B2269" s="25" t="s">
        <v>16892</v>
      </c>
      <c r="C2269" s="26"/>
    </row>
    <row r="2270" ht="21" spans="1:3">
      <c r="A2270">
        <v>2269</v>
      </c>
      <c r="B2270" s="25" t="s">
        <v>16892</v>
      </c>
      <c r="C2270" s="26"/>
    </row>
    <row r="2271" ht="21" spans="1:3">
      <c r="A2271">
        <v>2270</v>
      </c>
      <c r="B2271" s="27" t="s">
        <v>16892</v>
      </c>
      <c r="C2271" s="26"/>
    </row>
    <row r="2272" ht="21" spans="1:3">
      <c r="A2272">
        <v>2271</v>
      </c>
      <c r="B2272" s="25" t="s">
        <v>16892</v>
      </c>
      <c r="C2272" s="26"/>
    </row>
    <row r="2273" ht="21" spans="1:3">
      <c r="A2273">
        <v>2272</v>
      </c>
      <c r="B2273" s="27" t="s">
        <v>16892</v>
      </c>
      <c r="C2273" s="26"/>
    </row>
    <row r="2274" ht="21" spans="1:3">
      <c r="A2274">
        <v>2273</v>
      </c>
      <c r="B2274" s="27" t="s">
        <v>16892</v>
      </c>
      <c r="C2274" s="26"/>
    </row>
    <row r="2275" ht="21" spans="1:3">
      <c r="A2275">
        <v>2274</v>
      </c>
      <c r="B2275" s="25" t="s">
        <v>16892</v>
      </c>
      <c r="C2275" s="26"/>
    </row>
    <row r="2276" ht="21" spans="1:3">
      <c r="A2276">
        <v>2275</v>
      </c>
      <c r="B2276" s="27" t="s">
        <v>16892</v>
      </c>
      <c r="C2276" s="26"/>
    </row>
    <row r="2277" ht="21" spans="1:3">
      <c r="A2277">
        <v>2276</v>
      </c>
      <c r="B2277" s="27" t="s">
        <v>16892</v>
      </c>
      <c r="C2277" s="26"/>
    </row>
    <row r="2278" ht="21" spans="1:3">
      <c r="A2278">
        <v>2277</v>
      </c>
      <c r="B2278" s="25" t="s">
        <v>16892</v>
      </c>
      <c r="C2278" s="26"/>
    </row>
    <row r="2279" ht="21" spans="1:3">
      <c r="A2279">
        <v>2278</v>
      </c>
      <c r="B2279" s="27" t="s">
        <v>16892</v>
      </c>
      <c r="C2279" s="26"/>
    </row>
    <row r="2280" ht="21" spans="1:3">
      <c r="A2280">
        <v>2279</v>
      </c>
      <c r="B2280" s="27" t="s">
        <v>16892</v>
      </c>
      <c r="C2280" s="26"/>
    </row>
    <row r="2281" ht="21" spans="1:3">
      <c r="A2281">
        <v>2280</v>
      </c>
      <c r="B2281" s="27" t="s">
        <v>16892</v>
      </c>
      <c r="C2281" s="26"/>
    </row>
    <row r="2282" ht="15.75" spans="1:3">
      <c r="A2282">
        <v>2281</v>
      </c>
      <c r="B2282" s="26"/>
      <c r="C2282" s="26"/>
    </row>
    <row r="2283" ht="18" spans="1:3">
      <c r="A2283">
        <v>2282</v>
      </c>
      <c r="B2283" s="39" t="str">
        <f>IFERROR(__xludf.DUMMYFUNCTION("""COMPUTED_VALUE"""),"aspayer greenland (robel)")</f>
        <v>aspayer greenland (robel)</v>
      </c>
      <c r="C2283" s="39">
        <v>937858589</v>
      </c>
    </row>
    <row r="2284" ht="18" spans="1:3">
      <c r="A2284">
        <v>2283</v>
      </c>
      <c r="B2284" s="39" t="str">
        <f>IFERROR(__xludf.DUMMYFUNCTION("""COMPUTED_VALUE"""),"aspayer greenland (robel)")</f>
        <v>aspayer greenland (robel)</v>
      </c>
      <c r="C2284" s="39">
        <v>937858589</v>
      </c>
    </row>
    <row r="2285" ht="21" spans="1:3">
      <c r="A2285">
        <v>2284</v>
      </c>
      <c r="B2285" s="27" t="s">
        <v>16892</v>
      </c>
      <c r="C2285" s="26"/>
    </row>
    <row r="2286" ht="21" spans="1:3">
      <c r="A2286">
        <v>2285</v>
      </c>
      <c r="B2286" s="25" t="s">
        <v>16892</v>
      </c>
      <c r="C2286" s="26"/>
    </row>
    <row r="2287" ht="21" spans="1:3">
      <c r="A2287">
        <v>2286</v>
      </c>
      <c r="B2287" s="25" t="s">
        <v>16892</v>
      </c>
      <c r="C2287" s="26"/>
    </row>
    <row r="2288" ht="21" spans="1:3">
      <c r="A2288">
        <v>2287</v>
      </c>
      <c r="B2288" s="27" t="s">
        <v>16892</v>
      </c>
      <c r="C2288" s="26"/>
    </row>
    <row r="2289" ht="21" spans="1:3">
      <c r="A2289">
        <v>2288</v>
      </c>
      <c r="B2289" s="25" t="s">
        <v>16892</v>
      </c>
      <c r="C2289" s="26"/>
    </row>
    <row r="2290" ht="21" spans="1:3">
      <c r="A2290">
        <v>2289</v>
      </c>
      <c r="B2290" s="25" t="s">
        <v>16892</v>
      </c>
      <c r="C2290" s="26"/>
    </row>
    <row r="2291" ht="21" spans="1:3">
      <c r="A2291">
        <v>2290</v>
      </c>
      <c r="B2291" s="25" t="s">
        <v>16892</v>
      </c>
      <c r="C2291" s="26"/>
    </row>
    <row r="2292" ht="21" spans="1:3">
      <c r="A2292">
        <v>2291</v>
      </c>
      <c r="B2292" s="27" t="s">
        <v>16892</v>
      </c>
      <c r="C2292" s="26"/>
    </row>
    <row r="2293" ht="21" spans="1:3">
      <c r="A2293">
        <v>2292</v>
      </c>
      <c r="B2293" s="27" t="s">
        <v>16892</v>
      </c>
      <c r="C2293" s="26"/>
    </row>
    <row r="2294" ht="21" spans="1:3">
      <c r="A2294">
        <v>2293</v>
      </c>
      <c r="B2294" s="27" t="s">
        <v>16892</v>
      </c>
      <c r="C2294" s="26"/>
    </row>
    <row r="2295" ht="21" spans="1:3">
      <c r="A2295">
        <v>2294</v>
      </c>
      <c r="B2295" s="27" t="s">
        <v>16892</v>
      </c>
      <c r="C2295" s="26"/>
    </row>
    <row r="2296" ht="21" spans="1:3">
      <c r="A2296">
        <v>2295</v>
      </c>
      <c r="B2296" s="27" t="s">
        <v>16892</v>
      </c>
      <c r="C2296" s="26"/>
    </row>
    <row r="2297" ht="21" spans="1:3">
      <c r="A2297">
        <v>2296</v>
      </c>
      <c r="B2297" s="25" t="s">
        <v>16892</v>
      </c>
      <c r="C2297" s="26"/>
    </row>
    <row r="2298" ht="21" spans="1:3">
      <c r="A2298">
        <v>2297</v>
      </c>
      <c r="B2298" s="27" t="s">
        <v>16892</v>
      </c>
      <c r="C2298" s="26"/>
    </row>
    <row r="2299" ht="21" spans="1:3">
      <c r="A2299">
        <v>2298</v>
      </c>
      <c r="B2299" s="27" t="s">
        <v>16892</v>
      </c>
      <c r="C2299" s="26"/>
    </row>
    <row r="2300" ht="21" spans="1:3">
      <c r="A2300">
        <v>2299</v>
      </c>
      <c r="B2300" s="27" t="s">
        <v>16892</v>
      </c>
      <c r="C2300" s="26"/>
    </row>
    <row r="2301" ht="21" spans="1:3">
      <c r="A2301">
        <v>2300</v>
      </c>
      <c r="B2301" s="27" t="s">
        <v>16892</v>
      </c>
      <c r="C2301" s="26"/>
    </row>
    <row r="2302" ht="21" spans="1:3">
      <c r="A2302">
        <v>2301</v>
      </c>
      <c r="B2302" s="27" t="s">
        <v>16892</v>
      </c>
      <c r="C2302" s="26"/>
    </row>
    <row r="2303" ht="21" spans="1:3">
      <c r="A2303">
        <v>2302</v>
      </c>
      <c r="B2303" s="27" t="s">
        <v>16892</v>
      </c>
      <c r="C2303" s="26"/>
    </row>
    <row r="2304" ht="21" spans="1:3">
      <c r="A2304">
        <v>2303</v>
      </c>
      <c r="B2304" s="25" t="s">
        <v>16892</v>
      </c>
      <c r="C2304" s="26"/>
    </row>
    <row r="2305" ht="21" spans="1:3">
      <c r="A2305">
        <v>2304</v>
      </c>
      <c r="B2305" s="25" t="s">
        <v>16892</v>
      </c>
      <c r="C2305" s="26"/>
    </row>
    <row r="2306" ht="21" spans="1:3">
      <c r="A2306">
        <v>2305</v>
      </c>
      <c r="B2306" s="27" t="s">
        <v>16892</v>
      </c>
      <c r="C2306" s="26"/>
    </row>
    <row r="2307" ht="15.75" spans="1:3">
      <c r="A2307">
        <v>2306</v>
      </c>
      <c r="B2307" s="26"/>
      <c r="C2307" s="26"/>
    </row>
    <row r="2308" ht="21" spans="1:3">
      <c r="A2308">
        <v>2307</v>
      </c>
      <c r="B2308" s="27" t="s">
        <v>16892</v>
      </c>
      <c r="C2308" s="26"/>
    </row>
    <row r="2309" ht="21" spans="1:3">
      <c r="A2309">
        <v>2308</v>
      </c>
      <c r="B2309" s="27" t="s">
        <v>16892</v>
      </c>
      <c r="C2309" s="26"/>
    </row>
    <row r="2310" ht="21" spans="1:3">
      <c r="A2310">
        <v>2309</v>
      </c>
      <c r="B2310" s="27" t="s">
        <v>16892</v>
      </c>
      <c r="C2310" s="26"/>
    </row>
    <row r="2311" ht="21" spans="1:3">
      <c r="A2311">
        <v>2310</v>
      </c>
      <c r="B2311" s="25" t="s">
        <v>16892</v>
      </c>
      <c r="C2311" s="26"/>
    </row>
    <row r="2312" ht="21" spans="1:3">
      <c r="A2312">
        <v>2311</v>
      </c>
      <c r="B2312" s="25" t="s">
        <v>16892</v>
      </c>
      <c r="C2312" s="26"/>
    </row>
    <row r="2313" ht="21" spans="1:3">
      <c r="A2313">
        <v>2312</v>
      </c>
      <c r="B2313" s="27" t="s">
        <v>16892</v>
      </c>
      <c r="C2313" s="26"/>
    </row>
    <row r="2314" ht="21" spans="1:3">
      <c r="A2314">
        <v>2313</v>
      </c>
      <c r="B2314" s="27" t="s">
        <v>16892</v>
      </c>
      <c r="C2314" s="26"/>
    </row>
    <row r="2315" ht="21" spans="1:3">
      <c r="A2315">
        <v>2314</v>
      </c>
      <c r="B2315" s="25" t="s">
        <v>16892</v>
      </c>
      <c r="C2315" s="26"/>
    </row>
    <row r="2316" ht="15.75" spans="1:3">
      <c r="A2316">
        <v>2315</v>
      </c>
      <c r="B2316" s="26"/>
      <c r="C2316" s="26"/>
    </row>
    <row r="2317" ht="18.75" spans="1:3">
      <c r="A2317">
        <v>2316</v>
      </c>
      <c r="B2317" s="30" t="str">
        <f>IFERROR(__xludf.DUMMYFUNCTION("""COMPUTED_VALUE"""),"melat girma")</f>
        <v>melat girma</v>
      </c>
      <c r="C2317" s="30">
        <v>930805071</v>
      </c>
    </row>
    <row r="2318" ht="21" spans="1:3">
      <c r="A2318">
        <v>2317</v>
      </c>
      <c r="B2318" s="25" t="s">
        <v>16892</v>
      </c>
      <c r="C2318" s="26"/>
    </row>
    <row r="2319" ht="15.75" spans="1:3">
      <c r="A2319">
        <v>2318</v>
      </c>
      <c r="B2319" s="26"/>
      <c r="C2319" s="26"/>
    </row>
    <row r="2320" ht="21" spans="1:3">
      <c r="A2320">
        <v>2319</v>
      </c>
      <c r="B2320" s="27" t="s">
        <v>16892</v>
      </c>
      <c r="C2320" s="26"/>
    </row>
    <row r="2321" ht="21" spans="1:3">
      <c r="A2321">
        <v>2320</v>
      </c>
      <c r="B2321" s="25" t="s">
        <v>16892</v>
      </c>
      <c r="C2321" s="26"/>
    </row>
    <row r="2322" ht="15.75" spans="1:3">
      <c r="A2322">
        <v>2321</v>
      </c>
      <c r="B2322" s="26"/>
      <c r="C2322" s="26"/>
    </row>
    <row r="2323" ht="15.75" spans="1:3">
      <c r="A2323">
        <v>2322</v>
      </c>
      <c r="B2323" s="26"/>
      <c r="C2323" s="26"/>
    </row>
    <row r="2324" ht="21" spans="1:3">
      <c r="A2324">
        <v>2323</v>
      </c>
      <c r="B2324" s="27" t="s">
        <v>16892</v>
      </c>
      <c r="C2324" s="26"/>
    </row>
    <row r="2325" ht="21" spans="1:3">
      <c r="A2325">
        <v>2324</v>
      </c>
      <c r="B2325" s="25" t="s">
        <v>16892</v>
      </c>
      <c r="C2325" s="26"/>
    </row>
    <row r="2326" ht="21" spans="1:3">
      <c r="A2326">
        <v>2325</v>
      </c>
      <c r="B2326" s="27" t="s">
        <v>16892</v>
      </c>
      <c r="C2326" s="26"/>
    </row>
    <row r="2327" ht="15.75" spans="1:3">
      <c r="A2327">
        <v>2326</v>
      </c>
      <c r="B2327" s="26"/>
      <c r="C2327" s="26"/>
    </row>
    <row r="2328" ht="18.75" spans="1:3">
      <c r="A2328">
        <v>2327</v>
      </c>
      <c r="B2328" s="31" t="str">
        <f>IFERROR(__xludf.DUMMYFUNCTION("""COMPUTED_VALUE"""),"Dawit")</f>
        <v>Dawit</v>
      </c>
      <c r="C2328" s="30">
        <v>943574971</v>
      </c>
    </row>
    <row r="2329" ht="15.75" spans="1:3">
      <c r="A2329">
        <v>2328</v>
      </c>
      <c r="B2329" s="26"/>
      <c r="C2329" s="26"/>
    </row>
    <row r="2330" ht="15.75" spans="1:3">
      <c r="A2330">
        <v>2329</v>
      </c>
      <c r="B2330" s="26"/>
      <c r="C2330" s="26"/>
    </row>
    <row r="2331" ht="15.75" spans="1:3">
      <c r="A2331">
        <v>2330</v>
      </c>
      <c r="B2331" s="26"/>
      <c r="C2331" s="26"/>
    </row>
    <row r="2332" ht="15.75" spans="1:3">
      <c r="A2332">
        <v>2331</v>
      </c>
      <c r="B2332" s="26"/>
      <c r="C2332" s="26"/>
    </row>
    <row r="2333" ht="15.75" spans="1:3">
      <c r="A2333">
        <v>2332</v>
      </c>
      <c r="B2333" s="26"/>
      <c r="C2333" s="26"/>
    </row>
    <row r="2334" ht="15.75" spans="1:3">
      <c r="A2334">
        <v>2333</v>
      </c>
      <c r="B2334" s="26"/>
      <c r="C2334" s="26"/>
    </row>
    <row r="2335" ht="15.75" spans="1:3">
      <c r="A2335">
        <v>2334</v>
      </c>
      <c r="B2335" s="26"/>
      <c r="C2335" s="26"/>
    </row>
    <row r="2336" ht="21" spans="1:3">
      <c r="A2336">
        <v>2335</v>
      </c>
      <c r="B2336" s="27" t="s">
        <v>16892</v>
      </c>
      <c r="C2336" s="26"/>
    </row>
    <row r="2337" ht="21" spans="1:3">
      <c r="A2337">
        <v>2336</v>
      </c>
      <c r="B2337" s="27" t="s">
        <v>16892</v>
      </c>
      <c r="C2337" s="26"/>
    </row>
    <row r="2338" ht="18.75" spans="1:3">
      <c r="A2338">
        <v>2337</v>
      </c>
      <c r="B2338" s="31" t="str">
        <f>IFERROR(__xludf.DUMMYFUNCTION("""COMPUTED_VALUE"""),"hirmela fikadu")</f>
        <v>hirmela fikadu</v>
      </c>
      <c r="C2338" s="30">
        <v>900567430</v>
      </c>
    </row>
    <row r="2339" ht="15.75" spans="1:3">
      <c r="A2339">
        <v>2338</v>
      </c>
      <c r="B2339" s="26"/>
      <c r="C2339" s="26"/>
    </row>
    <row r="2340" ht="21" spans="1:3">
      <c r="A2340">
        <v>2339</v>
      </c>
      <c r="B2340" s="25" t="s">
        <v>16892</v>
      </c>
      <c r="C2340" s="26"/>
    </row>
    <row r="2341" ht="21" spans="1:3">
      <c r="A2341">
        <v>2340</v>
      </c>
      <c r="B2341" s="27" t="s">
        <v>16892</v>
      </c>
      <c r="C2341" s="26"/>
    </row>
    <row r="2342" ht="15.75" spans="1:3">
      <c r="A2342">
        <v>2341</v>
      </c>
      <c r="B2342" s="26"/>
      <c r="C2342" s="26"/>
    </row>
    <row r="2343" ht="15.75" spans="1:3">
      <c r="A2343">
        <v>2342</v>
      </c>
      <c r="B2343" s="26"/>
      <c r="C2343" s="26"/>
    </row>
    <row r="2344" ht="15.75" spans="1:3">
      <c r="A2344">
        <v>2343</v>
      </c>
      <c r="B2344" s="26"/>
      <c r="C2344" s="26"/>
    </row>
    <row r="2345" ht="21" spans="1:3">
      <c r="A2345">
        <v>2344</v>
      </c>
      <c r="B2345" s="27" t="s">
        <v>16892</v>
      </c>
      <c r="C2345" s="26"/>
    </row>
    <row r="2346" ht="21" spans="1:3">
      <c r="A2346">
        <v>2345</v>
      </c>
      <c r="B2346" s="25" t="s">
        <v>16892</v>
      </c>
      <c r="C2346" s="26"/>
    </row>
    <row r="2347" ht="15.75" spans="1:3">
      <c r="A2347">
        <v>2346</v>
      </c>
      <c r="B2347" s="26"/>
      <c r="C2347" s="26"/>
    </row>
    <row r="2348" ht="15.75" spans="1:3">
      <c r="A2348">
        <v>2347</v>
      </c>
      <c r="B2348" s="26"/>
      <c r="C2348" s="26"/>
    </row>
    <row r="2349" ht="21" spans="1:3">
      <c r="A2349">
        <v>2348</v>
      </c>
      <c r="B2349" s="25" t="s">
        <v>16892</v>
      </c>
      <c r="C2349" s="26"/>
    </row>
    <row r="2350" ht="15.75" spans="1:3">
      <c r="A2350">
        <v>2349</v>
      </c>
      <c r="B2350" s="26"/>
      <c r="C2350" s="26"/>
    </row>
    <row r="2351" ht="15.75" spans="1:3">
      <c r="A2351">
        <v>2350</v>
      </c>
      <c r="B2351" s="26"/>
      <c r="C2351" s="26"/>
    </row>
    <row r="2352" ht="15.75" spans="1:3">
      <c r="A2352">
        <v>2351</v>
      </c>
      <c r="B2352" s="26"/>
      <c r="C2352" s="26"/>
    </row>
    <row r="2353" ht="15.75" spans="1:3">
      <c r="A2353">
        <v>2352</v>
      </c>
      <c r="B2353" s="26"/>
      <c r="C2353" s="26"/>
    </row>
    <row r="2354" ht="15.75" spans="1:3">
      <c r="A2354">
        <v>2353</v>
      </c>
      <c r="B2354" s="26"/>
      <c r="C2354" s="26"/>
    </row>
    <row r="2355" ht="15.75" spans="1:3">
      <c r="A2355">
        <v>2354</v>
      </c>
      <c r="B2355" s="26"/>
      <c r="C2355" s="26"/>
    </row>
    <row r="2356" ht="15.75" spans="1:3">
      <c r="A2356">
        <v>2355</v>
      </c>
      <c r="B2356" s="26"/>
      <c r="C2356" s="26"/>
    </row>
    <row r="2357" ht="15.75" spans="1:3">
      <c r="A2357">
        <v>2356</v>
      </c>
      <c r="B2357" s="26"/>
      <c r="C2357" s="26"/>
    </row>
    <row r="2358" ht="21" spans="1:3">
      <c r="A2358">
        <v>2357</v>
      </c>
      <c r="B2358" s="27" t="s">
        <v>16892</v>
      </c>
      <c r="C2358" s="26"/>
    </row>
    <row r="2359" ht="15.75" spans="1:3">
      <c r="A2359">
        <v>2358</v>
      </c>
      <c r="B2359" s="26"/>
      <c r="C2359" s="26"/>
    </row>
    <row r="2360" ht="21" spans="1:3">
      <c r="A2360">
        <v>2359</v>
      </c>
      <c r="B2360" s="25" t="s">
        <v>16892</v>
      </c>
      <c r="C2360" s="26"/>
    </row>
    <row r="2361" ht="21" spans="1:3">
      <c r="A2361">
        <v>2360</v>
      </c>
      <c r="B2361" s="25" t="s">
        <v>16892</v>
      </c>
      <c r="C2361" s="26"/>
    </row>
    <row r="2362" ht="21" spans="1:3">
      <c r="A2362">
        <v>2361</v>
      </c>
      <c r="B2362" s="27" t="s">
        <v>16892</v>
      </c>
      <c r="C2362" s="26"/>
    </row>
    <row r="2363" ht="21" spans="1:3">
      <c r="A2363">
        <v>2362</v>
      </c>
      <c r="B2363" s="27" t="s">
        <v>16892</v>
      </c>
      <c r="C2363" s="26"/>
    </row>
    <row r="2364" ht="21" spans="1:3">
      <c r="A2364">
        <v>2363</v>
      </c>
      <c r="B2364" s="27" t="s">
        <v>16892</v>
      </c>
      <c r="C2364" s="26"/>
    </row>
    <row r="2365" ht="15.75" spans="1:3">
      <c r="A2365">
        <v>2364</v>
      </c>
      <c r="B2365" s="26"/>
      <c r="C2365" s="26"/>
    </row>
    <row r="2366" ht="15.75" spans="1:3">
      <c r="A2366">
        <v>2365</v>
      </c>
      <c r="B2366" s="26"/>
      <c r="C2366" s="26"/>
    </row>
    <row r="2367" ht="15.75" spans="1:3">
      <c r="A2367">
        <v>2366</v>
      </c>
      <c r="B2367" s="26"/>
      <c r="C2367" s="26"/>
    </row>
    <row r="2368" ht="15.75" spans="1:3">
      <c r="A2368">
        <v>2367</v>
      </c>
      <c r="B2368" s="26"/>
      <c r="C2368" s="26"/>
    </row>
    <row r="2369" ht="21" spans="1:3">
      <c r="A2369">
        <v>2368</v>
      </c>
      <c r="B2369" s="25" t="s">
        <v>16892</v>
      </c>
      <c r="C2369" s="26"/>
    </row>
    <row r="2370" ht="21" spans="1:3">
      <c r="A2370">
        <v>2369</v>
      </c>
      <c r="B2370" s="25" t="s">
        <v>16892</v>
      </c>
      <c r="C2370" s="26"/>
    </row>
    <row r="2371" ht="21" spans="1:3">
      <c r="A2371">
        <v>2370</v>
      </c>
      <c r="B2371" s="27" t="s">
        <v>16892</v>
      </c>
      <c r="C2371" s="26"/>
    </row>
    <row r="2372" ht="21" spans="1:3">
      <c r="A2372">
        <v>2371</v>
      </c>
      <c r="B2372" s="27" t="s">
        <v>16892</v>
      </c>
      <c r="C2372" s="26"/>
    </row>
    <row r="2373" ht="21" spans="1:3">
      <c r="A2373">
        <v>2372</v>
      </c>
      <c r="B2373" s="27" t="s">
        <v>16892</v>
      </c>
      <c r="C2373" s="26"/>
    </row>
    <row r="2374" ht="21" spans="1:3">
      <c r="A2374">
        <v>2373</v>
      </c>
      <c r="B2374" s="27" t="s">
        <v>16892</v>
      </c>
      <c r="C2374" s="26"/>
    </row>
    <row r="2375" ht="21" spans="1:3">
      <c r="A2375">
        <v>2374</v>
      </c>
      <c r="B2375" s="27" t="s">
        <v>16892</v>
      </c>
      <c r="C2375" s="26"/>
    </row>
    <row r="2376" ht="21" spans="1:3">
      <c r="A2376">
        <v>2375</v>
      </c>
      <c r="B2376" s="27" t="s">
        <v>16892</v>
      </c>
      <c r="C2376" s="26"/>
    </row>
    <row r="2377" ht="15.75" spans="1:3">
      <c r="A2377">
        <v>2376</v>
      </c>
      <c r="B2377" s="26"/>
      <c r="C2377" s="26"/>
    </row>
    <row r="2378" ht="21" spans="1:3">
      <c r="A2378">
        <v>2377</v>
      </c>
      <c r="B2378" s="25" t="s">
        <v>16892</v>
      </c>
      <c r="C2378" s="26"/>
    </row>
    <row r="2379" ht="21" spans="1:3">
      <c r="A2379">
        <v>2378</v>
      </c>
      <c r="B2379" s="25" t="s">
        <v>16892</v>
      </c>
      <c r="C2379" s="26"/>
    </row>
    <row r="2380" ht="18.75" spans="1:3">
      <c r="A2380">
        <v>2379</v>
      </c>
      <c r="B2380" s="32" t="str">
        <f>IFERROR(__xludf.DUMMYFUNCTION("""COMPUTED_VALUE"""),"Natan Tadele")</f>
        <v>Natan Tadele</v>
      </c>
      <c r="C2380" s="33">
        <v>923271622</v>
      </c>
    </row>
    <row r="2381" ht="21" spans="1:3">
      <c r="A2381">
        <v>2380</v>
      </c>
      <c r="B2381" s="27" t="s">
        <v>16892</v>
      </c>
      <c r="C2381" s="26"/>
    </row>
    <row r="2382" ht="21" spans="1:3">
      <c r="A2382">
        <v>2381</v>
      </c>
      <c r="B2382" s="27" t="s">
        <v>16892</v>
      </c>
      <c r="C2382" s="26"/>
    </row>
    <row r="2383" ht="21" spans="1:3">
      <c r="A2383">
        <v>2382</v>
      </c>
      <c r="B2383" s="27" t="s">
        <v>16892</v>
      </c>
      <c r="C2383" s="26"/>
    </row>
    <row r="2384" ht="21" spans="1:3">
      <c r="A2384">
        <v>2383</v>
      </c>
      <c r="B2384" s="25" t="s">
        <v>16892</v>
      </c>
      <c r="C2384" s="26"/>
    </row>
    <row r="2385" ht="21" spans="1:3">
      <c r="A2385">
        <v>2384</v>
      </c>
      <c r="B2385" s="27" t="s">
        <v>16892</v>
      </c>
      <c r="C2385" s="26"/>
    </row>
    <row r="2386" ht="21" spans="1:3">
      <c r="A2386">
        <v>2385</v>
      </c>
      <c r="B2386" s="25" t="s">
        <v>16892</v>
      </c>
      <c r="C2386" s="26"/>
    </row>
    <row r="2387" ht="21" spans="1:3">
      <c r="A2387">
        <v>2386</v>
      </c>
      <c r="B2387" s="27" t="s">
        <v>16892</v>
      </c>
      <c r="C2387" s="26"/>
    </row>
    <row r="2388" ht="21" spans="1:3">
      <c r="A2388">
        <v>2387</v>
      </c>
      <c r="B2388" s="25" t="s">
        <v>16892</v>
      </c>
      <c r="C2388" s="26"/>
    </row>
    <row r="2389" ht="21" spans="1:3">
      <c r="A2389">
        <v>2388</v>
      </c>
      <c r="B2389" s="27" t="s">
        <v>16892</v>
      </c>
      <c r="C2389" s="26"/>
    </row>
    <row r="2390" ht="21" spans="1:3">
      <c r="A2390">
        <v>2389</v>
      </c>
      <c r="B2390" s="27" t="s">
        <v>16892</v>
      </c>
      <c r="C2390" s="26"/>
    </row>
    <row r="2391" ht="21" spans="1:3">
      <c r="A2391">
        <v>2390</v>
      </c>
      <c r="B2391" s="27" t="s">
        <v>16892</v>
      </c>
      <c r="C2391" s="26"/>
    </row>
    <row r="2392" ht="21" spans="1:3">
      <c r="A2392">
        <v>2391</v>
      </c>
      <c r="B2392" s="27" t="s">
        <v>16892</v>
      </c>
      <c r="C2392" s="26"/>
    </row>
    <row r="2393" ht="21" spans="1:3">
      <c r="A2393">
        <v>2392</v>
      </c>
      <c r="B2393" s="25" t="s">
        <v>16892</v>
      </c>
      <c r="C2393" s="26"/>
    </row>
    <row r="2394" ht="15.75" spans="1:3">
      <c r="A2394">
        <v>2393</v>
      </c>
      <c r="B2394" s="26"/>
      <c r="C2394" s="26"/>
    </row>
    <row r="2395" ht="21" spans="1:3">
      <c r="A2395">
        <v>2394</v>
      </c>
      <c r="B2395" s="27" t="s">
        <v>16892</v>
      </c>
      <c r="C2395" s="26"/>
    </row>
    <row r="2396" ht="15.75" spans="1:3">
      <c r="A2396">
        <v>2395</v>
      </c>
      <c r="B2396" s="26"/>
      <c r="C2396" s="26"/>
    </row>
    <row r="2397" ht="21" spans="1:3">
      <c r="A2397">
        <v>2396</v>
      </c>
      <c r="B2397" s="25" t="s">
        <v>16892</v>
      </c>
      <c r="C2397" s="26"/>
    </row>
    <row r="2398" ht="21" spans="1:3">
      <c r="A2398">
        <v>2397</v>
      </c>
      <c r="B2398" s="27" t="s">
        <v>16892</v>
      </c>
      <c r="C2398" s="26"/>
    </row>
    <row r="2399" ht="21" spans="1:3">
      <c r="A2399">
        <v>2398</v>
      </c>
      <c r="B2399" s="25" t="s">
        <v>16892</v>
      </c>
      <c r="C2399" s="26"/>
    </row>
    <row r="2400" ht="21" spans="1:3">
      <c r="A2400">
        <v>2399</v>
      </c>
      <c r="B2400" s="27" t="s">
        <v>16892</v>
      </c>
      <c r="C2400" s="26"/>
    </row>
    <row r="2401" ht="21" spans="1:3">
      <c r="A2401">
        <v>2400</v>
      </c>
      <c r="B2401" s="25" t="s">
        <v>16892</v>
      </c>
      <c r="C2401" s="26"/>
    </row>
    <row r="2402" ht="21" spans="1:3">
      <c r="A2402">
        <v>2401</v>
      </c>
      <c r="B2402" s="25" t="s">
        <v>16892</v>
      </c>
      <c r="C2402" s="26"/>
    </row>
    <row r="2403" ht="21" spans="1:3">
      <c r="A2403">
        <v>2402</v>
      </c>
      <c r="B2403" s="25" t="s">
        <v>16892</v>
      </c>
      <c r="C2403" s="26"/>
    </row>
    <row r="2404" ht="15.75" spans="1:3">
      <c r="A2404">
        <v>2403</v>
      </c>
      <c r="B2404" s="26"/>
      <c r="C2404" s="26"/>
    </row>
    <row r="2405" ht="15.75" spans="1:3">
      <c r="A2405">
        <v>2404</v>
      </c>
      <c r="B2405" s="26"/>
      <c r="C2405" s="26"/>
    </row>
    <row r="2406" ht="21" spans="1:3">
      <c r="A2406">
        <v>2405</v>
      </c>
      <c r="B2406" s="27" t="s">
        <v>16892</v>
      </c>
      <c r="C2406" s="26"/>
    </row>
    <row r="2407" ht="15.75" spans="1:3">
      <c r="A2407">
        <v>2406</v>
      </c>
      <c r="B2407" s="26"/>
      <c r="C2407" s="26"/>
    </row>
    <row r="2408" ht="21" spans="1:3">
      <c r="A2408">
        <v>2407</v>
      </c>
      <c r="B2408" s="25" t="s">
        <v>16892</v>
      </c>
      <c r="C2408" s="26"/>
    </row>
    <row r="2409" ht="21" spans="1:3">
      <c r="A2409">
        <v>2408</v>
      </c>
      <c r="B2409" s="25" t="s">
        <v>16892</v>
      </c>
      <c r="C2409" s="26"/>
    </row>
    <row r="2410" ht="15.75" spans="1:3">
      <c r="A2410">
        <v>2409</v>
      </c>
      <c r="B2410" s="26"/>
      <c r="C2410" s="26"/>
    </row>
    <row r="2411" ht="21" spans="1:3">
      <c r="A2411">
        <v>2410</v>
      </c>
      <c r="B2411" s="25" t="s">
        <v>16892</v>
      </c>
      <c r="C2411" s="26"/>
    </row>
    <row r="2412" ht="21" spans="1:3">
      <c r="A2412">
        <v>2411</v>
      </c>
      <c r="B2412" s="27" t="s">
        <v>16892</v>
      </c>
      <c r="C2412" s="26"/>
    </row>
    <row r="2413" ht="21" spans="1:3">
      <c r="A2413">
        <v>2412</v>
      </c>
      <c r="B2413" s="25" t="s">
        <v>16892</v>
      </c>
      <c r="C2413" s="26"/>
    </row>
    <row r="2414" ht="21" spans="1:3">
      <c r="A2414">
        <v>2413</v>
      </c>
      <c r="B2414" s="27" t="s">
        <v>16892</v>
      </c>
      <c r="C2414" s="26"/>
    </row>
    <row r="2415" ht="15.75" spans="1:3">
      <c r="A2415">
        <v>2414</v>
      </c>
      <c r="B2415" s="26"/>
      <c r="C2415" s="26"/>
    </row>
    <row r="2416" ht="15.75" spans="1:3">
      <c r="A2416">
        <v>2415</v>
      </c>
      <c r="B2416" s="26"/>
      <c r="C2416" s="26"/>
    </row>
    <row r="2417" ht="21" spans="1:3">
      <c r="A2417">
        <v>2416</v>
      </c>
      <c r="B2417" s="27" t="s">
        <v>16892</v>
      </c>
      <c r="C2417" s="26"/>
    </row>
    <row r="2418" ht="21" spans="1:3">
      <c r="A2418">
        <v>2417</v>
      </c>
      <c r="B2418" s="25" t="s">
        <v>16892</v>
      </c>
      <c r="C2418" s="26"/>
    </row>
    <row r="2419" ht="21" spans="1:3">
      <c r="A2419">
        <v>2418</v>
      </c>
      <c r="B2419" s="27" t="s">
        <v>16892</v>
      </c>
      <c r="C2419" s="26"/>
    </row>
    <row r="2420" ht="21" spans="1:3">
      <c r="A2420">
        <v>2419</v>
      </c>
      <c r="B2420" s="25" t="s">
        <v>16892</v>
      </c>
      <c r="C2420" s="26"/>
    </row>
    <row r="2421" ht="21" spans="1:3">
      <c r="A2421">
        <v>2420</v>
      </c>
      <c r="B2421" s="27" t="s">
        <v>16892</v>
      </c>
      <c r="C2421" s="26"/>
    </row>
    <row r="2422" ht="21" spans="1:3">
      <c r="A2422">
        <v>2421</v>
      </c>
      <c r="B2422" s="27" t="s">
        <v>16892</v>
      </c>
      <c r="C2422" s="26"/>
    </row>
    <row r="2423" ht="21" spans="1:3">
      <c r="A2423">
        <v>2422</v>
      </c>
      <c r="B2423" s="27" t="s">
        <v>16892</v>
      </c>
      <c r="C2423" s="26"/>
    </row>
    <row r="2424" ht="18.75" spans="1:3">
      <c r="A2424">
        <v>2423</v>
      </c>
      <c r="B2424" s="30" t="str">
        <f>IFERROR(__xludf.DUMMYFUNCTION("""COMPUTED_VALUE"""),"Senayie Samuel")</f>
        <v>Senayie Samuel</v>
      </c>
      <c r="C2424" s="30">
        <f>IFERROR(__xludf.DUMMYFUNCTION("""COMPUTED_VALUE"""),909336363)</f>
        <v>909336363</v>
      </c>
    </row>
    <row r="2425" ht="15.75" spans="1:3">
      <c r="A2425">
        <v>2424</v>
      </c>
      <c r="B2425" s="26"/>
      <c r="C2425" s="26"/>
    </row>
    <row r="2426" ht="15.75" spans="1:3">
      <c r="A2426">
        <v>2425</v>
      </c>
      <c r="B2426" s="26"/>
      <c r="C2426" s="26"/>
    </row>
    <row r="2427" ht="15.75" spans="1:3">
      <c r="A2427">
        <v>2426</v>
      </c>
      <c r="B2427" s="26"/>
      <c r="C2427" s="26"/>
    </row>
    <row r="2428" ht="15.75" spans="1:3">
      <c r="A2428">
        <v>2427</v>
      </c>
      <c r="B2428" s="26"/>
      <c r="C2428" s="26"/>
    </row>
    <row r="2429" ht="21" spans="1:3">
      <c r="A2429">
        <v>2428</v>
      </c>
      <c r="B2429" s="25" t="s">
        <v>16892</v>
      </c>
      <c r="C2429" s="26"/>
    </row>
    <row r="2430" ht="15.75" spans="1:3">
      <c r="A2430">
        <v>2429</v>
      </c>
      <c r="B2430" s="26"/>
      <c r="C2430" s="26"/>
    </row>
    <row r="2431" ht="21" spans="1:3">
      <c r="A2431">
        <v>2430</v>
      </c>
      <c r="B2431" s="25" t="s">
        <v>16892</v>
      </c>
      <c r="C2431" s="26"/>
    </row>
    <row r="2432" ht="21" spans="1:3">
      <c r="A2432">
        <v>2431</v>
      </c>
      <c r="B2432" s="25" t="s">
        <v>16892</v>
      </c>
      <c r="C2432" s="26"/>
    </row>
    <row r="2433" ht="21" spans="1:3">
      <c r="A2433">
        <v>2432</v>
      </c>
      <c r="B2433" s="27" t="s">
        <v>16892</v>
      </c>
      <c r="C2433" s="26"/>
    </row>
    <row r="2434" ht="21" spans="1:3">
      <c r="A2434">
        <v>2433</v>
      </c>
      <c r="B2434" s="27" t="s">
        <v>16892</v>
      </c>
      <c r="C2434" s="26"/>
    </row>
    <row r="2435" ht="21" spans="1:3">
      <c r="A2435">
        <v>2434</v>
      </c>
      <c r="B2435" s="25" t="s">
        <v>16892</v>
      </c>
      <c r="C2435" s="26"/>
    </row>
    <row r="2436" ht="21" spans="1:3">
      <c r="A2436">
        <v>2435</v>
      </c>
      <c r="B2436" s="25" t="s">
        <v>16892</v>
      </c>
      <c r="C2436" s="26"/>
    </row>
    <row r="2437" ht="21" spans="1:3">
      <c r="A2437">
        <v>2436</v>
      </c>
      <c r="B2437" s="25" t="s">
        <v>16892</v>
      </c>
      <c r="C2437" s="26"/>
    </row>
    <row r="2438" ht="21" spans="1:3">
      <c r="A2438">
        <v>2437</v>
      </c>
      <c r="B2438" s="25" t="s">
        <v>16892</v>
      </c>
      <c r="C2438" s="26"/>
    </row>
    <row r="2439" ht="21" spans="1:3">
      <c r="A2439">
        <v>2438</v>
      </c>
      <c r="B2439" s="27" t="s">
        <v>16892</v>
      </c>
      <c r="C2439" s="26"/>
    </row>
    <row r="2440" ht="21" spans="1:3">
      <c r="A2440">
        <v>2439</v>
      </c>
      <c r="B2440" s="27" t="s">
        <v>16892</v>
      </c>
      <c r="C2440" s="26"/>
    </row>
    <row r="2441" ht="21" spans="1:3">
      <c r="A2441">
        <v>2440</v>
      </c>
      <c r="B2441" s="27" t="s">
        <v>16892</v>
      </c>
      <c r="C2441" s="26"/>
    </row>
    <row r="2442" ht="21" spans="1:3">
      <c r="A2442">
        <v>2441</v>
      </c>
      <c r="B2442" s="27" t="s">
        <v>16892</v>
      </c>
      <c r="C2442" s="26"/>
    </row>
    <row r="2443" ht="21" spans="1:3">
      <c r="A2443">
        <v>2442</v>
      </c>
      <c r="B2443" s="25" t="s">
        <v>16892</v>
      </c>
      <c r="C2443" s="26"/>
    </row>
    <row r="2444" ht="15.75" spans="1:3">
      <c r="A2444">
        <v>2443</v>
      </c>
      <c r="B2444" s="26"/>
      <c r="C2444" s="26"/>
    </row>
    <row r="2445" ht="21" spans="1:3">
      <c r="A2445">
        <v>2444</v>
      </c>
      <c r="B2445" s="25" t="s">
        <v>16892</v>
      </c>
      <c r="C2445" s="26"/>
    </row>
    <row r="2446" ht="21" spans="1:3">
      <c r="A2446">
        <v>2445</v>
      </c>
      <c r="B2446" s="25" t="s">
        <v>16892</v>
      </c>
      <c r="C2446" s="26"/>
    </row>
    <row r="2447" ht="21" spans="1:3">
      <c r="A2447">
        <v>2446</v>
      </c>
      <c r="B2447" s="27" t="s">
        <v>16892</v>
      </c>
      <c r="C2447" s="26"/>
    </row>
    <row r="2448" ht="21" spans="1:3">
      <c r="A2448">
        <v>2447</v>
      </c>
      <c r="B2448" s="25" t="s">
        <v>16892</v>
      </c>
      <c r="C2448" s="26"/>
    </row>
    <row r="2449" ht="21" spans="1:3">
      <c r="A2449">
        <v>2448</v>
      </c>
      <c r="B2449" s="27" t="s">
        <v>16892</v>
      </c>
      <c r="C2449" s="26"/>
    </row>
    <row r="2450" ht="21" spans="1:3">
      <c r="A2450">
        <v>2449</v>
      </c>
      <c r="B2450" s="25" t="s">
        <v>16892</v>
      </c>
      <c r="C2450" s="26"/>
    </row>
    <row r="2451" ht="21" spans="1:3">
      <c r="A2451">
        <v>2450</v>
      </c>
      <c r="B2451" s="25" t="s">
        <v>16892</v>
      </c>
      <c r="C2451" s="26"/>
    </row>
    <row r="2452" ht="21" spans="1:3">
      <c r="A2452">
        <v>2451</v>
      </c>
      <c r="B2452" s="25" t="s">
        <v>16892</v>
      </c>
      <c r="C2452" s="26"/>
    </row>
    <row r="2453" ht="21" spans="1:3">
      <c r="A2453">
        <v>2452</v>
      </c>
      <c r="B2453" s="25" t="s">
        <v>16892</v>
      </c>
      <c r="C2453" s="26"/>
    </row>
    <row r="2454" ht="21" spans="1:3">
      <c r="A2454">
        <v>2453</v>
      </c>
      <c r="B2454" s="25" t="s">
        <v>16892</v>
      </c>
      <c r="C2454" s="26"/>
    </row>
    <row r="2455" ht="21" spans="1:3">
      <c r="A2455">
        <v>2454</v>
      </c>
      <c r="B2455" s="27" t="s">
        <v>16892</v>
      </c>
      <c r="C2455" s="26"/>
    </row>
    <row r="2456" ht="21" spans="1:3">
      <c r="A2456">
        <v>2455</v>
      </c>
      <c r="B2456" s="25" t="s">
        <v>16892</v>
      </c>
      <c r="C2456" s="26"/>
    </row>
    <row r="2457" ht="15.75" spans="1:3">
      <c r="A2457">
        <v>2456</v>
      </c>
      <c r="B2457" s="26"/>
      <c r="C2457" s="26"/>
    </row>
    <row r="2458" ht="15.75" spans="1:3">
      <c r="A2458">
        <v>2457</v>
      </c>
      <c r="B2458" s="26"/>
      <c r="C2458" s="26"/>
    </row>
    <row r="2459" ht="15.75" spans="1:3">
      <c r="A2459">
        <v>2458</v>
      </c>
      <c r="B2459" s="26"/>
      <c r="C2459" s="26"/>
    </row>
    <row r="2460" ht="21" spans="1:3">
      <c r="A2460">
        <v>2459</v>
      </c>
      <c r="B2460" s="27" t="s">
        <v>16892</v>
      </c>
      <c r="C2460" s="26"/>
    </row>
    <row r="2461" ht="21" spans="1:3">
      <c r="A2461">
        <v>2460</v>
      </c>
      <c r="B2461" s="25" t="s">
        <v>16892</v>
      </c>
      <c r="C2461" s="26"/>
    </row>
    <row r="2462" ht="21" spans="1:3">
      <c r="A2462">
        <v>2461</v>
      </c>
      <c r="B2462" s="25" t="s">
        <v>16892</v>
      </c>
      <c r="C2462" s="26"/>
    </row>
    <row r="2463" ht="21" spans="1:3">
      <c r="A2463">
        <v>2462</v>
      </c>
      <c r="B2463" s="25" t="s">
        <v>16892</v>
      </c>
      <c r="C2463" s="26"/>
    </row>
    <row r="2464" ht="21" spans="1:3">
      <c r="A2464">
        <v>2463</v>
      </c>
      <c r="B2464" s="25" t="s">
        <v>16892</v>
      </c>
      <c r="C2464" s="26"/>
    </row>
    <row r="2465" ht="21" spans="1:3">
      <c r="A2465">
        <v>2464</v>
      </c>
      <c r="B2465" s="27" t="s">
        <v>16892</v>
      </c>
      <c r="C2465" s="26"/>
    </row>
    <row r="2466" ht="15.75" spans="1:3">
      <c r="A2466">
        <v>2465</v>
      </c>
      <c r="B2466" s="26"/>
      <c r="C2466" s="26"/>
    </row>
    <row r="2467" ht="15.75" spans="1:3">
      <c r="A2467">
        <v>2466</v>
      </c>
      <c r="B2467" s="26"/>
      <c r="C2467" s="26"/>
    </row>
    <row r="2468" ht="21" spans="1:3">
      <c r="A2468">
        <v>2467</v>
      </c>
      <c r="B2468" s="27" t="s">
        <v>16892</v>
      </c>
      <c r="C2468" s="26"/>
    </row>
    <row r="2469" ht="18" spans="1:3">
      <c r="A2469">
        <v>2468</v>
      </c>
      <c r="B2469" s="48" t="str">
        <f>IFERROR(__xludf.DUMMYFUNCTION("""COMPUTED_VALUE"""),"ቤቴልሄም በላይ")</f>
        <v>ቤቴልሄም በላይ</v>
      </c>
      <c r="C2469" s="48">
        <v>969436520</v>
      </c>
    </row>
    <row r="2470" ht="21" spans="1:3">
      <c r="A2470">
        <v>2469</v>
      </c>
      <c r="B2470" s="27" t="s">
        <v>16892</v>
      </c>
      <c r="C2470" s="26"/>
    </row>
    <row r="2471" ht="21" spans="1:3">
      <c r="A2471">
        <v>2470</v>
      </c>
      <c r="B2471" s="25" t="s">
        <v>16892</v>
      </c>
      <c r="C2471" s="26"/>
    </row>
    <row r="2472" ht="15.75" spans="1:3">
      <c r="A2472">
        <v>2471</v>
      </c>
      <c r="B2472" s="26"/>
      <c r="C2472" s="26"/>
    </row>
    <row r="2473" ht="21" spans="1:3">
      <c r="A2473">
        <v>2472</v>
      </c>
      <c r="B2473" s="25" t="s">
        <v>16892</v>
      </c>
      <c r="C2473" s="26"/>
    </row>
    <row r="2474" ht="15.75" spans="1:3">
      <c r="A2474">
        <v>2473</v>
      </c>
      <c r="B2474" s="26"/>
      <c r="C2474" s="26"/>
    </row>
    <row r="2475" ht="21" spans="1:3">
      <c r="A2475">
        <v>2474</v>
      </c>
      <c r="B2475" s="27" t="s">
        <v>16892</v>
      </c>
      <c r="C2475" s="26"/>
    </row>
    <row r="2476" ht="21" spans="1:3">
      <c r="A2476">
        <v>2475</v>
      </c>
      <c r="B2476" s="25" t="s">
        <v>16892</v>
      </c>
      <c r="C2476" s="26"/>
    </row>
    <row r="2477" ht="18" spans="1:3">
      <c r="A2477">
        <v>2476</v>
      </c>
      <c r="B2477" s="42" t="str">
        <f>IFERROR(__xludf.DUMMYFUNCTION("""COMPUTED_VALUE"""),"Sintshaye Abate ")</f>
        <v>Sintshaye Abate </v>
      </c>
      <c r="C2477" s="42">
        <v>911665168</v>
      </c>
    </row>
    <row r="2478" ht="18" spans="1:3">
      <c r="A2478">
        <v>2477</v>
      </c>
      <c r="B2478" s="39" t="str">
        <f>IFERROR(__xludf.DUMMYFUNCTION("""COMPUTED_VALUE"""),"Sintshaye Abate ")</f>
        <v>Sintshaye Abate </v>
      </c>
      <c r="C2478" s="42">
        <v>911665168</v>
      </c>
    </row>
    <row r="2479" ht="18.75" spans="1:3">
      <c r="A2479">
        <v>2478</v>
      </c>
      <c r="B2479" s="39" t="str">
        <f>IFERROR(__xludf.DUMMYFUNCTION("""COMPUTED_VALUE"""),"Sintshaye Abate ")</f>
        <v>Sintshaye Abate </v>
      </c>
      <c r="C2479" s="34"/>
    </row>
    <row r="2480" ht="30" spans="1:3">
      <c r="A2480">
        <v>2479</v>
      </c>
      <c r="B2480" s="49" t="s">
        <v>16920</v>
      </c>
      <c r="C2480" s="36">
        <v>966782167</v>
      </c>
    </row>
    <row r="2481" ht="15.75" spans="1:3">
      <c r="A2481">
        <v>2480</v>
      </c>
      <c r="B2481" s="26"/>
      <c r="C2481" s="26"/>
    </row>
    <row r="2482" ht="15.75" spans="1:3">
      <c r="A2482">
        <v>2481</v>
      </c>
      <c r="B2482" s="26"/>
      <c r="C2482" s="26"/>
    </row>
    <row r="2483" ht="15.75" spans="1:3">
      <c r="A2483">
        <v>2482</v>
      </c>
      <c r="B2483" s="26"/>
      <c r="C2483" s="26"/>
    </row>
    <row r="2484" ht="21" spans="1:3">
      <c r="A2484">
        <v>2483</v>
      </c>
      <c r="B2484" s="27" t="s">
        <v>16892</v>
      </c>
      <c r="C2484" s="26"/>
    </row>
    <row r="2485" ht="21" spans="1:3">
      <c r="A2485">
        <v>2484</v>
      </c>
      <c r="B2485" s="25" t="s">
        <v>16892</v>
      </c>
      <c r="C2485" s="26"/>
    </row>
    <row r="2486" ht="21" spans="1:3">
      <c r="A2486">
        <v>2485</v>
      </c>
      <c r="B2486" s="25" t="s">
        <v>16892</v>
      </c>
      <c r="C2486" s="26"/>
    </row>
    <row r="2487" ht="21" spans="1:3">
      <c r="A2487">
        <v>2486</v>
      </c>
      <c r="B2487" s="27" t="s">
        <v>16892</v>
      </c>
      <c r="C2487" s="26"/>
    </row>
    <row r="2488" ht="21" spans="1:3">
      <c r="A2488">
        <v>2487</v>
      </c>
      <c r="B2488" s="25" t="s">
        <v>16892</v>
      </c>
      <c r="C2488" s="26"/>
    </row>
    <row r="2489" ht="15.75" spans="1:3">
      <c r="A2489">
        <v>2488</v>
      </c>
      <c r="B2489" s="41"/>
      <c r="C2489" s="41"/>
    </row>
    <row r="2490" ht="21" spans="1:3">
      <c r="A2490">
        <v>2489</v>
      </c>
      <c r="B2490" s="27" t="s">
        <v>16892</v>
      </c>
      <c r="C2490" s="26"/>
    </row>
    <row r="2491" ht="21" spans="1:3">
      <c r="A2491">
        <v>2490</v>
      </c>
      <c r="B2491" s="27" t="s">
        <v>16892</v>
      </c>
      <c r="C2491" s="26"/>
    </row>
    <row r="2492" ht="21" spans="1:3">
      <c r="A2492">
        <v>2491</v>
      </c>
      <c r="B2492" s="25" t="s">
        <v>16892</v>
      </c>
      <c r="C2492" s="26"/>
    </row>
    <row r="2493" ht="21" spans="1:3">
      <c r="A2493">
        <v>2492</v>
      </c>
      <c r="B2493" s="27" t="s">
        <v>16892</v>
      </c>
      <c r="C2493" s="26"/>
    </row>
    <row r="2494" ht="21" spans="1:3">
      <c r="A2494">
        <v>2493</v>
      </c>
      <c r="B2494" s="27" t="s">
        <v>16892</v>
      </c>
      <c r="C2494" s="26"/>
    </row>
    <row r="2495" ht="21" spans="1:3">
      <c r="A2495">
        <v>2494</v>
      </c>
      <c r="B2495" s="25" t="s">
        <v>16892</v>
      </c>
      <c r="C2495" s="26"/>
    </row>
    <row r="2496" ht="21" spans="1:3">
      <c r="A2496">
        <v>2495</v>
      </c>
      <c r="B2496" s="27" t="s">
        <v>16892</v>
      </c>
      <c r="C2496" s="26"/>
    </row>
    <row r="2497" ht="21" spans="1:3">
      <c r="A2497">
        <v>2496</v>
      </c>
      <c r="B2497" s="27" t="s">
        <v>16892</v>
      </c>
      <c r="C2497" s="26"/>
    </row>
    <row r="2498" ht="21" spans="1:3">
      <c r="A2498">
        <v>2497</v>
      </c>
      <c r="B2498" s="27" t="s">
        <v>16892</v>
      </c>
      <c r="C2498" s="26"/>
    </row>
    <row r="2499" ht="21" spans="1:3">
      <c r="A2499">
        <v>2498</v>
      </c>
      <c r="B2499" s="27" t="s">
        <v>16892</v>
      </c>
      <c r="C2499" s="26"/>
    </row>
    <row r="2500" ht="21" spans="1:3">
      <c r="A2500">
        <v>2499</v>
      </c>
      <c r="B2500" s="25" t="s">
        <v>16892</v>
      </c>
      <c r="C2500" s="26"/>
    </row>
    <row r="2501" ht="21" spans="1:3">
      <c r="A2501">
        <v>2500</v>
      </c>
      <c r="B2501" s="25" t="s">
        <v>16892</v>
      </c>
      <c r="C2501" s="26"/>
    </row>
    <row r="2502" ht="21" spans="1:3">
      <c r="A2502">
        <v>2501</v>
      </c>
      <c r="B2502" s="27" t="s">
        <v>16892</v>
      </c>
      <c r="C2502" s="26"/>
    </row>
    <row r="2503" ht="21" spans="1:3">
      <c r="A2503">
        <v>2502</v>
      </c>
      <c r="B2503" s="27" t="s">
        <v>16892</v>
      </c>
      <c r="C2503" s="26"/>
    </row>
    <row r="2504" ht="21" spans="1:3">
      <c r="A2504">
        <v>2503</v>
      </c>
      <c r="B2504" s="27" t="s">
        <v>16892</v>
      </c>
      <c r="C2504" s="26"/>
    </row>
    <row r="2505" ht="21" spans="1:3">
      <c r="A2505">
        <v>2504</v>
      </c>
      <c r="B2505" s="25" t="s">
        <v>16892</v>
      </c>
      <c r="C2505" s="26"/>
    </row>
    <row r="2506" ht="15.75" spans="1:3">
      <c r="A2506">
        <v>2505</v>
      </c>
      <c r="B2506" s="26"/>
      <c r="C2506" s="26"/>
    </row>
    <row r="2507" ht="21" spans="1:3">
      <c r="A2507">
        <v>2506</v>
      </c>
      <c r="B2507" s="27" t="s">
        <v>16892</v>
      </c>
      <c r="C2507" s="26"/>
    </row>
    <row r="2508" ht="21" spans="1:3">
      <c r="A2508">
        <v>2507</v>
      </c>
      <c r="B2508" s="27" t="s">
        <v>16892</v>
      </c>
      <c r="C2508" s="26"/>
    </row>
    <row r="2509" ht="21" spans="1:3">
      <c r="A2509">
        <v>2508</v>
      </c>
      <c r="B2509" s="25" t="s">
        <v>16892</v>
      </c>
      <c r="C2509" s="26"/>
    </row>
    <row r="2510" ht="21" spans="1:3">
      <c r="A2510">
        <v>2509</v>
      </c>
      <c r="B2510" s="27" t="s">
        <v>16892</v>
      </c>
      <c r="C2510" s="26"/>
    </row>
    <row r="2511" ht="21" spans="1:3">
      <c r="A2511">
        <v>2510</v>
      </c>
      <c r="B2511" s="25" t="s">
        <v>16892</v>
      </c>
      <c r="C2511" s="26"/>
    </row>
    <row r="2512" ht="21" spans="1:3">
      <c r="A2512">
        <v>2511</v>
      </c>
      <c r="B2512" s="27" t="s">
        <v>16892</v>
      </c>
      <c r="C2512" s="26"/>
    </row>
    <row r="2513" ht="21" spans="1:3">
      <c r="A2513">
        <v>2512</v>
      </c>
      <c r="B2513" s="27" t="s">
        <v>16892</v>
      </c>
      <c r="C2513" s="26"/>
    </row>
    <row r="2514" ht="21" spans="1:3">
      <c r="A2514">
        <v>2513</v>
      </c>
      <c r="B2514" s="27" t="s">
        <v>16892</v>
      </c>
      <c r="C2514" s="26"/>
    </row>
    <row r="2515" ht="21" spans="1:3">
      <c r="A2515">
        <v>2514</v>
      </c>
      <c r="B2515" s="25" t="s">
        <v>16892</v>
      </c>
      <c r="C2515" s="26"/>
    </row>
    <row r="2516" ht="21" spans="1:3">
      <c r="A2516">
        <v>2515</v>
      </c>
      <c r="B2516" s="27" t="s">
        <v>16892</v>
      </c>
      <c r="C2516" s="26"/>
    </row>
    <row r="2517" ht="15.75" spans="1:3">
      <c r="A2517">
        <v>2516</v>
      </c>
      <c r="B2517" s="29"/>
      <c r="C2517" s="29"/>
    </row>
    <row r="2518" ht="15.75" spans="1:3">
      <c r="A2518">
        <v>2517</v>
      </c>
      <c r="B2518" s="29"/>
      <c r="C2518" s="29"/>
    </row>
    <row r="2519" ht="21" spans="1:3">
      <c r="A2519">
        <v>2518</v>
      </c>
      <c r="B2519" s="25" t="s">
        <v>16892</v>
      </c>
      <c r="C2519" s="26"/>
    </row>
    <row r="2520" ht="21" spans="1:3">
      <c r="A2520">
        <v>2519</v>
      </c>
      <c r="B2520" s="27" t="s">
        <v>16892</v>
      </c>
      <c r="C2520" s="26"/>
    </row>
    <row r="2521" ht="21" spans="1:3">
      <c r="A2521">
        <v>2520</v>
      </c>
      <c r="B2521" s="25" t="s">
        <v>16892</v>
      </c>
      <c r="C2521" s="26"/>
    </row>
    <row r="2522" ht="21" spans="1:3">
      <c r="A2522">
        <v>2521</v>
      </c>
      <c r="B2522" s="27" t="s">
        <v>16892</v>
      </c>
      <c r="C2522" s="26"/>
    </row>
    <row r="2523" ht="21" spans="1:3">
      <c r="A2523">
        <v>2522</v>
      </c>
      <c r="B2523" s="27" t="s">
        <v>16892</v>
      </c>
      <c r="C2523" s="26"/>
    </row>
    <row r="2524" ht="21" spans="1:3">
      <c r="A2524">
        <v>2523</v>
      </c>
      <c r="B2524" s="27" t="s">
        <v>16892</v>
      </c>
      <c r="C2524" s="26"/>
    </row>
    <row r="2525" ht="21" spans="1:3">
      <c r="A2525">
        <v>2524</v>
      </c>
      <c r="B2525" s="25" t="s">
        <v>16892</v>
      </c>
      <c r="C2525" s="26"/>
    </row>
    <row r="2526" ht="21" spans="1:3">
      <c r="A2526">
        <v>2525</v>
      </c>
      <c r="B2526" s="27" t="s">
        <v>16892</v>
      </c>
      <c r="C2526" s="26"/>
    </row>
    <row r="2527" ht="21" spans="1:3">
      <c r="A2527">
        <v>2526</v>
      </c>
      <c r="B2527" s="25" t="s">
        <v>16892</v>
      </c>
      <c r="C2527" s="26"/>
    </row>
    <row r="2528" ht="21" spans="1:3">
      <c r="A2528">
        <v>2527</v>
      </c>
      <c r="B2528" s="25" t="s">
        <v>16892</v>
      </c>
      <c r="C2528" s="26"/>
    </row>
    <row r="2529" ht="21" spans="1:3">
      <c r="A2529">
        <v>2528</v>
      </c>
      <c r="B2529" s="27" t="s">
        <v>16892</v>
      </c>
      <c r="C2529" s="26"/>
    </row>
    <row r="2530" ht="21" spans="1:3">
      <c r="A2530">
        <v>2529</v>
      </c>
      <c r="B2530" s="25" t="s">
        <v>16892</v>
      </c>
      <c r="C2530" s="26"/>
    </row>
    <row r="2531" ht="21" spans="1:3">
      <c r="A2531">
        <v>2530</v>
      </c>
      <c r="B2531" s="27" t="s">
        <v>16892</v>
      </c>
      <c r="C2531" s="26"/>
    </row>
    <row r="2532" ht="21" spans="1:3">
      <c r="A2532">
        <v>2531</v>
      </c>
      <c r="B2532" s="25" t="s">
        <v>16892</v>
      </c>
      <c r="C2532" s="26"/>
    </row>
    <row r="2533" ht="21" spans="1:3">
      <c r="A2533">
        <v>2532</v>
      </c>
      <c r="B2533" s="27" t="s">
        <v>16892</v>
      </c>
      <c r="C2533" s="26"/>
    </row>
    <row r="2534" ht="21" spans="1:3">
      <c r="A2534">
        <v>2533</v>
      </c>
      <c r="B2534" s="25" t="s">
        <v>16892</v>
      </c>
      <c r="C2534" s="26"/>
    </row>
    <row r="2535" ht="21" spans="1:3">
      <c r="A2535">
        <v>2534</v>
      </c>
      <c r="B2535" s="27" t="s">
        <v>16892</v>
      </c>
      <c r="C2535" s="26"/>
    </row>
    <row r="2536" ht="15.75" spans="1:3">
      <c r="A2536">
        <v>2535</v>
      </c>
      <c r="B2536" s="26"/>
      <c r="C2536" s="26"/>
    </row>
    <row r="2537" ht="21" spans="1:3">
      <c r="A2537">
        <v>2536</v>
      </c>
      <c r="B2537" s="25" t="s">
        <v>16892</v>
      </c>
      <c r="C2537" s="26"/>
    </row>
    <row r="2538" ht="21" spans="1:3">
      <c r="A2538">
        <v>2537</v>
      </c>
      <c r="B2538" s="25" t="s">
        <v>16892</v>
      </c>
      <c r="C2538" s="26"/>
    </row>
    <row r="2539" ht="21" spans="1:3">
      <c r="A2539">
        <v>2538</v>
      </c>
      <c r="B2539" s="27" t="s">
        <v>16892</v>
      </c>
      <c r="C2539" s="26"/>
    </row>
    <row r="2540" ht="21" spans="1:3">
      <c r="A2540">
        <v>2539</v>
      </c>
      <c r="B2540" s="25" t="s">
        <v>16892</v>
      </c>
      <c r="C2540" s="26"/>
    </row>
    <row r="2541" ht="15.75" spans="1:3">
      <c r="A2541">
        <v>2540</v>
      </c>
      <c r="B2541" s="26"/>
      <c r="C2541" s="26"/>
    </row>
    <row r="2542" ht="15.75" spans="1:3">
      <c r="A2542">
        <v>2541</v>
      </c>
      <c r="B2542" s="26"/>
      <c r="C2542" s="26"/>
    </row>
    <row r="2543" ht="21" spans="1:3">
      <c r="A2543">
        <v>2542</v>
      </c>
      <c r="B2543" s="27" t="s">
        <v>16892</v>
      </c>
      <c r="C2543" s="26"/>
    </row>
    <row r="2544" ht="21" spans="1:3">
      <c r="A2544">
        <v>2543</v>
      </c>
      <c r="B2544" s="27" t="s">
        <v>16892</v>
      </c>
      <c r="C2544" s="26"/>
    </row>
    <row r="2545" ht="21" spans="1:3">
      <c r="A2545">
        <v>2544</v>
      </c>
      <c r="B2545" s="27" t="s">
        <v>16892</v>
      </c>
      <c r="C2545" s="26"/>
    </row>
    <row r="2546" ht="21" spans="1:3">
      <c r="A2546">
        <v>2545</v>
      </c>
      <c r="B2546" s="27" t="s">
        <v>16892</v>
      </c>
      <c r="C2546" s="26"/>
    </row>
    <row r="2547" ht="15.75" spans="1:3">
      <c r="A2547">
        <v>2546</v>
      </c>
      <c r="B2547" s="26"/>
      <c r="C2547" s="26"/>
    </row>
    <row r="2548" ht="21" spans="1:3">
      <c r="A2548">
        <v>2547</v>
      </c>
      <c r="B2548" s="27" t="s">
        <v>16892</v>
      </c>
      <c r="C2548" s="26"/>
    </row>
    <row r="2549" ht="21" spans="1:3">
      <c r="A2549">
        <v>2548</v>
      </c>
      <c r="B2549" s="25" t="s">
        <v>16892</v>
      </c>
      <c r="C2549" s="26"/>
    </row>
    <row r="2550" ht="21" spans="1:3">
      <c r="A2550">
        <v>2549</v>
      </c>
      <c r="B2550" s="27" t="s">
        <v>16892</v>
      </c>
      <c r="C2550" s="26"/>
    </row>
    <row r="2551" ht="21" spans="1:3">
      <c r="A2551">
        <v>2550</v>
      </c>
      <c r="B2551" s="25" t="s">
        <v>16892</v>
      </c>
      <c r="C2551" s="26"/>
    </row>
    <row r="2552" ht="21" spans="1:3">
      <c r="A2552">
        <v>2551</v>
      </c>
      <c r="B2552" s="27" t="s">
        <v>16892</v>
      </c>
      <c r="C2552" s="26"/>
    </row>
    <row r="2553" ht="15.75" spans="1:3">
      <c r="A2553">
        <v>2552</v>
      </c>
      <c r="B2553" s="26"/>
      <c r="C2553" s="26"/>
    </row>
    <row r="2554" ht="21" spans="1:3">
      <c r="A2554">
        <v>2553</v>
      </c>
      <c r="B2554" s="25" t="s">
        <v>16892</v>
      </c>
      <c r="C2554" s="26"/>
    </row>
    <row r="2555" ht="21" spans="1:3">
      <c r="A2555">
        <v>2554</v>
      </c>
      <c r="B2555" s="27" t="s">
        <v>16892</v>
      </c>
      <c r="C2555" s="26"/>
    </row>
    <row r="2556" ht="21" spans="1:3">
      <c r="A2556">
        <v>2555</v>
      </c>
      <c r="B2556" s="27" t="s">
        <v>16892</v>
      </c>
      <c r="C2556" s="26"/>
    </row>
    <row r="2557" ht="21" spans="1:3">
      <c r="A2557">
        <v>2556</v>
      </c>
      <c r="B2557" s="25" t="s">
        <v>16892</v>
      </c>
      <c r="C2557" s="26"/>
    </row>
    <row r="2558" ht="15.75" spans="1:3">
      <c r="A2558">
        <v>2557</v>
      </c>
      <c r="B2558" s="26"/>
      <c r="C2558" s="26"/>
    </row>
    <row r="2559" ht="15.75" spans="1:3">
      <c r="A2559">
        <v>2558</v>
      </c>
      <c r="B2559" s="26"/>
      <c r="C2559" s="26"/>
    </row>
    <row r="2560" ht="21" spans="1:3">
      <c r="A2560">
        <v>2559</v>
      </c>
      <c r="B2560" s="25" t="s">
        <v>16892</v>
      </c>
      <c r="C2560" s="26"/>
    </row>
    <row r="2561" ht="21" spans="1:3">
      <c r="A2561">
        <v>2560</v>
      </c>
      <c r="B2561" s="27" t="s">
        <v>16892</v>
      </c>
      <c r="C2561" s="26"/>
    </row>
    <row r="2562" ht="21" spans="1:3">
      <c r="A2562">
        <v>2561</v>
      </c>
      <c r="B2562" s="27" t="s">
        <v>16892</v>
      </c>
      <c r="C2562" s="26"/>
    </row>
    <row r="2563" ht="21" spans="1:3">
      <c r="A2563">
        <v>2562</v>
      </c>
      <c r="B2563" s="25" t="s">
        <v>16892</v>
      </c>
      <c r="C2563" s="26"/>
    </row>
    <row r="2564" ht="21" spans="1:3">
      <c r="A2564">
        <v>2563</v>
      </c>
      <c r="B2564" s="27" t="s">
        <v>16892</v>
      </c>
      <c r="C2564" s="26"/>
    </row>
    <row r="2565" ht="21" spans="1:3">
      <c r="A2565">
        <v>2564</v>
      </c>
      <c r="B2565" s="25" t="s">
        <v>16892</v>
      </c>
      <c r="C2565" s="26"/>
    </row>
    <row r="2566" ht="21" spans="1:3">
      <c r="A2566">
        <v>2565</v>
      </c>
      <c r="B2566" s="27" t="s">
        <v>16892</v>
      </c>
      <c r="C2566" s="26"/>
    </row>
    <row r="2567" ht="21" spans="1:3">
      <c r="A2567">
        <v>2566</v>
      </c>
      <c r="B2567" s="25" t="s">
        <v>16892</v>
      </c>
      <c r="C2567" s="26"/>
    </row>
    <row r="2568" ht="21" spans="1:3">
      <c r="A2568">
        <v>2567</v>
      </c>
      <c r="B2568" s="25" t="s">
        <v>16892</v>
      </c>
      <c r="C2568" s="26"/>
    </row>
    <row r="2569" ht="15.75" spans="1:3">
      <c r="A2569">
        <v>2568</v>
      </c>
      <c r="B2569" s="26"/>
      <c r="C2569" s="26"/>
    </row>
    <row r="2570" ht="21" spans="1:3">
      <c r="A2570">
        <v>2569</v>
      </c>
      <c r="B2570" s="25" t="s">
        <v>16892</v>
      </c>
      <c r="C2570" s="26"/>
    </row>
    <row r="2571" ht="21" spans="1:3">
      <c r="A2571">
        <v>2570</v>
      </c>
      <c r="B2571" s="25" t="s">
        <v>16892</v>
      </c>
      <c r="C2571" s="26"/>
    </row>
    <row r="2572" ht="15.75" spans="1:3">
      <c r="A2572">
        <v>2571</v>
      </c>
      <c r="B2572" s="26"/>
      <c r="C2572" s="26"/>
    </row>
    <row r="2573" ht="15.75" spans="1:3">
      <c r="A2573">
        <v>2572</v>
      </c>
      <c r="B2573" s="26"/>
      <c r="C2573" s="26"/>
    </row>
    <row r="2574" ht="15.75" spans="1:3">
      <c r="A2574">
        <v>2573</v>
      </c>
      <c r="B2574" s="26"/>
      <c r="C2574" s="26"/>
    </row>
    <row r="2575" ht="18" spans="1:3">
      <c r="A2575">
        <v>2574</v>
      </c>
      <c r="B2575" s="32" t="str">
        <f>IFERROR(__xludf.DUMMYFUNCTION("""COMPUTED_VALUE"""),"asipayer greenland eth.(eliyas ahimed)")</f>
        <v>asipayer greenland eth.(eliyas ahimed)</v>
      </c>
      <c r="C2575" s="32">
        <v>937858589</v>
      </c>
    </row>
    <row r="2576" ht="21" spans="1:3">
      <c r="A2576">
        <v>2575</v>
      </c>
      <c r="B2576" s="25" t="s">
        <v>16892</v>
      </c>
      <c r="C2576" s="26"/>
    </row>
    <row r="2577" ht="21" spans="1:3">
      <c r="A2577">
        <v>2576</v>
      </c>
      <c r="B2577" s="27" t="s">
        <v>16892</v>
      </c>
      <c r="C2577" s="26"/>
    </row>
    <row r="2578" ht="21" spans="1:3">
      <c r="A2578">
        <v>2577</v>
      </c>
      <c r="B2578" s="25" t="s">
        <v>16892</v>
      </c>
      <c r="C2578" s="26"/>
    </row>
    <row r="2579" ht="15.75" spans="1:3">
      <c r="A2579">
        <v>2578</v>
      </c>
      <c r="B2579" s="26"/>
      <c r="C2579" s="26"/>
    </row>
    <row r="2580" ht="15.75" spans="1:3">
      <c r="A2580">
        <v>2579</v>
      </c>
      <c r="B2580" s="26"/>
      <c r="C2580" s="26"/>
    </row>
    <row r="2581" ht="21" spans="1:3">
      <c r="A2581">
        <v>2580</v>
      </c>
      <c r="B2581" s="25" t="s">
        <v>16892</v>
      </c>
      <c r="C2581" s="26"/>
    </row>
    <row r="2582" ht="21" spans="1:3">
      <c r="A2582">
        <v>2581</v>
      </c>
      <c r="B2582" s="27" t="s">
        <v>16892</v>
      </c>
      <c r="C2582" s="26"/>
    </row>
    <row r="2583" ht="15.75" spans="1:3">
      <c r="A2583">
        <v>2582</v>
      </c>
      <c r="B2583" s="26"/>
      <c r="C2583" s="26"/>
    </row>
    <row r="2584" ht="21" spans="1:3">
      <c r="A2584">
        <v>2583</v>
      </c>
      <c r="B2584" s="25" t="s">
        <v>16892</v>
      </c>
      <c r="C2584" s="26"/>
    </row>
    <row r="2585" ht="21" spans="1:3">
      <c r="A2585">
        <v>2584</v>
      </c>
      <c r="B2585" s="27" t="s">
        <v>16892</v>
      </c>
      <c r="C2585" s="26"/>
    </row>
    <row r="2586" ht="21" spans="1:3">
      <c r="A2586">
        <v>2585</v>
      </c>
      <c r="B2586" s="25" t="s">
        <v>16892</v>
      </c>
      <c r="C2586" s="26"/>
    </row>
    <row r="2587" ht="21" spans="1:3">
      <c r="A2587">
        <v>2586</v>
      </c>
      <c r="B2587" s="25" t="s">
        <v>16892</v>
      </c>
      <c r="C2587" s="26"/>
    </row>
    <row r="2588" ht="21" spans="1:3">
      <c r="A2588">
        <v>2587</v>
      </c>
      <c r="B2588" s="27" t="s">
        <v>16892</v>
      </c>
      <c r="C2588" s="26"/>
    </row>
    <row r="2589" ht="18.75" spans="1:3">
      <c r="A2589">
        <v>2588</v>
      </c>
      <c r="B2589" s="31" t="s">
        <v>16921</v>
      </c>
      <c r="C2589" s="30" t="s">
        <v>16922</v>
      </c>
    </row>
    <row r="2590" ht="21" spans="1:3">
      <c r="A2590">
        <v>2589</v>
      </c>
      <c r="B2590" s="25" t="s">
        <v>16892</v>
      </c>
      <c r="C2590" s="26"/>
    </row>
    <row r="2591" ht="21" spans="1:3">
      <c r="A2591">
        <v>2590</v>
      </c>
      <c r="B2591" s="25" t="s">
        <v>16892</v>
      </c>
      <c r="C2591" s="26"/>
    </row>
    <row r="2592" ht="21" spans="1:3">
      <c r="A2592">
        <v>2591</v>
      </c>
      <c r="B2592" s="27" t="s">
        <v>16892</v>
      </c>
      <c r="C2592" s="26"/>
    </row>
    <row r="2593" ht="21" spans="1:3">
      <c r="A2593">
        <v>2592</v>
      </c>
      <c r="B2593" s="25" t="s">
        <v>16892</v>
      </c>
      <c r="C2593" s="26"/>
    </row>
    <row r="2594" ht="15.75" spans="1:3">
      <c r="A2594">
        <v>2593</v>
      </c>
      <c r="B2594" s="26"/>
      <c r="C2594" s="26"/>
    </row>
    <row r="2595" ht="21" spans="1:3">
      <c r="A2595">
        <v>2594</v>
      </c>
      <c r="B2595" s="25" t="s">
        <v>16892</v>
      </c>
      <c r="C2595" s="26"/>
    </row>
    <row r="2596" ht="21" spans="1:3">
      <c r="A2596">
        <v>2595</v>
      </c>
      <c r="B2596" s="25" t="s">
        <v>16892</v>
      </c>
      <c r="C2596" s="26"/>
    </row>
    <row r="2597" ht="21" spans="1:3">
      <c r="A2597">
        <v>2596</v>
      </c>
      <c r="B2597" s="27" t="s">
        <v>16892</v>
      </c>
      <c r="C2597" s="26"/>
    </row>
    <row r="2598" ht="21" spans="1:3">
      <c r="A2598">
        <v>2597</v>
      </c>
      <c r="B2598" s="27" t="s">
        <v>16892</v>
      </c>
      <c r="C2598" s="26"/>
    </row>
    <row r="2599" ht="15.75" spans="1:3">
      <c r="A2599">
        <v>2598</v>
      </c>
      <c r="B2599" s="26"/>
      <c r="C2599" s="26"/>
    </row>
    <row r="2600" ht="21" spans="1:3">
      <c r="A2600">
        <v>2599</v>
      </c>
      <c r="B2600" s="27" t="s">
        <v>16892</v>
      </c>
      <c r="C2600" s="26"/>
    </row>
    <row r="2601" ht="21" spans="1:3">
      <c r="A2601">
        <v>2600</v>
      </c>
      <c r="B2601" s="27" t="s">
        <v>16892</v>
      </c>
      <c r="C2601" s="26"/>
    </row>
    <row r="2602" ht="21" spans="1:3">
      <c r="A2602">
        <v>2601</v>
      </c>
      <c r="B2602" s="25" t="s">
        <v>16892</v>
      </c>
      <c r="C2602" s="26"/>
    </row>
    <row r="2603" ht="21" spans="1:3">
      <c r="A2603">
        <v>2602</v>
      </c>
      <c r="B2603" s="27" t="s">
        <v>16892</v>
      </c>
      <c r="C2603" s="26"/>
    </row>
    <row r="2604" ht="21" spans="1:3">
      <c r="A2604">
        <v>2603</v>
      </c>
      <c r="B2604" s="27" t="s">
        <v>16892</v>
      </c>
      <c r="C2604" s="26"/>
    </row>
    <row r="2605" ht="21" spans="1:3">
      <c r="A2605">
        <v>2604</v>
      </c>
      <c r="B2605" s="27" t="s">
        <v>16892</v>
      </c>
      <c r="C2605" s="26"/>
    </row>
    <row r="2606" ht="21" spans="1:3">
      <c r="A2606">
        <v>2605</v>
      </c>
      <c r="B2606" s="25" t="s">
        <v>16892</v>
      </c>
      <c r="C2606" s="26"/>
    </row>
    <row r="2607" ht="21" spans="1:3">
      <c r="A2607">
        <v>2606</v>
      </c>
      <c r="B2607" s="25" t="s">
        <v>16892</v>
      </c>
      <c r="C2607" s="26"/>
    </row>
    <row r="2608" ht="15.75" spans="1:3">
      <c r="A2608">
        <v>2607</v>
      </c>
      <c r="B2608" s="26"/>
      <c r="C2608" s="26"/>
    </row>
    <row r="2609" ht="21" spans="1:3">
      <c r="A2609">
        <v>2608</v>
      </c>
      <c r="B2609" s="27" t="s">
        <v>16892</v>
      </c>
      <c r="C2609" s="26"/>
    </row>
    <row r="2610" ht="21" spans="1:3">
      <c r="A2610">
        <v>2609</v>
      </c>
      <c r="B2610" s="25" t="s">
        <v>16892</v>
      </c>
      <c r="C2610" s="26"/>
    </row>
    <row r="2611" ht="21" spans="1:3">
      <c r="A2611">
        <v>2610</v>
      </c>
      <c r="B2611" s="27" t="s">
        <v>16892</v>
      </c>
      <c r="C2611" s="26"/>
    </row>
    <row r="2612" ht="15.75" spans="1:3">
      <c r="A2612">
        <v>2611</v>
      </c>
      <c r="B2612" s="26"/>
      <c r="C2612" s="26"/>
    </row>
    <row r="2613" ht="15.75" spans="1:3">
      <c r="A2613">
        <v>2612</v>
      </c>
      <c r="B2613" s="26"/>
      <c r="C2613" s="26"/>
    </row>
    <row r="2614" ht="21" spans="1:3">
      <c r="A2614">
        <v>2613</v>
      </c>
      <c r="B2614" s="25" t="s">
        <v>16892</v>
      </c>
      <c r="C2614" s="26"/>
    </row>
    <row r="2615" ht="21" spans="1:3">
      <c r="A2615">
        <v>2614</v>
      </c>
      <c r="B2615" s="25" t="s">
        <v>16892</v>
      </c>
      <c r="C2615" s="26"/>
    </row>
    <row r="2616" ht="21" spans="1:3">
      <c r="A2616">
        <v>2615</v>
      </c>
      <c r="B2616" s="25" t="s">
        <v>16892</v>
      </c>
      <c r="C2616" s="26"/>
    </row>
    <row r="2617" ht="15.75" spans="1:3">
      <c r="A2617">
        <v>2616</v>
      </c>
      <c r="B2617" s="26"/>
      <c r="C2617" s="26"/>
    </row>
    <row r="2618" ht="15.75" spans="1:3">
      <c r="A2618">
        <v>2617</v>
      </c>
      <c r="B2618" s="26"/>
      <c r="C2618" s="26"/>
    </row>
    <row r="2619" ht="15.75" spans="1:3">
      <c r="A2619">
        <v>2618</v>
      </c>
      <c r="B2619" s="26"/>
      <c r="C2619" s="26"/>
    </row>
    <row r="2620" ht="15.75" spans="1:3">
      <c r="A2620">
        <v>2619</v>
      </c>
      <c r="B2620" s="26"/>
      <c r="C2620" s="26"/>
    </row>
    <row r="2621" ht="15.75" spans="1:3">
      <c r="A2621">
        <v>2620</v>
      </c>
      <c r="B2621" s="26"/>
      <c r="C2621" s="26"/>
    </row>
    <row r="2622" ht="21" spans="1:3">
      <c r="A2622">
        <v>2621</v>
      </c>
      <c r="B2622" s="27" t="s">
        <v>16892</v>
      </c>
      <c r="C2622" s="26"/>
    </row>
    <row r="2623" ht="15.75" spans="1:3">
      <c r="A2623">
        <v>2622</v>
      </c>
      <c r="B2623" s="26"/>
      <c r="C2623" s="26"/>
    </row>
    <row r="2624" ht="21" spans="1:3">
      <c r="A2624">
        <v>2623</v>
      </c>
      <c r="B2624" s="25" t="s">
        <v>16892</v>
      </c>
      <c r="C2624" s="26"/>
    </row>
    <row r="2625" ht="15.75" spans="1:3">
      <c r="A2625">
        <v>2624</v>
      </c>
      <c r="B2625" s="26"/>
      <c r="C2625" s="26"/>
    </row>
    <row r="2626" ht="21" spans="1:3">
      <c r="A2626">
        <v>2625</v>
      </c>
      <c r="B2626" s="25" t="s">
        <v>16892</v>
      </c>
      <c r="C2626" s="26"/>
    </row>
    <row r="2627" ht="21" spans="1:3">
      <c r="A2627">
        <v>2626</v>
      </c>
      <c r="B2627" s="25" t="s">
        <v>16892</v>
      </c>
      <c r="C2627" s="26"/>
    </row>
    <row r="2628" ht="15.75" spans="1:3">
      <c r="A2628">
        <v>2627</v>
      </c>
      <c r="B2628" s="26"/>
      <c r="C2628" s="26"/>
    </row>
    <row r="2629" ht="21" spans="1:3">
      <c r="A2629">
        <v>2628</v>
      </c>
      <c r="B2629" s="25" t="s">
        <v>16892</v>
      </c>
      <c r="C2629" s="26"/>
    </row>
    <row r="2630" ht="21" spans="1:3">
      <c r="A2630">
        <v>2629</v>
      </c>
      <c r="B2630" s="27" t="s">
        <v>16892</v>
      </c>
      <c r="C2630" s="26"/>
    </row>
    <row r="2631" ht="21" spans="1:3">
      <c r="A2631">
        <v>2630</v>
      </c>
      <c r="B2631" s="27" t="s">
        <v>16892</v>
      </c>
      <c r="C2631" s="26"/>
    </row>
    <row r="2632" ht="15.75" spans="1:3">
      <c r="A2632">
        <v>2631</v>
      </c>
      <c r="B2632" s="26"/>
      <c r="C2632" s="26"/>
    </row>
    <row r="2633" ht="15.75" spans="1:3">
      <c r="A2633">
        <v>2632</v>
      </c>
      <c r="B2633" s="26"/>
      <c r="C2633" s="26"/>
    </row>
    <row r="2634" ht="21" spans="1:3">
      <c r="A2634">
        <v>2633</v>
      </c>
      <c r="B2634" s="27" t="s">
        <v>16892</v>
      </c>
      <c r="C2634" s="26"/>
    </row>
    <row r="2635" ht="21" spans="1:3">
      <c r="A2635">
        <v>2634</v>
      </c>
      <c r="B2635" s="25" t="s">
        <v>16892</v>
      </c>
      <c r="C2635" s="26"/>
    </row>
    <row r="2636" ht="21" spans="1:3">
      <c r="A2636">
        <v>2635</v>
      </c>
      <c r="B2636" s="27" t="s">
        <v>16892</v>
      </c>
      <c r="C2636" s="26"/>
    </row>
    <row r="2637" ht="21" spans="1:3">
      <c r="A2637">
        <v>2636</v>
      </c>
      <c r="B2637" s="27" t="s">
        <v>16892</v>
      </c>
      <c r="C2637" s="26"/>
    </row>
    <row r="2638" ht="21" spans="1:3">
      <c r="A2638">
        <v>2637</v>
      </c>
      <c r="B2638" s="25" t="s">
        <v>16892</v>
      </c>
      <c r="C2638" s="26"/>
    </row>
    <row r="2639" ht="21" spans="1:3">
      <c r="A2639">
        <v>2638</v>
      </c>
      <c r="B2639" s="25" t="s">
        <v>16892</v>
      </c>
      <c r="C2639" s="26"/>
    </row>
    <row r="2640" ht="21" spans="1:3">
      <c r="A2640">
        <v>2639</v>
      </c>
      <c r="B2640" s="25" t="s">
        <v>16892</v>
      </c>
      <c r="C2640" s="26"/>
    </row>
    <row r="2641" ht="21" spans="1:3">
      <c r="A2641">
        <v>2640</v>
      </c>
      <c r="B2641" s="27" t="s">
        <v>16892</v>
      </c>
      <c r="C2641" s="26"/>
    </row>
    <row r="2642" ht="21" spans="1:3">
      <c r="A2642">
        <v>2641</v>
      </c>
      <c r="B2642" s="27" t="s">
        <v>16892</v>
      </c>
      <c r="C2642" s="26"/>
    </row>
    <row r="2643" ht="21" spans="1:3">
      <c r="A2643">
        <v>2642</v>
      </c>
      <c r="B2643" s="27" t="s">
        <v>16892</v>
      </c>
      <c r="C2643" s="26"/>
    </row>
    <row r="2644" ht="21" spans="1:3">
      <c r="A2644">
        <v>2643</v>
      </c>
      <c r="B2644" s="27" t="s">
        <v>16892</v>
      </c>
      <c r="C2644" s="26"/>
    </row>
    <row r="2645" ht="21" spans="1:3">
      <c r="A2645">
        <v>2644</v>
      </c>
      <c r="B2645" s="27" t="s">
        <v>16892</v>
      </c>
      <c r="C2645" s="26"/>
    </row>
    <row r="2646" ht="21" spans="1:3">
      <c r="A2646">
        <v>2645</v>
      </c>
      <c r="B2646" s="27" t="s">
        <v>16892</v>
      </c>
      <c r="C2646" s="26"/>
    </row>
    <row r="2647" ht="21" spans="1:3">
      <c r="A2647">
        <v>2646</v>
      </c>
      <c r="B2647" s="25" t="s">
        <v>16892</v>
      </c>
      <c r="C2647" s="26"/>
    </row>
    <row r="2648" ht="21" spans="1:3">
      <c r="A2648">
        <v>2647</v>
      </c>
      <c r="B2648" s="27" t="s">
        <v>16892</v>
      </c>
      <c r="C2648" s="26"/>
    </row>
    <row r="2649" ht="21" spans="1:3">
      <c r="A2649">
        <v>2648</v>
      </c>
      <c r="B2649" s="25" t="s">
        <v>16892</v>
      </c>
      <c r="C2649" s="26"/>
    </row>
    <row r="2650" ht="21" spans="1:3">
      <c r="A2650">
        <v>2649</v>
      </c>
      <c r="B2650" s="27" t="s">
        <v>16892</v>
      </c>
      <c r="C2650" s="26"/>
    </row>
    <row r="2651" ht="15.75" spans="1:3">
      <c r="A2651">
        <v>2650</v>
      </c>
      <c r="B2651" s="26"/>
      <c r="C2651" s="26"/>
    </row>
    <row r="2652" ht="21" spans="1:3">
      <c r="A2652">
        <v>2651</v>
      </c>
      <c r="B2652" s="27" t="s">
        <v>16892</v>
      </c>
      <c r="C2652" s="26"/>
    </row>
    <row r="2653" ht="21" spans="1:3">
      <c r="A2653">
        <v>2652</v>
      </c>
      <c r="B2653" s="27" t="s">
        <v>16892</v>
      </c>
      <c r="C2653" s="26"/>
    </row>
    <row r="2654" ht="15.75" spans="1:3">
      <c r="A2654">
        <v>2653</v>
      </c>
      <c r="B2654" s="26"/>
      <c r="C2654" s="26"/>
    </row>
    <row r="2655" ht="21" spans="1:3">
      <c r="A2655">
        <v>2654</v>
      </c>
      <c r="B2655" s="27" t="s">
        <v>16892</v>
      </c>
      <c r="C2655" s="26"/>
    </row>
    <row r="2656" ht="21" spans="1:3">
      <c r="A2656">
        <v>2655</v>
      </c>
      <c r="B2656" s="27" t="s">
        <v>16892</v>
      </c>
      <c r="C2656" s="26"/>
    </row>
    <row r="2657" ht="15.75" spans="1:3">
      <c r="A2657">
        <v>2656</v>
      </c>
      <c r="B2657" s="26"/>
      <c r="C2657" s="26"/>
    </row>
    <row r="2658" ht="21" spans="1:3">
      <c r="A2658">
        <v>2657</v>
      </c>
      <c r="B2658" s="25" t="s">
        <v>16892</v>
      </c>
      <c r="C2658" s="26"/>
    </row>
    <row r="2659" ht="21" spans="1:3">
      <c r="A2659">
        <v>2658</v>
      </c>
      <c r="B2659" s="27" t="s">
        <v>16892</v>
      </c>
      <c r="C2659" s="26"/>
    </row>
    <row r="2660" ht="21" spans="1:3">
      <c r="A2660">
        <v>2659</v>
      </c>
      <c r="B2660" s="27" t="s">
        <v>16892</v>
      </c>
      <c r="C2660" s="26"/>
    </row>
    <row r="2661" ht="15.75" spans="1:3">
      <c r="A2661">
        <v>2660</v>
      </c>
      <c r="B2661" s="26"/>
      <c r="C2661" s="26"/>
    </row>
    <row r="2662" ht="21" spans="1:3">
      <c r="A2662">
        <v>2661</v>
      </c>
      <c r="B2662" s="25" t="s">
        <v>16892</v>
      </c>
      <c r="C2662" s="26"/>
    </row>
    <row r="2663" ht="18" spans="1:3">
      <c r="A2663">
        <v>2662</v>
      </c>
      <c r="B2663" s="32" t="str">
        <f>IFERROR(__xludf.DUMMYFUNCTION("""COMPUTED_VALUE"""),"mesert birru")</f>
        <v>mesert birru</v>
      </c>
      <c r="C2663" s="32">
        <v>939485829</v>
      </c>
    </row>
    <row r="2664" ht="21" spans="1:3">
      <c r="A2664">
        <v>2663</v>
      </c>
      <c r="B2664" s="25" t="s">
        <v>16892</v>
      </c>
      <c r="C2664" s="26"/>
    </row>
    <row r="2665" ht="15.75" spans="1:3">
      <c r="A2665">
        <v>2664</v>
      </c>
      <c r="B2665" s="26"/>
      <c r="C2665" s="26"/>
    </row>
    <row r="2666" ht="21" spans="1:3">
      <c r="A2666">
        <v>2665</v>
      </c>
      <c r="B2666" s="27" t="s">
        <v>16892</v>
      </c>
      <c r="C2666" s="26"/>
    </row>
    <row r="2667" ht="21" spans="1:3">
      <c r="A2667">
        <v>2666</v>
      </c>
      <c r="B2667" s="27" t="s">
        <v>16892</v>
      </c>
      <c r="C2667" s="26"/>
    </row>
    <row r="2668" ht="21" spans="1:3">
      <c r="A2668">
        <v>2667</v>
      </c>
      <c r="B2668" s="25" t="s">
        <v>16892</v>
      </c>
      <c r="C2668" s="26"/>
    </row>
    <row r="2669" ht="15.75" spans="1:3">
      <c r="A2669">
        <v>2668</v>
      </c>
      <c r="B2669" s="26"/>
      <c r="C2669" s="26"/>
    </row>
    <row r="2670" ht="15.75" spans="1:3">
      <c r="A2670">
        <v>2669</v>
      </c>
      <c r="B2670" s="26"/>
      <c r="C2670" s="26"/>
    </row>
    <row r="2671" ht="15.75" spans="1:3">
      <c r="A2671">
        <v>2670</v>
      </c>
      <c r="B2671" s="26"/>
      <c r="C2671" s="26"/>
    </row>
    <row r="2672" ht="21" spans="1:3">
      <c r="A2672">
        <v>2671</v>
      </c>
      <c r="B2672" s="25" t="s">
        <v>16892</v>
      </c>
      <c r="C2672" s="26"/>
    </row>
    <row r="2673" ht="21" spans="1:3">
      <c r="A2673">
        <v>2672</v>
      </c>
      <c r="B2673" s="25" t="s">
        <v>16892</v>
      </c>
      <c r="C2673" s="26"/>
    </row>
    <row r="2674" ht="15.75" spans="1:3">
      <c r="A2674">
        <v>2673</v>
      </c>
      <c r="B2674" s="26"/>
      <c r="C2674" s="26"/>
    </row>
    <row r="2675" ht="21" spans="1:3">
      <c r="A2675">
        <v>2674</v>
      </c>
      <c r="B2675" s="25" t="s">
        <v>16892</v>
      </c>
      <c r="C2675" s="26"/>
    </row>
    <row r="2676" ht="18.75" spans="1:3">
      <c r="A2676">
        <v>2675</v>
      </c>
      <c r="B2676" s="30" t="str">
        <f>IFERROR(__xludf.DUMMYFUNCTION("""COMPUTED_VALUE"""),"bizawit Esubalew")</f>
        <v>bizawit Esubalew</v>
      </c>
      <c r="C2676" s="30">
        <v>921388216</v>
      </c>
    </row>
    <row r="2677" ht="21" spans="1:3">
      <c r="A2677">
        <v>2676</v>
      </c>
      <c r="B2677" s="27" t="s">
        <v>16892</v>
      </c>
      <c r="C2677" s="26"/>
    </row>
    <row r="2678" ht="21" spans="1:3">
      <c r="A2678">
        <v>2677</v>
      </c>
      <c r="B2678" s="27" t="s">
        <v>16892</v>
      </c>
      <c r="C2678" s="26"/>
    </row>
    <row r="2679" ht="15.75" spans="1:3">
      <c r="A2679">
        <v>2678</v>
      </c>
      <c r="B2679" s="26"/>
      <c r="C2679" s="26"/>
    </row>
    <row r="2680" ht="21" spans="1:3">
      <c r="A2680">
        <v>2679</v>
      </c>
      <c r="B2680" s="27" t="s">
        <v>16892</v>
      </c>
      <c r="C2680" s="26"/>
    </row>
    <row r="2681" ht="21" spans="1:3">
      <c r="A2681">
        <v>2680</v>
      </c>
      <c r="B2681" s="27" t="s">
        <v>16892</v>
      </c>
      <c r="C2681" s="26"/>
    </row>
    <row r="2682" ht="21" spans="1:3">
      <c r="A2682">
        <v>2681</v>
      </c>
      <c r="B2682" s="25" t="s">
        <v>16892</v>
      </c>
      <c r="C2682" s="26"/>
    </row>
    <row r="2683" ht="21" spans="1:3">
      <c r="A2683">
        <v>2682</v>
      </c>
      <c r="B2683" s="27" t="s">
        <v>16892</v>
      </c>
      <c r="C2683" s="26"/>
    </row>
    <row r="2684" ht="15.75" spans="1:3">
      <c r="A2684">
        <v>2683</v>
      </c>
      <c r="B2684" s="26"/>
      <c r="C2684" s="26"/>
    </row>
    <row r="2685" ht="18.75" spans="1:3">
      <c r="A2685">
        <v>2684</v>
      </c>
      <c r="B2685" s="31" t="str">
        <f>IFERROR(__xludf.DUMMYFUNCTION("""COMPUTED_VALUE"""),"yemsrache SIyuom ")</f>
        <v>yemsrache SIyuom </v>
      </c>
      <c r="C2685" s="30">
        <v>921123170</v>
      </c>
    </row>
    <row r="2686" ht="15.75" spans="1:3">
      <c r="A2686">
        <v>2685</v>
      </c>
      <c r="B2686" s="29"/>
      <c r="C2686" s="29"/>
    </row>
    <row r="2687" ht="15.75" spans="1:3">
      <c r="A2687">
        <v>2686</v>
      </c>
      <c r="B2687" s="29"/>
      <c r="C2687" s="29"/>
    </row>
    <row r="2688" ht="15.75" spans="1:3">
      <c r="A2688">
        <v>2687</v>
      </c>
      <c r="B2688" s="26"/>
      <c r="C2688" s="26"/>
    </row>
    <row r="2689" ht="21" spans="1:3">
      <c r="A2689">
        <v>2688</v>
      </c>
      <c r="B2689" s="27" t="s">
        <v>16892</v>
      </c>
      <c r="C2689" s="26"/>
    </row>
    <row r="2690" ht="21" spans="1:3">
      <c r="A2690">
        <v>2689</v>
      </c>
      <c r="B2690" s="27" t="s">
        <v>16902</v>
      </c>
      <c r="C2690" s="26"/>
    </row>
    <row r="2691" ht="21" spans="1:3">
      <c r="A2691">
        <v>2690</v>
      </c>
      <c r="B2691" s="27" t="s">
        <v>16892</v>
      </c>
      <c r="C2691" s="26"/>
    </row>
    <row r="2692" ht="15.75" spans="1:3">
      <c r="A2692">
        <v>2691</v>
      </c>
      <c r="B2692" s="26"/>
      <c r="C2692" s="26"/>
    </row>
    <row r="2693" ht="15.75" spans="1:3">
      <c r="A2693">
        <v>2692</v>
      </c>
      <c r="B2693" s="26"/>
      <c r="C2693" s="26"/>
    </row>
    <row r="2694" ht="18" spans="1:3">
      <c r="A2694">
        <v>2693</v>
      </c>
      <c r="B2694" s="39" t="str">
        <f>IFERROR(__xludf.DUMMYFUNCTION("""COMPUTED_VALUE"""),"mahilet tarekegne")</f>
        <v>mahilet tarekegne</v>
      </c>
      <c r="C2694" s="39">
        <v>943837356</v>
      </c>
    </row>
    <row r="2695" ht="15.75" spans="1:3">
      <c r="A2695">
        <v>2694</v>
      </c>
      <c r="B2695" s="29"/>
      <c r="C2695" s="29"/>
    </row>
    <row r="2696" ht="15.75" spans="1:3">
      <c r="A2696">
        <v>2695</v>
      </c>
      <c r="B2696" s="29"/>
      <c r="C2696" s="29"/>
    </row>
    <row r="2697" ht="21" spans="1:3">
      <c r="A2697">
        <v>2696</v>
      </c>
      <c r="B2697" s="25" t="s">
        <v>16892</v>
      </c>
      <c r="C2697" s="26"/>
    </row>
    <row r="2698" ht="15.75" spans="1:3">
      <c r="A2698">
        <v>2697</v>
      </c>
      <c r="B2698" s="26"/>
      <c r="C2698" s="26"/>
    </row>
    <row r="2699" ht="21" spans="1:3">
      <c r="A2699">
        <v>2698</v>
      </c>
      <c r="B2699" s="27" t="s">
        <v>16892</v>
      </c>
      <c r="C2699" s="26"/>
    </row>
    <row r="2700" ht="21" spans="1:3">
      <c r="A2700">
        <v>2699</v>
      </c>
      <c r="B2700" s="25" t="s">
        <v>16892</v>
      </c>
      <c r="C2700" s="26"/>
    </row>
    <row r="2701" ht="21" spans="1:3">
      <c r="A2701">
        <v>2700</v>
      </c>
      <c r="B2701" s="27" t="s">
        <v>16892</v>
      </c>
      <c r="C2701" s="26"/>
    </row>
    <row r="2702" ht="15.75" spans="1:3">
      <c r="A2702">
        <v>2701</v>
      </c>
      <c r="B2702" s="26"/>
      <c r="C2702" s="26"/>
    </row>
    <row r="2703" ht="15.75" spans="1:3">
      <c r="A2703">
        <v>2702</v>
      </c>
      <c r="B2703" s="26"/>
      <c r="C2703" s="26"/>
    </row>
    <row r="2704" ht="21" spans="1:3">
      <c r="A2704">
        <v>2703</v>
      </c>
      <c r="B2704" s="25" t="s">
        <v>16892</v>
      </c>
      <c r="C2704" s="26"/>
    </row>
    <row r="2705" ht="15.75" spans="1:3">
      <c r="A2705">
        <v>2704</v>
      </c>
      <c r="B2705" s="26"/>
      <c r="C2705" s="26"/>
    </row>
    <row r="2706" ht="15.75" spans="1:3">
      <c r="A2706">
        <v>2705</v>
      </c>
      <c r="B2706" s="26"/>
      <c r="C2706" s="26"/>
    </row>
    <row r="2707" ht="18.75" spans="1:3">
      <c r="A2707">
        <v>2706</v>
      </c>
      <c r="B2707" s="31" t="str">
        <f>IFERROR(__xludf.DUMMYFUNCTION("""COMPUTED_VALUE"""),"ትግሰት አስመላሸ")</f>
        <v>ትግሰት አስመላሸ</v>
      </c>
      <c r="C2707" s="30">
        <v>910929374</v>
      </c>
    </row>
    <row r="2708" ht="15.75" spans="1:3">
      <c r="A2708">
        <v>2707</v>
      </c>
      <c r="B2708" s="26"/>
      <c r="C2708" s="26"/>
    </row>
    <row r="2709" ht="21" spans="1:3">
      <c r="A2709">
        <v>2708</v>
      </c>
      <c r="B2709" s="27" t="s">
        <v>16892</v>
      </c>
      <c r="C2709" s="26"/>
    </row>
    <row r="2710" ht="15.75" spans="1:3">
      <c r="A2710">
        <v>2709</v>
      </c>
      <c r="B2710" s="26"/>
      <c r="C2710" s="26"/>
    </row>
    <row r="2711" ht="15.75" spans="1:3">
      <c r="A2711">
        <v>2710</v>
      </c>
      <c r="B2711" s="26"/>
      <c r="C2711" s="26"/>
    </row>
    <row r="2712" ht="15.75" spans="1:3">
      <c r="A2712">
        <v>2711</v>
      </c>
      <c r="B2712" s="26"/>
      <c r="C2712" s="26"/>
    </row>
    <row r="2713" ht="15.75" spans="1:3">
      <c r="A2713">
        <v>2712</v>
      </c>
      <c r="B2713" s="26"/>
      <c r="C2713" s="26"/>
    </row>
    <row r="2714" ht="15.75" spans="1:3">
      <c r="A2714">
        <v>2713</v>
      </c>
      <c r="B2714" s="26"/>
      <c r="C2714" s="26"/>
    </row>
    <row r="2715" ht="15.75" spans="1:3">
      <c r="A2715">
        <v>2714</v>
      </c>
      <c r="B2715" s="26"/>
      <c r="C2715" s="26"/>
    </row>
    <row r="2716" ht="15.75" spans="1:3">
      <c r="A2716">
        <v>2715</v>
      </c>
      <c r="B2716" s="26"/>
      <c r="C2716" s="26"/>
    </row>
    <row r="2717" ht="21" spans="1:3">
      <c r="A2717">
        <v>2716</v>
      </c>
      <c r="B2717" s="25" t="s">
        <v>16892</v>
      </c>
      <c r="C2717" s="26"/>
    </row>
    <row r="2718" ht="15.75" spans="1:3">
      <c r="A2718">
        <v>2717</v>
      </c>
      <c r="B2718" s="26"/>
      <c r="C2718" s="26"/>
    </row>
    <row r="2719" ht="15.75" spans="1:3">
      <c r="A2719">
        <v>2718</v>
      </c>
      <c r="B2719" s="26"/>
      <c r="C2719" s="26"/>
    </row>
    <row r="2720" ht="21" spans="1:3">
      <c r="A2720">
        <v>2719</v>
      </c>
      <c r="B2720" s="27" t="s">
        <v>16892</v>
      </c>
      <c r="C2720" s="26"/>
    </row>
    <row r="2721" ht="21" spans="1:3">
      <c r="A2721">
        <v>2720</v>
      </c>
      <c r="B2721" s="27" t="s">
        <v>16892</v>
      </c>
      <c r="C2721" s="26"/>
    </row>
    <row r="2722" ht="21" spans="1:3">
      <c r="A2722">
        <v>2721</v>
      </c>
      <c r="B2722" s="25" t="s">
        <v>16892</v>
      </c>
      <c r="C2722" s="26"/>
    </row>
    <row r="2723" ht="15.75" spans="1:3">
      <c r="A2723">
        <v>2722</v>
      </c>
      <c r="B2723" s="26"/>
      <c r="C2723" s="26"/>
    </row>
    <row r="2724" ht="15.75" spans="1:3">
      <c r="A2724">
        <v>2723</v>
      </c>
      <c r="B2724" s="26"/>
      <c r="C2724" s="26"/>
    </row>
    <row r="2725" ht="21" spans="1:3">
      <c r="A2725">
        <v>2724</v>
      </c>
      <c r="B2725" s="27" t="s">
        <v>16892</v>
      </c>
      <c r="C2725" s="26"/>
    </row>
    <row r="2726" ht="21" spans="1:3">
      <c r="A2726">
        <v>2725</v>
      </c>
      <c r="B2726" s="27" t="s">
        <v>16892</v>
      </c>
      <c r="C2726" s="26"/>
    </row>
    <row r="2727" ht="18.75" spans="1:3">
      <c r="A2727">
        <v>2726</v>
      </c>
      <c r="B2727" s="30" t="str">
        <f>IFERROR(__xludf.DUMMYFUNCTION("""COMPUTED_VALUE"""),"Eyob Daniael")</f>
        <v>Eyob Daniael</v>
      </c>
      <c r="C2727" s="30">
        <v>974791221</v>
      </c>
    </row>
    <row r="2728" ht="15.75" spans="1:3">
      <c r="A2728">
        <v>2727</v>
      </c>
      <c r="B2728" s="26"/>
      <c r="C2728" s="26"/>
    </row>
    <row r="2729" ht="15.75" spans="1:3">
      <c r="A2729">
        <v>2728</v>
      </c>
      <c r="B2729" s="26"/>
      <c r="C2729" s="26"/>
    </row>
    <row r="2730" ht="21" spans="1:3">
      <c r="A2730">
        <v>2729</v>
      </c>
      <c r="B2730" s="25" t="s">
        <v>16892</v>
      </c>
      <c r="C2730" s="26"/>
    </row>
    <row r="2731" ht="15.75" spans="1:3">
      <c r="A2731">
        <v>2730</v>
      </c>
      <c r="B2731" s="29"/>
      <c r="C2731" s="29"/>
    </row>
    <row r="2732" ht="18.75" spans="1:3">
      <c r="A2732">
        <v>2731</v>
      </c>
      <c r="B2732" s="34" t="s">
        <v>16923</v>
      </c>
      <c r="C2732" s="34"/>
    </row>
    <row r="2733" spans="1:3">
      <c r="A2733">
        <v>2732</v>
      </c>
      <c r="B2733" s="37" t="s">
        <v>16924</v>
      </c>
      <c r="C2733" s="38"/>
    </row>
    <row r="2734" ht="21" spans="1:3">
      <c r="A2734">
        <v>2733</v>
      </c>
      <c r="B2734" s="25" t="s">
        <v>16892</v>
      </c>
      <c r="C2734" s="26"/>
    </row>
    <row r="2735" ht="15.75" spans="1:3">
      <c r="A2735">
        <v>2734</v>
      </c>
      <c r="B2735" s="26"/>
      <c r="C2735" s="26"/>
    </row>
    <row r="2736" ht="21" spans="1:3">
      <c r="A2736">
        <v>2735</v>
      </c>
      <c r="B2736" s="27" t="s">
        <v>16892</v>
      </c>
      <c r="C2736" s="26"/>
    </row>
    <row r="2737" ht="21" spans="1:3">
      <c r="A2737">
        <v>2736</v>
      </c>
      <c r="B2737" s="27" t="s">
        <v>16892</v>
      </c>
      <c r="C2737" s="26"/>
    </row>
    <row r="2738" ht="15.75" spans="1:3">
      <c r="A2738">
        <v>2737</v>
      </c>
      <c r="B2738" s="26"/>
      <c r="C2738" s="26"/>
    </row>
    <row r="2739" ht="15.75" spans="1:3">
      <c r="A2739">
        <v>2738</v>
      </c>
      <c r="B2739" s="26"/>
      <c r="C2739" s="26"/>
    </row>
    <row r="2740" ht="15.75" spans="1:3">
      <c r="A2740">
        <v>2739</v>
      </c>
      <c r="B2740" s="26"/>
      <c r="C2740" s="26"/>
    </row>
    <row r="2741" ht="15.75" spans="1:3">
      <c r="A2741">
        <v>2740</v>
      </c>
      <c r="B2741" s="26"/>
      <c r="C2741" s="26"/>
    </row>
    <row r="2742" ht="21" spans="1:3">
      <c r="A2742">
        <v>2741</v>
      </c>
      <c r="B2742" s="25" t="s">
        <v>16892</v>
      </c>
      <c r="C2742" s="26"/>
    </row>
    <row r="2743" ht="21" spans="1:3">
      <c r="A2743">
        <v>2742</v>
      </c>
      <c r="B2743" s="27" t="s">
        <v>16892</v>
      </c>
      <c r="C2743" s="26"/>
    </row>
    <row r="2744" ht="21" spans="1:3">
      <c r="A2744">
        <v>2743</v>
      </c>
      <c r="B2744" s="25" t="s">
        <v>16892</v>
      </c>
      <c r="C2744" s="26"/>
    </row>
    <row r="2745" ht="21" spans="1:3">
      <c r="A2745">
        <v>2744</v>
      </c>
      <c r="B2745" s="27" t="s">
        <v>16892</v>
      </c>
      <c r="C2745" s="26"/>
    </row>
    <row r="2746" ht="21" spans="1:3">
      <c r="A2746">
        <v>2745</v>
      </c>
      <c r="B2746" s="27" t="s">
        <v>16892</v>
      </c>
      <c r="C2746" s="26"/>
    </row>
    <row r="2747" ht="21" spans="1:3">
      <c r="A2747">
        <v>2746</v>
      </c>
      <c r="B2747" s="27" t="s">
        <v>16892</v>
      </c>
      <c r="C2747" s="26"/>
    </row>
    <row r="2748" ht="21" spans="1:3">
      <c r="A2748">
        <v>2747</v>
      </c>
      <c r="B2748" s="25" t="s">
        <v>16892</v>
      </c>
      <c r="C2748" s="26"/>
    </row>
    <row r="2749" ht="21" spans="1:3">
      <c r="A2749">
        <v>2748</v>
      </c>
      <c r="B2749" s="27" t="s">
        <v>16892</v>
      </c>
      <c r="C2749" s="26"/>
    </row>
    <row r="2750" ht="21" spans="1:3">
      <c r="A2750">
        <v>2749</v>
      </c>
      <c r="B2750" s="27" t="s">
        <v>16892</v>
      </c>
      <c r="C2750" s="26"/>
    </row>
    <row r="2751" ht="21" spans="1:3">
      <c r="A2751">
        <v>2750</v>
      </c>
      <c r="B2751" s="25" t="s">
        <v>16892</v>
      </c>
      <c r="C2751" s="26"/>
    </row>
    <row r="2752" ht="21" spans="1:3">
      <c r="A2752">
        <v>2751</v>
      </c>
      <c r="B2752" s="25" t="s">
        <v>16892</v>
      </c>
      <c r="C2752" s="26"/>
    </row>
    <row r="2753" ht="21" spans="1:3">
      <c r="A2753">
        <v>2752</v>
      </c>
      <c r="B2753" s="25" t="s">
        <v>16892</v>
      </c>
      <c r="C2753" s="26"/>
    </row>
    <row r="2754" ht="21" spans="1:3">
      <c r="A2754">
        <v>2753</v>
      </c>
      <c r="B2754" s="25" t="s">
        <v>16892</v>
      </c>
      <c r="C2754" s="26"/>
    </row>
    <row r="2755" ht="21" spans="1:3">
      <c r="A2755">
        <v>2754</v>
      </c>
      <c r="B2755" s="27" t="s">
        <v>16892</v>
      </c>
      <c r="C2755" s="26"/>
    </row>
    <row r="2756" ht="21" spans="1:3">
      <c r="A2756">
        <v>2755</v>
      </c>
      <c r="B2756" s="25" t="s">
        <v>16892</v>
      </c>
      <c r="C2756" s="26"/>
    </row>
    <row r="2757" ht="21" spans="1:3">
      <c r="A2757">
        <v>2756</v>
      </c>
      <c r="B2757" s="25" t="s">
        <v>16892</v>
      </c>
      <c r="C2757" s="26"/>
    </row>
    <row r="2758" ht="21" spans="1:3">
      <c r="A2758">
        <v>2757</v>
      </c>
      <c r="B2758" s="27" t="s">
        <v>16892</v>
      </c>
      <c r="C2758" s="26"/>
    </row>
    <row r="2759" ht="21" spans="1:3">
      <c r="A2759">
        <v>2758</v>
      </c>
      <c r="B2759" s="25" t="s">
        <v>16892</v>
      </c>
      <c r="C2759" s="26"/>
    </row>
    <row r="2760" ht="21" spans="1:3">
      <c r="A2760">
        <v>2759</v>
      </c>
      <c r="B2760" s="27" t="s">
        <v>16892</v>
      </c>
      <c r="C2760" s="26"/>
    </row>
    <row r="2761" ht="21" spans="1:3">
      <c r="A2761">
        <v>2760</v>
      </c>
      <c r="B2761" s="25" t="s">
        <v>16892</v>
      </c>
      <c r="C2761" s="26"/>
    </row>
    <row r="2762" ht="21" spans="1:3">
      <c r="A2762">
        <v>2761</v>
      </c>
      <c r="B2762" s="27" t="s">
        <v>16892</v>
      </c>
      <c r="C2762" s="26"/>
    </row>
    <row r="2763" ht="21" spans="1:3">
      <c r="A2763">
        <v>2762</v>
      </c>
      <c r="B2763" s="25" t="s">
        <v>16892</v>
      </c>
      <c r="C2763" s="26"/>
    </row>
    <row r="2764" ht="21" spans="1:3">
      <c r="A2764">
        <v>2763</v>
      </c>
      <c r="B2764" s="27" t="s">
        <v>16892</v>
      </c>
      <c r="C2764" s="26"/>
    </row>
    <row r="2765" ht="21" spans="1:3">
      <c r="A2765">
        <v>2764</v>
      </c>
      <c r="B2765" s="25" t="s">
        <v>16892</v>
      </c>
      <c r="C2765" s="26"/>
    </row>
    <row r="2766" ht="21" spans="1:3">
      <c r="A2766">
        <v>2765</v>
      </c>
      <c r="B2766" s="25" t="s">
        <v>16892</v>
      </c>
      <c r="C2766" s="26"/>
    </row>
    <row r="2767" ht="21" spans="1:3">
      <c r="A2767">
        <v>2766</v>
      </c>
      <c r="B2767" s="25" t="s">
        <v>16892</v>
      </c>
      <c r="C2767" s="26"/>
    </row>
    <row r="2768" ht="21" spans="1:3">
      <c r="A2768">
        <v>2767</v>
      </c>
      <c r="B2768" s="25" t="s">
        <v>16892</v>
      </c>
      <c r="C2768" s="26"/>
    </row>
    <row r="2769" ht="21" spans="1:3">
      <c r="A2769">
        <v>2768</v>
      </c>
      <c r="B2769" s="27" t="s">
        <v>16892</v>
      </c>
      <c r="C2769" s="26"/>
    </row>
    <row r="2770" ht="21" spans="1:3">
      <c r="A2770">
        <v>2769</v>
      </c>
      <c r="B2770" s="27" t="s">
        <v>16892</v>
      </c>
      <c r="C2770" s="26"/>
    </row>
    <row r="2771" ht="21" spans="1:3">
      <c r="A2771">
        <v>2770</v>
      </c>
      <c r="B2771" s="25" t="s">
        <v>16892</v>
      </c>
      <c r="C2771" s="26"/>
    </row>
    <row r="2772" ht="15.75" spans="1:3">
      <c r="A2772">
        <v>2771</v>
      </c>
      <c r="B2772" s="26"/>
      <c r="C2772" s="26"/>
    </row>
    <row r="2773" ht="15.75" spans="1:3">
      <c r="A2773">
        <v>2772</v>
      </c>
      <c r="B2773" s="26"/>
      <c r="C2773" s="26"/>
    </row>
    <row r="2774" ht="21" spans="1:3">
      <c r="A2774">
        <v>2773</v>
      </c>
      <c r="B2774" s="25" t="s">
        <v>16892</v>
      </c>
      <c r="C2774" s="26"/>
    </row>
    <row r="2775" ht="15.75" spans="1:3">
      <c r="A2775">
        <v>2774</v>
      </c>
      <c r="B2775" s="26"/>
      <c r="C2775" s="26"/>
    </row>
    <row r="2776" ht="21" spans="1:3">
      <c r="A2776">
        <v>2775</v>
      </c>
      <c r="B2776" s="25" t="s">
        <v>16892</v>
      </c>
      <c r="C2776" s="26"/>
    </row>
    <row r="2777" ht="21" spans="1:3">
      <c r="A2777">
        <v>2776</v>
      </c>
      <c r="B2777" s="27" t="s">
        <v>16892</v>
      </c>
      <c r="C2777" s="26"/>
    </row>
    <row r="2778" ht="21" spans="1:3">
      <c r="A2778">
        <v>2777</v>
      </c>
      <c r="B2778" s="25" t="s">
        <v>16892</v>
      </c>
      <c r="C2778" s="26"/>
    </row>
    <row r="2779" ht="21" spans="1:3">
      <c r="A2779">
        <v>2778</v>
      </c>
      <c r="B2779" s="25" t="s">
        <v>16892</v>
      </c>
      <c r="C2779" s="26"/>
    </row>
    <row r="2780" ht="21" spans="1:3">
      <c r="A2780">
        <v>2779</v>
      </c>
      <c r="B2780" s="27" t="s">
        <v>16892</v>
      </c>
      <c r="C2780" s="26"/>
    </row>
    <row r="2781" ht="21" spans="1:3">
      <c r="A2781">
        <v>2780</v>
      </c>
      <c r="B2781" s="27" t="s">
        <v>16892</v>
      </c>
      <c r="C2781" s="26"/>
    </row>
    <row r="2782" ht="15.75" spans="1:3">
      <c r="A2782">
        <v>2781</v>
      </c>
      <c r="B2782" s="26"/>
      <c r="C2782" s="26"/>
    </row>
    <row r="2783" ht="21" spans="1:3">
      <c r="A2783">
        <v>2782</v>
      </c>
      <c r="B2783" s="25" t="s">
        <v>16892</v>
      </c>
      <c r="C2783" s="26"/>
    </row>
    <row r="2784" ht="21" spans="1:3">
      <c r="A2784">
        <v>2783</v>
      </c>
      <c r="B2784" s="27" t="s">
        <v>16892</v>
      </c>
      <c r="C2784" s="26"/>
    </row>
    <row r="2785" ht="21" spans="1:3">
      <c r="A2785">
        <v>2784</v>
      </c>
      <c r="B2785" s="27" t="s">
        <v>16892</v>
      </c>
      <c r="C2785" s="26"/>
    </row>
    <row r="2786" ht="21" spans="1:3">
      <c r="A2786">
        <v>2785</v>
      </c>
      <c r="B2786" s="25" t="s">
        <v>16892</v>
      </c>
      <c r="C2786" s="26"/>
    </row>
    <row r="2787" ht="21" spans="1:3">
      <c r="A2787">
        <v>2786</v>
      </c>
      <c r="B2787" s="27" t="s">
        <v>16892</v>
      </c>
      <c r="C2787" s="26"/>
    </row>
    <row r="2788" ht="21" spans="1:3">
      <c r="A2788">
        <v>2787</v>
      </c>
      <c r="B2788" s="27" t="s">
        <v>16892</v>
      </c>
      <c r="C2788" s="26"/>
    </row>
    <row r="2789" ht="21" spans="1:3">
      <c r="A2789">
        <v>2788</v>
      </c>
      <c r="B2789" s="27" t="s">
        <v>16892</v>
      </c>
      <c r="C2789" s="26"/>
    </row>
    <row r="2790" ht="21" spans="1:3">
      <c r="A2790">
        <v>2789</v>
      </c>
      <c r="B2790" s="27" t="s">
        <v>16892</v>
      </c>
      <c r="C2790" s="26"/>
    </row>
    <row r="2791" ht="21" spans="1:3">
      <c r="A2791">
        <v>2790</v>
      </c>
      <c r="B2791" s="25" t="s">
        <v>16892</v>
      </c>
      <c r="C2791" s="26"/>
    </row>
    <row r="2792" ht="21" spans="1:3">
      <c r="A2792">
        <v>2791</v>
      </c>
      <c r="B2792" s="27" t="s">
        <v>16892</v>
      </c>
      <c r="C2792" s="26"/>
    </row>
    <row r="2793" ht="21" spans="1:3">
      <c r="A2793">
        <v>2792</v>
      </c>
      <c r="B2793" s="25" t="s">
        <v>16892</v>
      </c>
      <c r="C2793" s="26"/>
    </row>
    <row r="2794" ht="21" spans="1:3">
      <c r="A2794">
        <v>2793</v>
      </c>
      <c r="B2794" s="27" t="s">
        <v>16892</v>
      </c>
      <c r="C2794" s="26"/>
    </row>
    <row r="2795" ht="21" spans="1:3">
      <c r="A2795">
        <v>2794</v>
      </c>
      <c r="B2795" s="27" t="s">
        <v>16892</v>
      </c>
      <c r="C2795" s="26"/>
    </row>
    <row r="2796" ht="21" spans="1:3">
      <c r="A2796">
        <v>2795</v>
      </c>
      <c r="B2796" s="27" t="s">
        <v>16892</v>
      </c>
      <c r="C2796" s="26"/>
    </row>
    <row r="2797" ht="21" spans="1:3">
      <c r="A2797">
        <v>2796</v>
      </c>
      <c r="B2797" s="27" t="s">
        <v>16892</v>
      </c>
      <c r="C2797" s="26"/>
    </row>
    <row r="2798" ht="15.75" spans="1:3">
      <c r="A2798">
        <v>2797</v>
      </c>
      <c r="B2798" s="26"/>
      <c r="C2798" s="26"/>
    </row>
    <row r="2799" ht="15.75" spans="1:3">
      <c r="A2799">
        <v>2798</v>
      </c>
      <c r="B2799" s="26"/>
      <c r="C2799" s="26"/>
    </row>
    <row r="2800" ht="15.75" spans="1:3">
      <c r="A2800">
        <v>2799</v>
      </c>
      <c r="B2800" s="26"/>
      <c r="C2800" s="26"/>
    </row>
    <row r="2801" ht="18.75" spans="1:3">
      <c r="A2801">
        <v>2800</v>
      </c>
      <c r="B2801" s="31" t="str">
        <f>IFERROR(__xludf.DUMMYFUNCTION("""COMPUTED_VALUE"""),"HIWOT KELIL")</f>
        <v>HIWOT KELIL</v>
      </c>
      <c r="C2801" s="30"/>
    </row>
    <row r="2802" ht="21" spans="1:3">
      <c r="A2802">
        <v>2801</v>
      </c>
      <c r="B2802" s="27" t="s">
        <v>16892</v>
      </c>
      <c r="C2802" s="26"/>
    </row>
    <row r="2803" ht="21" spans="1:3">
      <c r="A2803">
        <v>2802</v>
      </c>
      <c r="B2803" s="25" t="s">
        <v>16892</v>
      </c>
      <c r="C2803" s="26"/>
    </row>
    <row r="2804" ht="15.75" spans="1:3">
      <c r="A2804">
        <v>2803</v>
      </c>
      <c r="B2804" s="26"/>
      <c r="C2804" s="26"/>
    </row>
    <row r="2805" ht="21" spans="1:3">
      <c r="A2805">
        <v>2804</v>
      </c>
      <c r="B2805" s="27" t="s">
        <v>16892</v>
      </c>
      <c r="C2805" s="26"/>
    </row>
    <row r="2806" ht="21" spans="1:3">
      <c r="A2806">
        <v>2805</v>
      </c>
      <c r="B2806" s="25" t="s">
        <v>16892</v>
      </c>
      <c r="C2806" s="26"/>
    </row>
    <row r="2807" ht="21" spans="1:3">
      <c r="A2807">
        <v>2806</v>
      </c>
      <c r="B2807" s="25" t="s">
        <v>16892</v>
      </c>
      <c r="C2807" s="26"/>
    </row>
    <row r="2808" ht="21" spans="1:3">
      <c r="A2808">
        <v>2807</v>
      </c>
      <c r="B2808" s="27" t="s">
        <v>16892</v>
      </c>
      <c r="C2808" s="26"/>
    </row>
    <row r="2809" ht="15.75" spans="1:3">
      <c r="A2809">
        <v>2808</v>
      </c>
      <c r="B2809" s="26"/>
      <c r="C2809" s="26"/>
    </row>
    <row r="2810" ht="15.75" spans="1:3">
      <c r="A2810">
        <v>2809</v>
      </c>
      <c r="B2810" s="26"/>
      <c r="C2810" s="26"/>
    </row>
    <row r="2811" ht="21" spans="1:3">
      <c r="A2811">
        <v>2810</v>
      </c>
      <c r="B2811" s="25" t="s">
        <v>16892</v>
      </c>
      <c r="C2811" s="26"/>
    </row>
    <row r="2812" ht="18.75" spans="1:3">
      <c r="A2812">
        <v>2811</v>
      </c>
      <c r="B2812" s="39" t="str">
        <f>IFERROR(__xludf.DUMMYFUNCTION("""COMPUTED_VALUE"""),"አስፓዬር ግሪን ላንድ ኢትዮጵያ")</f>
        <v>አስፓዬር ግሪን ላንድ ኢትዮጵያ</v>
      </c>
      <c r="C2812" s="34">
        <v>937858589</v>
      </c>
    </row>
    <row r="2813" ht="18.75" spans="1:3">
      <c r="A2813">
        <v>2812</v>
      </c>
      <c r="B2813" s="39" t="str">
        <f>IFERROR(__xludf.DUMMYFUNCTION("""COMPUTED_VALUE"""),"አስፓዬር ግሪን ላንድ ኢትዮጵያ")</f>
        <v>አስፓዬር ግሪን ላንድ ኢትዮጵያ</v>
      </c>
      <c r="C2813" s="34">
        <v>937858589</v>
      </c>
    </row>
    <row r="2814" ht="18.75" spans="1:3">
      <c r="A2814">
        <v>2813</v>
      </c>
      <c r="B2814" s="39" t="str">
        <f>IFERROR(__xludf.DUMMYFUNCTION("""COMPUTED_VALUE"""),"አስፓዬር ግሪን ላንድ ኢትዮጵያ")</f>
        <v>አስፓዬር ግሪን ላንድ ኢትዮጵያ</v>
      </c>
      <c r="C2814" s="34">
        <v>937858589</v>
      </c>
    </row>
    <row r="2815" ht="18.75" spans="1:3">
      <c r="A2815">
        <v>2814</v>
      </c>
      <c r="B2815" s="32" t="str">
        <f>IFERROR(__xludf.DUMMYFUNCTION("""COMPUTED_VALUE"""),"ዮሴፍ ታደሰ")</f>
        <v>ዮሴፍ ታደሰ</v>
      </c>
      <c r="C2815" s="30">
        <v>910026377</v>
      </c>
    </row>
    <row r="2816" ht="21" spans="1:3">
      <c r="A2816">
        <v>2815</v>
      </c>
      <c r="B2816" s="25" t="s">
        <v>16892</v>
      </c>
      <c r="C2816" s="26"/>
    </row>
    <row r="2817" ht="15.75" spans="1:3">
      <c r="A2817">
        <v>2816</v>
      </c>
      <c r="B2817" s="26"/>
      <c r="C2817" s="26"/>
    </row>
    <row r="2818" ht="21" spans="1:3">
      <c r="A2818">
        <v>2817</v>
      </c>
      <c r="B2818" s="25" t="s">
        <v>16892</v>
      </c>
      <c r="C2818" s="26"/>
    </row>
    <row r="2819" ht="21" spans="1:3">
      <c r="A2819">
        <v>2818</v>
      </c>
      <c r="B2819" s="25" t="s">
        <v>16892</v>
      </c>
      <c r="C2819" s="26"/>
    </row>
    <row r="2820" ht="21" spans="1:3">
      <c r="A2820">
        <v>2819</v>
      </c>
      <c r="B2820" s="27" t="s">
        <v>16892</v>
      </c>
      <c r="C2820" s="26"/>
    </row>
    <row r="2821" ht="21" spans="1:3">
      <c r="A2821">
        <v>2820</v>
      </c>
      <c r="B2821" s="25" t="s">
        <v>16892</v>
      </c>
      <c r="C2821" s="26"/>
    </row>
    <row r="2822" ht="21" spans="1:3">
      <c r="A2822">
        <v>2821</v>
      </c>
      <c r="B2822" s="25" t="s">
        <v>16892</v>
      </c>
      <c r="C2822" s="26"/>
    </row>
    <row r="2823" ht="21" spans="1:3">
      <c r="A2823">
        <v>2822</v>
      </c>
      <c r="B2823" s="25" t="s">
        <v>16892</v>
      </c>
      <c r="C2823" s="26"/>
    </row>
    <row r="2824" ht="21" spans="1:3">
      <c r="A2824">
        <v>2823</v>
      </c>
      <c r="B2824" s="25" t="s">
        <v>16892</v>
      </c>
      <c r="C2824" s="26"/>
    </row>
    <row r="2825" ht="21" spans="1:3">
      <c r="A2825">
        <v>2824</v>
      </c>
      <c r="B2825" s="27" t="s">
        <v>16892</v>
      </c>
      <c r="C2825" s="26"/>
    </row>
    <row r="2826" ht="21" spans="1:3">
      <c r="A2826">
        <v>2825</v>
      </c>
      <c r="B2826" s="25" t="s">
        <v>16892</v>
      </c>
      <c r="C2826" s="26"/>
    </row>
    <row r="2827" ht="21" spans="1:3">
      <c r="A2827">
        <v>2826</v>
      </c>
      <c r="B2827" s="27" t="s">
        <v>16892</v>
      </c>
      <c r="C2827" s="26"/>
    </row>
    <row r="2828" ht="21" spans="1:3">
      <c r="A2828">
        <v>2827</v>
      </c>
      <c r="B2828" s="25" t="s">
        <v>16914</v>
      </c>
      <c r="C2828" s="26"/>
    </row>
    <row r="2829" ht="21" spans="1:3">
      <c r="A2829">
        <v>2828</v>
      </c>
      <c r="B2829" s="27" t="s">
        <v>16892</v>
      </c>
      <c r="C2829" s="26"/>
    </row>
    <row r="2830" ht="21" spans="1:3">
      <c r="A2830">
        <v>2829</v>
      </c>
      <c r="B2830" s="27" t="s">
        <v>16892</v>
      </c>
      <c r="C2830" s="26"/>
    </row>
    <row r="2831" ht="15.75" spans="1:3">
      <c r="A2831">
        <v>2830</v>
      </c>
      <c r="B2831" s="26"/>
      <c r="C2831" s="26"/>
    </row>
    <row r="2832" ht="21" spans="1:3">
      <c r="A2832">
        <v>2831</v>
      </c>
      <c r="B2832" s="25" t="s">
        <v>16892</v>
      </c>
      <c r="C2832" s="26"/>
    </row>
    <row r="2833" ht="21" spans="1:3">
      <c r="A2833">
        <v>2832</v>
      </c>
      <c r="B2833" s="27" t="s">
        <v>16892</v>
      </c>
      <c r="C2833" s="26"/>
    </row>
    <row r="2834" ht="21" spans="1:3">
      <c r="A2834">
        <v>2833</v>
      </c>
      <c r="B2834" s="25" t="s">
        <v>16892</v>
      </c>
      <c r="C2834" s="26"/>
    </row>
    <row r="2835" ht="21" spans="1:3">
      <c r="A2835">
        <v>2834</v>
      </c>
      <c r="B2835" s="27" t="s">
        <v>16892</v>
      </c>
      <c r="C2835" s="26"/>
    </row>
    <row r="2836" ht="21" spans="1:3">
      <c r="A2836">
        <v>2835</v>
      </c>
      <c r="B2836" s="25" t="s">
        <v>16892</v>
      </c>
      <c r="C2836" s="26"/>
    </row>
    <row r="2837" ht="21" spans="1:3">
      <c r="A2837">
        <v>2836</v>
      </c>
      <c r="B2837" s="25" t="s">
        <v>16892</v>
      </c>
      <c r="C2837" s="26"/>
    </row>
    <row r="2838" ht="21" spans="1:3">
      <c r="A2838">
        <v>2837</v>
      </c>
      <c r="B2838" s="27" t="s">
        <v>16892</v>
      </c>
      <c r="C2838" s="26"/>
    </row>
    <row r="2839" ht="21" spans="1:3">
      <c r="A2839">
        <v>2838</v>
      </c>
      <c r="B2839" s="27" t="s">
        <v>16892</v>
      </c>
      <c r="C2839" s="26"/>
    </row>
    <row r="2840" ht="15.75" spans="1:3">
      <c r="A2840">
        <v>2839</v>
      </c>
      <c r="B2840" s="26"/>
      <c r="C2840" s="26"/>
    </row>
    <row r="2841" ht="18.75" spans="1:3">
      <c r="A2841">
        <v>2840</v>
      </c>
      <c r="B2841" s="31" t="str">
        <f>IFERROR(__xludf.DUMMYFUNCTION("""COMPUTED_VALUE"""),"ብዙአየሁ ተፈራ")</f>
        <v>ብዙአየሁ ተፈራ</v>
      </c>
      <c r="C2841" s="30">
        <v>944285554</v>
      </c>
    </row>
    <row r="2842" ht="21" spans="1:3">
      <c r="A2842">
        <v>2841</v>
      </c>
      <c r="B2842" s="25" t="s">
        <v>16892</v>
      </c>
      <c r="C2842" s="26"/>
    </row>
    <row r="2843" ht="18.75" spans="1:3">
      <c r="A2843">
        <v>2842</v>
      </c>
      <c r="B2843" s="30" t="str">
        <f>IFERROR(__xludf.DUMMYFUNCTION("""COMPUTED_VALUE"""),"Semahgengne Desalgne")</f>
        <v>Semahgengne Desalgne</v>
      </c>
      <c r="C2843" s="30">
        <v>911313139</v>
      </c>
    </row>
    <row r="2844" ht="21" spans="1:3">
      <c r="A2844">
        <v>2843</v>
      </c>
      <c r="B2844" s="27" t="s">
        <v>16892</v>
      </c>
      <c r="C2844" s="26"/>
    </row>
    <row r="2845" ht="21" spans="1:3">
      <c r="A2845">
        <v>2844</v>
      </c>
      <c r="B2845" s="27" t="s">
        <v>16892</v>
      </c>
      <c r="C2845" s="26"/>
    </row>
    <row r="2846" ht="21" spans="1:3">
      <c r="A2846">
        <v>2845</v>
      </c>
      <c r="B2846" s="27" t="s">
        <v>16892</v>
      </c>
      <c r="C2846" s="26"/>
    </row>
    <row r="2847" ht="21" spans="1:3">
      <c r="A2847">
        <v>2846</v>
      </c>
      <c r="B2847" s="25" t="s">
        <v>16892</v>
      </c>
      <c r="C2847" s="26"/>
    </row>
    <row r="2848" ht="15.75" spans="1:3">
      <c r="A2848">
        <v>2847</v>
      </c>
      <c r="B2848" s="26"/>
      <c r="C2848" s="26"/>
    </row>
    <row r="2849" ht="21" spans="1:3">
      <c r="A2849">
        <v>2848</v>
      </c>
      <c r="B2849" s="25" t="s">
        <v>16892</v>
      </c>
      <c r="C2849" s="26"/>
    </row>
    <row r="2850" ht="21" spans="1:3">
      <c r="A2850">
        <v>2849</v>
      </c>
      <c r="B2850" s="25" t="s">
        <v>16892</v>
      </c>
      <c r="C2850" s="26"/>
    </row>
    <row r="2851" ht="15.75" spans="1:3">
      <c r="A2851">
        <v>2850</v>
      </c>
      <c r="B2851" s="26"/>
      <c r="C2851" s="26"/>
    </row>
    <row r="2852" ht="21" spans="1:3">
      <c r="A2852">
        <v>2851</v>
      </c>
      <c r="B2852" s="27" t="s">
        <v>16892</v>
      </c>
      <c r="C2852" s="26"/>
    </row>
    <row r="2853" ht="15.75" spans="1:3">
      <c r="A2853">
        <v>2852</v>
      </c>
      <c r="B2853" s="26"/>
      <c r="C2853" s="26"/>
    </row>
    <row r="2854" ht="15.75" spans="1:3">
      <c r="A2854">
        <v>2853</v>
      </c>
      <c r="B2854" s="26"/>
      <c r="C2854" s="26"/>
    </row>
    <row r="2855" ht="15.75" spans="1:3">
      <c r="A2855">
        <v>2854</v>
      </c>
      <c r="B2855" s="26"/>
      <c r="C2855" s="26"/>
    </row>
    <row r="2856" ht="21" spans="1:3">
      <c r="A2856">
        <v>2855</v>
      </c>
      <c r="B2856" s="27" t="s">
        <v>16892</v>
      </c>
      <c r="C2856" s="26"/>
    </row>
    <row r="2857" ht="21" spans="1:3">
      <c r="A2857">
        <v>2856</v>
      </c>
      <c r="B2857" s="25" t="s">
        <v>16892</v>
      </c>
      <c r="C2857" s="26"/>
    </row>
    <row r="2858" ht="15.75" spans="1:3">
      <c r="A2858">
        <v>2857</v>
      </c>
      <c r="B2858" s="26"/>
      <c r="C2858" s="26"/>
    </row>
    <row r="2859" ht="21" spans="1:3">
      <c r="A2859">
        <v>2858</v>
      </c>
      <c r="B2859" s="25" t="s">
        <v>16892</v>
      </c>
      <c r="C2859" s="26"/>
    </row>
    <row r="2860" ht="21" spans="1:3">
      <c r="A2860">
        <v>2859</v>
      </c>
      <c r="B2860" s="25" t="s">
        <v>16892</v>
      </c>
      <c r="C2860" s="26"/>
    </row>
    <row r="2861" ht="15.75" spans="1:3">
      <c r="A2861">
        <v>2860</v>
      </c>
      <c r="B2861" s="26"/>
      <c r="C2861" s="26"/>
    </row>
    <row r="2862" ht="21" spans="1:3">
      <c r="A2862">
        <v>2861</v>
      </c>
      <c r="B2862" s="27" t="s">
        <v>16892</v>
      </c>
      <c r="C2862" s="26"/>
    </row>
    <row r="2863" ht="21" spans="1:3">
      <c r="A2863">
        <v>2862</v>
      </c>
      <c r="B2863" s="27" t="s">
        <v>16892</v>
      </c>
      <c r="C2863" s="26"/>
    </row>
    <row r="2864" spans="1:3">
      <c r="A2864">
        <v>2863</v>
      </c>
      <c r="B2864" s="45" t="s">
        <v>16925</v>
      </c>
      <c r="C2864" s="36" t="s">
        <v>11509</v>
      </c>
    </row>
    <row r="2865" ht="15.75" spans="1:3">
      <c r="A2865">
        <v>2864</v>
      </c>
      <c r="B2865" s="26"/>
      <c r="C2865" s="26"/>
    </row>
    <row r="2866" ht="21" spans="1:3">
      <c r="A2866">
        <v>2865</v>
      </c>
      <c r="B2866" s="25" t="s">
        <v>16892</v>
      </c>
      <c r="C2866" s="26"/>
    </row>
    <row r="2867" ht="21" spans="1:3">
      <c r="A2867">
        <v>2866</v>
      </c>
      <c r="B2867" s="27" t="s">
        <v>16892</v>
      </c>
      <c r="C2867" s="26"/>
    </row>
    <row r="2868" ht="15.75" spans="1:3">
      <c r="A2868">
        <v>2867</v>
      </c>
      <c r="B2868" s="26"/>
      <c r="C2868" s="26"/>
    </row>
    <row r="2869" ht="15.75" spans="1:3">
      <c r="A2869">
        <v>2868</v>
      </c>
      <c r="B2869" s="26"/>
      <c r="C2869" s="26"/>
    </row>
    <row r="2870" ht="15.75" spans="1:3">
      <c r="A2870">
        <v>2869</v>
      </c>
      <c r="B2870" s="26"/>
      <c r="C2870" s="26"/>
    </row>
    <row r="2871" ht="21" spans="1:3">
      <c r="A2871">
        <v>2870</v>
      </c>
      <c r="B2871" s="25" t="s">
        <v>16892</v>
      </c>
      <c r="C2871" s="26"/>
    </row>
    <row r="2872" ht="15.75" spans="1:3">
      <c r="A2872">
        <v>2871</v>
      </c>
      <c r="B2872" s="26"/>
      <c r="C2872" s="26"/>
    </row>
    <row r="2873" ht="21" spans="1:3">
      <c r="A2873">
        <v>2872</v>
      </c>
      <c r="B2873" s="25" t="s">
        <v>16892</v>
      </c>
      <c r="C2873" s="26"/>
    </row>
    <row r="2874" ht="15.75" spans="1:3">
      <c r="A2874">
        <v>2873</v>
      </c>
      <c r="B2874" s="26"/>
      <c r="C2874" s="26"/>
    </row>
    <row r="2875" ht="15.75" spans="1:3">
      <c r="A2875">
        <v>2874</v>
      </c>
      <c r="B2875" s="26"/>
      <c r="C2875" s="26"/>
    </row>
    <row r="2876" ht="15.75" spans="1:3">
      <c r="A2876">
        <v>2875</v>
      </c>
      <c r="B2876" s="26"/>
      <c r="C2876" s="26"/>
    </row>
    <row r="2877" ht="15.75" spans="1:3">
      <c r="A2877">
        <v>2876</v>
      </c>
      <c r="B2877" s="26"/>
      <c r="C2877" s="26"/>
    </row>
    <row r="2878" ht="15.75" spans="1:3">
      <c r="A2878">
        <v>2877</v>
      </c>
      <c r="B2878" s="26"/>
      <c r="C2878" s="26"/>
    </row>
    <row r="2879" ht="21" spans="1:3">
      <c r="A2879">
        <v>2878</v>
      </c>
      <c r="B2879" s="27" t="s">
        <v>16892</v>
      </c>
      <c r="C2879" s="26"/>
    </row>
    <row r="2880" ht="15.75" spans="1:3">
      <c r="A2880">
        <v>2879</v>
      </c>
      <c r="B2880" s="26"/>
      <c r="C2880" s="26"/>
    </row>
    <row r="2881" ht="15.75" spans="1:3">
      <c r="A2881">
        <v>2880</v>
      </c>
      <c r="B2881" s="26"/>
      <c r="C2881" s="26"/>
    </row>
    <row r="2882" ht="15.75" spans="1:3">
      <c r="A2882">
        <v>2881</v>
      </c>
      <c r="B2882" s="26"/>
      <c r="C2882" s="26"/>
    </row>
    <row r="2883" ht="15.75" spans="1:3">
      <c r="A2883">
        <v>2882</v>
      </c>
      <c r="B2883" s="26"/>
      <c r="C2883" s="26"/>
    </row>
    <row r="2884" ht="15.75" spans="1:3">
      <c r="A2884">
        <v>2883</v>
      </c>
      <c r="B2884" s="26"/>
      <c r="C2884" s="26"/>
    </row>
    <row r="2885" ht="15.75" spans="1:3">
      <c r="A2885">
        <v>2884</v>
      </c>
      <c r="B2885" s="26"/>
      <c r="C2885" s="26"/>
    </row>
    <row r="2886" ht="21" spans="1:3">
      <c r="A2886">
        <v>2885</v>
      </c>
      <c r="B2886" s="25" t="s">
        <v>16892</v>
      </c>
      <c r="C2886" s="26"/>
    </row>
    <row r="2887" ht="21" spans="1:3">
      <c r="A2887">
        <v>2886</v>
      </c>
      <c r="B2887" s="25" t="s">
        <v>16892</v>
      </c>
      <c r="C2887" s="26"/>
    </row>
    <row r="2888" ht="21" spans="1:3">
      <c r="A2888">
        <v>2887</v>
      </c>
      <c r="B2888" s="27" t="s">
        <v>16892</v>
      </c>
      <c r="C2888" s="26"/>
    </row>
    <row r="2889" ht="21" spans="1:3">
      <c r="A2889">
        <v>2888</v>
      </c>
      <c r="B2889" s="27" t="s">
        <v>16892</v>
      </c>
      <c r="C2889" s="26"/>
    </row>
    <row r="2890" ht="15.75" spans="1:3">
      <c r="A2890">
        <v>2889</v>
      </c>
      <c r="B2890" s="26"/>
      <c r="C2890" s="26"/>
    </row>
    <row r="2891" ht="18.75" spans="1:3">
      <c r="A2891">
        <v>2890</v>
      </c>
      <c r="B2891" s="39" t="str">
        <f>IFERROR(__xludf.DUMMYFUNCTION("""COMPUTED_VALUE"""),"ፋሲካ ጌታሁን")</f>
        <v>ፋሲካ ጌታሁን</v>
      </c>
      <c r="C2891" s="34">
        <v>963725518</v>
      </c>
    </row>
    <row r="2892" ht="18.75" spans="1:3">
      <c r="A2892">
        <v>2891</v>
      </c>
      <c r="B2892" s="39" t="str">
        <f>IFERROR(__xludf.DUMMYFUNCTION("""COMPUTED_VALUE"""),"ፋሲካ ጌታሁን")</f>
        <v>ፋሲካ ጌታሁን</v>
      </c>
      <c r="C2892" s="34">
        <v>963725518</v>
      </c>
    </row>
    <row r="2893" ht="18.75" spans="1:3">
      <c r="A2893">
        <v>2892</v>
      </c>
      <c r="B2893" s="39" t="str">
        <f>IFERROR(__xludf.DUMMYFUNCTION("""COMPUTED_VALUE"""),"ፋሲካ ጌታሁን")</f>
        <v>ፋሲካ ጌታሁን</v>
      </c>
      <c r="C2893" s="34">
        <v>963725518</v>
      </c>
    </row>
    <row r="2894" ht="15.75" spans="1:3">
      <c r="A2894">
        <v>2893</v>
      </c>
      <c r="B2894" s="26"/>
      <c r="C2894" s="26"/>
    </row>
    <row r="2895" ht="15.75" spans="1:3">
      <c r="A2895">
        <v>2894</v>
      </c>
      <c r="B2895" s="26"/>
      <c r="C2895" s="26"/>
    </row>
    <row r="2896" ht="15.75" spans="1:3">
      <c r="A2896">
        <v>2895</v>
      </c>
      <c r="B2896" s="26"/>
      <c r="C2896" s="26"/>
    </row>
    <row r="2897" ht="15.75" spans="1:3">
      <c r="A2897">
        <v>2896</v>
      </c>
      <c r="B2897" s="26"/>
      <c r="C2897" s="26"/>
    </row>
    <row r="2898" ht="21" spans="1:3">
      <c r="A2898">
        <v>2897</v>
      </c>
      <c r="B2898" s="27" t="s">
        <v>16892</v>
      </c>
      <c r="C2898" s="26"/>
    </row>
    <row r="2899" ht="21" spans="1:3">
      <c r="A2899">
        <v>2898</v>
      </c>
      <c r="B2899" s="27" t="s">
        <v>16892</v>
      </c>
      <c r="C2899" s="26"/>
    </row>
    <row r="2900" ht="15.75" spans="1:3">
      <c r="A2900">
        <v>2899</v>
      </c>
      <c r="B2900" s="26"/>
      <c r="C2900" s="26"/>
    </row>
    <row r="2901" ht="21" spans="1:3">
      <c r="A2901">
        <v>2900</v>
      </c>
      <c r="B2901" s="27" t="s">
        <v>16892</v>
      </c>
      <c r="C2901" s="26"/>
    </row>
    <row r="2902" ht="15.75" spans="1:3">
      <c r="A2902">
        <v>2901</v>
      </c>
      <c r="B2902" s="26"/>
      <c r="C2902" s="26"/>
    </row>
    <row r="2903" ht="21" spans="1:3">
      <c r="A2903">
        <v>2902</v>
      </c>
      <c r="B2903" s="27" t="s">
        <v>16892</v>
      </c>
      <c r="C2903" s="26"/>
    </row>
    <row r="2904" ht="21" spans="1:3">
      <c r="A2904">
        <v>2903</v>
      </c>
      <c r="B2904" s="25" t="s">
        <v>16892</v>
      </c>
      <c r="C2904" s="26"/>
    </row>
    <row r="2905" ht="21" spans="1:3">
      <c r="A2905">
        <v>2904</v>
      </c>
      <c r="B2905" s="27" t="s">
        <v>16892</v>
      </c>
      <c r="C2905" s="26"/>
    </row>
    <row r="2906" ht="21" spans="1:3">
      <c r="A2906">
        <v>2905</v>
      </c>
      <c r="B2906" s="25" t="s">
        <v>16892</v>
      </c>
      <c r="C2906" s="26"/>
    </row>
    <row r="2907" ht="21" spans="1:3">
      <c r="A2907">
        <v>2906</v>
      </c>
      <c r="B2907" s="27" t="s">
        <v>16892</v>
      </c>
      <c r="C2907" s="26"/>
    </row>
    <row r="2908" ht="21" spans="1:3">
      <c r="A2908">
        <v>2907</v>
      </c>
      <c r="B2908" s="27" t="s">
        <v>16892</v>
      </c>
      <c r="C2908" s="26"/>
    </row>
    <row r="2909" ht="15.75" spans="1:3">
      <c r="A2909">
        <v>2908</v>
      </c>
      <c r="B2909" s="26"/>
      <c r="C2909" s="26"/>
    </row>
    <row r="2910" ht="18.75" spans="1:3">
      <c r="A2910">
        <v>2909</v>
      </c>
      <c r="B2910" s="31" t="str">
        <f>IFERROR(__xludf.DUMMYFUNCTION("""COMPUTED_VALUE"""),"ቤዛዊት እሱባለው")</f>
        <v>ቤዛዊት እሱባለው</v>
      </c>
      <c r="C2910" s="30"/>
    </row>
    <row r="2911" ht="15.75" spans="1:3">
      <c r="A2911">
        <v>2910</v>
      </c>
      <c r="B2911" s="26"/>
      <c r="C2911" s="26"/>
    </row>
    <row r="2912" ht="15.75" spans="1:3">
      <c r="A2912">
        <v>2911</v>
      </c>
      <c r="B2912" s="26"/>
      <c r="C2912" s="26"/>
    </row>
    <row r="2913" ht="21" spans="1:3">
      <c r="A2913">
        <v>2912</v>
      </c>
      <c r="B2913" s="25" t="s">
        <v>16892</v>
      </c>
      <c r="C2913" s="26"/>
    </row>
    <row r="2914" ht="15.75" spans="1:3">
      <c r="A2914">
        <v>2913</v>
      </c>
      <c r="B2914" s="26"/>
      <c r="C2914" s="26"/>
    </row>
    <row r="2915" ht="21" spans="1:3">
      <c r="A2915">
        <v>2914</v>
      </c>
      <c r="B2915" s="27" t="s">
        <v>16892</v>
      </c>
      <c r="C2915" s="26"/>
    </row>
    <row r="2916" ht="18" spans="1:3">
      <c r="A2916">
        <v>2915</v>
      </c>
      <c r="B2916" s="31" t="str">
        <f>IFERROR(__xludf.DUMMYFUNCTION("""COMPUTED_VALUE"""),"raheye nebey mekonen")</f>
        <v>raheye nebey mekonen</v>
      </c>
      <c r="C2916" s="31">
        <v>911444443</v>
      </c>
    </row>
    <row r="2917" ht="15.75" spans="1:3">
      <c r="A2917">
        <v>2916</v>
      </c>
      <c r="B2917" s="26"/>
      <c r="C2917" s="26"/>
    </row>
    <row r="2918" ht="15.75" spans="1:3">
      <c r="A2918">
        <v>2917</v>
      </c>
      <c r="B2918" s="26"/>
      <c r="C2918" s="26"/>
    </row>
    <row r="2919" ht="21" spans="1:3">
      <c r="A2919">
        <v>2918</v>
      </c>
      <c r="B2919" s="25" t="s">
        <v>16892</v>
      </c>
      <c r="C2919" s="26"/>
    </row>
    <row r="2920" ht="21" spans="1:3">
      <c r="A2920">
        <v>2919</v>
      </c>
      <c r="B2920" s="27" t="s">
        <v>16892</v>
      </c>
      <c r="C2920" s="26"/>
    </row>
    <row r="2921" ht="21" spans="1:3">
      <c r="A2921">
        <v>2920</v>
      </c>
      <c r="B2921" s="27" t="s">
        <v>16892</v>
      </c>
      <c r="C2921" s="26"/>
    </row>
    <row r="2922" ht="21" spans="1:3">
      <c r="A2922">
        <v>2921</v>
      </c>
      <c r="B2922" s="25" t="s">
        <v>16892</v>
      </c>
      <c r="C2922" s="26"/>
    </row>
    <row r="2923" ht="21" spans="1:3">
      <c r="A2923">
        <v>2922</v>
      </c>
      <c r="B2923" s="27" t="s">
        <v>16892</v>
      </c>
      <c r="C2923" s="26"/>
    </row>
    <row r="2924" ht="21" spans="1:3">
      <c r="A2924">
        <v>2923</v>
      </c>
      <c r="B2924" s="25" t="s">
        <v>16892</v>
      </c>
      <c r="C2924" s="26"/>
    </row>
    <row r="2925" ht="21" spans="1:3">
      <c r="A2925">
        <v>2924</v>
      </c>
      <c r="B2925" s="27" t="s">
        <v>16902</v>
      </c>
      <c r="C2925" s="26"/>
    </row>
    <row r="2926" ht="15.75" spans="1:3">
      <c r="A2926">
        <v>2925</v>
      </c>
      <c r="B2926" s="26"/>
      <c r="C2926" s="26"/>
    </row>
    <row r="2927" ht="21" spans="1:3">
      <c r="A2927">
        <v>2926</v>
      </c>
      <c r="B2927" s="27" t="s">
        <v>16892</v>
      </c>
      <c r="C2927" s="26"/>
    </row>
    <row r="2928" ht="21" spans="1:3">
      <c r="A2928">
        <v>2927</v>
      </c>
      <c r="B2928" s="25" t="s">
        <v>16892</v>
      </c>
      <c r="C2928" s="26"/>
    </row>
    <row r="2929" ht="15.75" spans="1:3">
      <c r="A2929">
        <v>2928</v>
      </c>
      <c r="B2929" s="26"/>
      <c r="C2929" s="26"/>
    </row>
    <row r="2930" ht="15.75" spans="1:3">
      <c r="A2930">
        <v>2929</v>
      </c>
      <c r="B2930" s="26"/>
      <c r="C2930" s="26"/>
    </row>
    <row r="2931" ht="21" spans="1:3">
      <c r="A2931">
        <v>2930</v>
      </c>
      <c r="B2931" s="25" t="s">
        <v>16892</v>
      </c>
      <c r="C2931" s="26"/>
    </row>
    <row r="2932" ht="15.75" spans="1:3">
      <c r="A2932">
        <v>2931</v>
      </c>
      <c r="B2932" s="26"/>
      <c r="C2932" s="26"/>
    </row>
    <row r="2933" ht="21" spans="1:3">
      <c r="A2933">
        <v>2932</v>
      </c>
      <c r="B2933" s="25" t="s">
        <v>16892</v>
      </c>
      <c r="C2933" s="26"/>
    </row>
    <row r="2934" ht="21" spans="1:3">
      <c r="A2934">
        <v>2933</v>
      </c>
      <c r="B2934" s="27" t="s">
        <v>16892</v>
      </c>
      <c r="C2934" s="26"/>
    </row>
    <row r="2935" ht="21" spans="1:3">
      <c r="A2935">
        <v>2934</v>
      </c>
      <c r="B2935" s="25" t="s">
        <v>16892</v>
      </c>
      <c r="C2935" s="26"/>
    </row>
    <row r="2936" ht="21" spans="1:3">
      <c r="A2936">
        <v>2935</v>
      </c>
      <c r="B2936" s="27" t="s">
        <v>16892</v>
      </c>
      <c r="C2936" s="26"/>
    </row>
    <row r="2937" ht="15.75" spans="1:3">
      <c r="A2937">
        <v>2936</v>
      </c>
      <c r="B2937" s="26"/>
      <c r="C2937" s="26"/>
    </row>
    <row r="2938" ht="21" spans="1:3">
      <c r="A2938">
        <v>2937</v>
      </c>
      <c r="B2938" s="25" t="s">
        <v>16892</v>
      </c>
      <c r="C2938" s="26"/>
    </row>
    <row r="2939" ht="21" spans="1:3">
      <c r="A2939">
        <v>2938</v>
      </c>
      <c r="B2939" s="25" t="s">
        <v>16892</v>
      </c>
      <c r="C2939" s="26"/>
    </row>
    <row r="2940" ht="21" spans="1:3">
      <c r="A2940">
        <v>2939</v>
      </c>
      <c r="B2940" s="25" t="s">
        <v>16892</v>
      </c>
      <c r="C2940" s="26"/>
    </row>
    <row r="2941" ht="15.75" spans="1:3">
      <c r="A2941">
        <v>2940</v>
      </c>
      <c r="B2941" s="26"/>
      <c r="C2941" s="26"/>
    </row>
    <row r="2942" ht="21" spans="1:3">
      <c r="A2942">
        <v>2941</v>
      </c>
      <c r="B2942" s="27" t="s">
        <v>16892</v>
      </c>
      <c r="C2942" s="26"/>
    </row>
    <row r="2943" ht="18.75" spans="1:3">
      <c r="A2943">
        <v>2942</v>
      </c>
      <c r="B2943" s="34" t="str">
        <f>IFERROR(__xludf.DUMMYFUNCTION("""COMPUTED_VALUE"""),"Hiwot Solomon")</f>
        <v>Hiwot Solomon</v>
      </c>
      <c r="C2943" s="34">
        <f>IFERROR(__xludf.DUMMYFUNCTION("""COMPUTED_VALUE"""),986569386)</f>
        <v>986569386</v>
      </c>
    </row>
    <row r="2944" ht="18.75" spans="1:3">
      <c r="A2944">
        <v>2943</v>
      </c>
      <c r="B2944" s="34" t="str">
        <f>IFERROR(__xludf.DUMMYFUNCTION("""COMPUTED_VALUE"""),"Hiwot Solomon")</f>
        <v>Hiwot Solomon</v>
      </c>
      <c r="C2944" s="34">
        <f>IFERROR(__xludf.DUMMYFUNCTION("""COMPUTED_VALUE"""),986569386)</f>
        <v>986569386</v>
      </c>
    </row>
    <row r="2945" ht="18.75" spans="1:3">
      <c r="A2945">
        <v>2944</v>
      </c>
      <c r="B2945" s="34" t="str">
        <f>IFERROR(__xludf.DUMMYFUNCTION("""COMPUTED_VALUE"""),"Hiwot Solomon")</f>
        <v>Hiwot Solomon</v>
      </c>
      <c r="C2945" s="34">
        <f>IFERROR(__xludf.DUMMYFUNCTION("""COMPUTED_VALUE"""),986569386)</f>
        <v>986569386</v>
      </c>
    </row>
    <row r="2946" ht="18.75" spans="1:3">
      <c r="A2946">
        <v>2945</v>
      </c>
      <c r="B2946" s="34" t="str">
        <f>IFERROR(__xludf.DUMMYFUNCTION("""COMPUTED_VALUE"""),"Hiwot Solomon")</f>
        <v>Hiwot Solomon</v>
      </c>
      <c r="C2946" s="34">
        <f>IFERROR(__xludf.DUMMYFUNCTION("""COMPUTED_VALUE"""),986569386)</f>
        <v>986569386</v>
      </c>
    </row>
    <row r="2947" ht="18.75" spans="1:3">
      <c r="A2947">
        <v>2946</v>
      </c>
      <c r="B2947" s="34" t="str">
        <f>IFERROR(__xludf.DUMMYFUNCTION("""COMPUTED_VALUE"""),"Hiwot Solomon")</f>
        <v>Hiwot Solomon</v>
      </c>
      <c r="C2947" s="34">
        <f>IFERROR(__xludf.DUMMYFUNCTION("""COMPUTED_VALUE"""),986569386)</f>
        <v>986569386</v>
      </c>
    </row>
    <row r="2948" ht="18.75" spans="1:3">
      <c r="A2948">
        <v>2947</v>
      </c>
      <c r="B2948" s="34" t="str">
        <f>IFERROR(__xludf.DUMMYFUNCTION("""COMPUTED_VALUE"""),"Hiwot Solomon")</f>
        <v>Hiwot Solomon</v>
      </c>
      <c r="C2948" s="34">
        <f>IFERROR(__xludf.DUMMYFUNCTION("""COMPUTED_VALUE"""),986569386)</f>
        <v>986569386</v>
      </c>
    </row>
    <row r="2949" ht="21" spans="1:3">
      <c r="A2949">
        <v>2948</v>
      </c>
      <c r="B2949" s="28" t="s">
        <v>16892</v>
      </c>
      <c r="C2949" s="29"/>
    </row>
    <row r="2950" ht="15.75" spans="1:3">
      <c r="A2950">
        <v>2949</v>
      </c>
      <c r="B2950" s="26"/>
      <c r="C2950" s="26"/>
    </row>
    <row r="2951" ht="15.75" spans="1:3">
      <c r="A2951">
        <v>2950</v>
      </c>
      <c r="B2951" s="26"/>
      <c r="C2951" s="26"/>
    </row>
    <row r="2952" ht="15.75" spans="1:3">
      <c r="A2952">
        <v>2951</v>
      </c>
      <c r="B2952" s="26"/>
      <c r="C2952" s="26"/>
    </row>
    <row r="2953" ht="15.75" spans="1:3">
      <c r="A2953">
        <v>2952</v>
      </c>
      <c r="B2953" s="26"/>
      <c r="C2953" s="26"/>
    </row>
    <row r="2954" ht="21" spans="1:3">
      <c r="A2954">
        <v>2953</v>
      </c>
      <c r="B2954" s="25" t="s">
        <v>16892</v>
      </c>
      <c r="C2954" s="26"/>
    </row>
    <row r="2955" ht="21" spans="1:3">
      <c r="A2955">
        <v>2954</v>
      </c>
      <c r="B2955" s="27" t="s">
        <v>16892</v>
      </c>
      <c r="C2955" s="26"/>
    </row>
    <row r="2956" ht="15.75" spans="1:3">
      <c r="A2956">
        <v>2955</v>
      </c>
      <c r="B2956" s="26"/>
      <c r="C2956" s="26"/>
    </row>
    <row r="2957" ht="21" spans="1:3">
      <c r="A2957">
        <v>2956</v>
      </c>
      <c r="B2957" s="27" t="s">
        <v>16892</v>
      </c>
      <c r="C2957" s="26"/>
    </row>
    <row r="2958" ht="21" spans="1:3">
      <c r="A2958">
        <v>2957</v>
      </c>
      <c r="B2958" s="25" t="s">
        <v>16892</v>
      </c>
      <c r="C2958" s="26"/>
    </row>
    <row r="2959" ht="21" spans="1:3">
      <c r="A2959">
        <v>2958</v>
      </c>
      <c r="B2959" s="25" t="s">
        <v>16892</v>
      </c>
      <c r="C2959" s="26"/>
    </row>
    <row r="2960" ht="15.75" spans="1:3">
      <c r="A2960">
        <v>2959</v>
      </c>
      <c r="B2960" s="26"/>
      <c r="C2960" s="26"/>
    </row>
    <row r="2961" ht="21" spans="1:3">
      <c r="A2961">
        <v>2960</v>
      </c>
      <c r="B2961" s="27" t="s">
        <v>16892</v>
      </c>
      <c r="C2961" s="26"/>
    </row>
    <row r="2962" ht="15.75" spans="1:3">
      <c r="A2962">
        <v>2961</v>
      </c>
      <c r="B2962" s="26"/>
      <c r="C2962" s="26"/>
    </row>
    <row r="2963" ht="15.75" spans="1:3">
      <c r="A2963">
        <v>2962</v>
      </c>
      <c r="B2963" s="26"/>
      <c r="C2963" s="26"/>
    </row>
    <row r="2964" ht="15.75" spans="1:3">
      <c r="A2964">
        <v>2963</v>
      </c>
      <c r="B2964" s="26"/>
      <c r="C2964" s="26"/>
    </row>
    <row r="2965" ht="15.75" spans="1:3">
      <c r="A2965">
        <v>2964</v>
      </c>
      <c r="B2965" s="26"/>
      <c r="C2965" s="26"/>
    </row>
    <row r="2966" ht="15.75" spans="1:3">
      <c r="A2966">
        <v>2965</v>
      </c>
      <c r="B2966" s="26"/>
      <c r="C2966" s="26"/>
    </row>
    <row r="2967" ht="15.75" spans="1:3">
      <c r="A2967">
        <v>2966</v>
      </c>
      <c r="B2967" s="26"/>
      <c r="C2967" s="26"/>
    </row>
    <row r="2968" ht="15.75" spans="1:3">
      <c r="A2968">
        <v>2967</v>
      </c>
      <c r="B2968" s="26"/>
      <c r="C2968" s="26"/>
    </row>
    <row r="2969" ht="15.75" spans="1:3">
      <c r="A2969">
        <v>2968</v>
      </c>
      <c r="B2969" s="26"/>
      <c r="C2969" s="26"/>
    </row>
    <row r="2970" ht="21" spans="1:3">
      <c r="A2970">
        <v>2969</v>
      </c>
      <c r="B2970" s="25" t="s">
        <v>16892</v>
      </c>
      <c r="C2970" s="26"/>
    </row>
    <row r="2971" ht="15.75" spans="1:3">
      <c r="A2971">
        <v>2970</v>
      </c>
      <c r="B2971" s="26"/>
      <c r="C2971" s="26"/>
    </row>
    <row r="2972" ht="21" spans="1:3">
      <c r="A2972">
        <v>2971</v>
      </c>
      <c r="B2972" s="25" t="s">
        <v>16892</v>
      </c>
      <c r="C2972" s="26"/>
    </row>
    <row r="2973" ht="21" spans="1:3">
      <c r="A2973">
        <v>2972</v>
      </c>
      <c r="B2973" s="25" t="s">
        <v>16892</v>
      </c>
      <c r="C2973" s="26"/>
    </row>
    <row r="2974" ht="21" spans="1:3">
      <c r="A2974">
        <v>2973</v>
      </c>
      <c r="B2974" s="25" t="s">
        <v>16892</v>
      </c>
      <c r="C2974" s="26"/>
    </row>
    <row r="2975" ht="21" spans="1:3">
      <c r="A2975">
        <v>2974</v>
      </c>
      <c r="B2975" s="25" t="s">
        <v>16892</v>
      </c>
      <c r="C2975" s="26"/>
    </row>
    <row r="2976" ht="21" spans="1:3">
      <c r="A2976">
        <v>2975</v>
      </c>
      <c r="B2976" s="27" t="s">
        <v>16892</v>
      </c>
      <c r="C2976" s="26"/>
    </row>
    <row r="2977" ht="15.75" spans="1:3">
      <c r="A2977">
        <v>2976</v>
      </c>
      <c r="B2977" s="26"/>
      <c r="C2977" s="26"/>
    </row>
    <row r="2978" ht="15.75" spans="1:3">
      <c r="A2978">
        <v>2977</v>
      </c>
      <c r="B2978" s="26"/>
      <c r="C2978" s="26"/>
    </row>
    <row r="2979" ht="21" spans="1:3">
      <c r="A2979">
        <v>2978</v>
      </c>
      <c r="B2979" s="27" t="s">
        <v>16892</v>
      </c>
      <c r="C2979" s="26"/>
    </row>
    <row r="2980" ht="21" spans="1:3">
      <c r="A2980">
        <v>2979</v>
      </c>
      <c r="B2980" s="27" t="s">
        <v>16892</v>
      </c>
      <c r="C2980" s="26"/>
    </row>
    <row r="2981" ht="15.75" spans="1:3">
      <c r="A2981">
        <v>2980</v>
      </c>
      <c r="B2981" s="26"/>
      <c r="C2981" s="26"/>
    </row>
    <row r="2982" ht="15.75" spans="1:3">
      <c r="A2982">
        <v>2981</v>
      </c>
      <c r="B2982" s="26"/>
      <c r="C2982" s="26"/>
    </row>
    <row r="2983" ht="15.75" spans="1:3">
      <c r="A2983">
        <v>2982</v>
      </c>
      <c r="B2983" s="26"/>
      <c r="C2983" s="26"/>
    </row>
    <row r="2984" ht="15.75" spans="1:3">
      <c r="A2984">
        <v>2983</v>
      </c>
      <c r="B2984" s="26"/>
      <c r="C2984" s="26"/>
    </row>
    <row r="2985" ht="15.75" spans="1:3">
      <c r="A2985">
        <v>2984</v>
      </c>
      <c r="B2985" s="29"/>
      <c r="C2985" s="29"/>
    </row>
    <row r="2986" ht="15.75" spans="1:3">
      <c r="A2986">
        <v>2985</v>
      </c>
      <c r="B2986" s="29"/>
      <c r="C2986" s="29"/>
    </row>
    <row r="2987" ht="21" spans="1:3">
      <c r="A2987">
        <v>2986</v>
      </c>
      <c r="B2987" s="27" t="s">
        <v>16892</v>
      </c>
      <c r="C2987" s="26"/>
    </row>
    <row r="2988" ht="21" spans="1:3">
      <c r="A2988">
        <v>2987</v>
      </c>
      <c r="B2988" s="25" t="s">
        <v>16892</v>
      </c>
      <c r="C2988" s="26"/>
    </row>
    <row r="2989" ht="18.75" spans="1:3">
      <c r="A2989">
        <v>2988</v>
      </c>
      <c r="B2989" s="39" t="str">
        <f>IFERROR(__xludf.DUMMYFUNCTION("""COMPUTED_VALUE"""),"Amanuel Melese")</f>
        <v>Amanuel Melese</v>
      </c>
      <c r="C2989" s="34">
        <v>935088015</v>
      </c>
    </row>
    <row r="2990" ht="18.75" spans="1:3">
      <c r="A2990">
        <v>2989</v>
      </c>
      <c r="B2990" s="39" t="str">
        <f>IFERROR(__xludf.DUMMYFUNCTION("""COMPUTED_VALUE"""),"Amanuel Melese")</f>
        <v>Amanuel Melese</v>
      </c>
      <c r="C2990" s="34">
        <v>935088015</v>
      </c>
    </row>
    <row r="2991" ht="15.75" spans="1:3">
      <c r="A2991">
        <v>2990</v>
      </c>
      <c r="B2991" s="26"/>
      <c r="C2991" s="26"/>
    </row>
    <row r="2992" ht="18.75" spans="1:3">
      <c r="A2992">
        <v>2991</v>
      </c>
      <c r="B2992" s="31" t="str">
        <f>IFERROR(__xludf.DUMMYFUNCTION("""COMPUTED_VALUE"""),"Tesfaye Tadesse")</f>
        <v>Tesfaye Tadesse</v>
      </c>
      <c r="C2992" s="30">
        <v>923942202</v>
      </c>
    </row>
    <row r="2993" ht="15.75" spans="1:3">
      <c r="A2993">
        <v>2992</v>
      </c>
      <c r="B2993" s="26"/>
      <c r="C2993" s="26"/>
    </row>
    <row r="2994" ht="15.75" spans="1:3">
      <c r="A2994">
        <v>2993</v>
      </c>
      <c r="B2994" s="26"/>
      <c r="C2994" s="26"/>
    </row>
    <row r="2995" ht="15.75" spans="1:3">
      <c r="A2995">
        <v>2994</v>
      </c>
      <c r="B2995" s="26"/>
      <c r="C2995" s="26"/>
    </row>
    <row r="2996" ht="21" spans="1:3">
      <c r="A2996">
        <v>2995</v>
      </c>
      <c r="B2996" s="27" t="s">
        <v>16892</v>
      </c>
      <c r="C2996" s="26"/>
    </row>
    <row r="2997" ht="18.75" spans="1:3">
      <c r="A2997">
        <v>2996</v>
      </c>
      <c r="B2997" s="30" t="str">
        <f>IFERROR(__xludf.DUMMYFUNCTION("""COMPUTED_VALUE"""),"no Agent")</f>
        <v>no Agent</v>
      </c>
      <c r="C2997" s="30"/>
    </row>
    <row r="2998" ht="15.75" spans="1:3">
      <c r="A2998">
        <v>2997</v>
      </c>
      <c r="B2998" s="26"/>
      <c r="C2998" s="26"/>
    </row>
    <row r="2999" ht="15.75" spans="1:3">
      <c r="A2999">
        <v>2998</v>
      </c>
      <c r="B2999" s="26"/>
      <c r="C2999" s="26"/>
    </row>
    <row r="3000" ht="21" spans="1:3">
      <c r="A3000">
        <v>2999</v>
      </c>
      <c r="B3000" s="27" t="s">
        <v>16892</v>
      </c>
      <c r="C3000" s="26"/>
    </row>
    <row r="3001" ht="15.75" spans="1:3">
      <c r="A3001">
        <v>3000</v>
      </c>
      <c r="B3001" s="26"/>
      <c r="C3001" s="26"/>
    </row>
    <row r="3002" ht="15.75" spans="1:3">
      <c r="A3002">
        <v>3001</v>
      </c>
      <c r="B3002" s="26"/>
      <c r="C3002" s="26"/>
    </row>
    <row r="3003" ht="15.75" spans="1:3">
      <c r="A3003">
        <v>3002</v>
      </c>
      <c r="B3003" s="26"/>
      <c r="C3003" s="26"/>
    </row>
    <row r="3004" ht="21" spans="1:3">
      <c r="A3004">
        <v>3003</v>
      </c>
      <c r="B3004" s="27" t="s">
        <v>16892</v>
      </c>
      <c r="C3004" s="26"/>
    </row>
    <row r="3005" ht="15.75" spans="1:3">
      <c r="A3005">
        <v>3004</v>
      </c>
      <c r="B3005" s="26"/>
      <c r="C3005" s="26"/>
    </row>
    <row r="3006" ht="18.75" spans="1:3">
      <c r="A3006">
        <v>3005</v>
      </c>
      <c r="B3006" s="31" t="str">
        <f>IFERROR(__xludf.DUMMYFUNCTION("""COMPUTED_VALUE"""),"Zebibe Sebsebie")</f>
        <v>Zebibe Sebsebie</v>
      </c>
      <c r="C3006" s="30">
        <v>923124965</v>
      </c>
    </row>
    <row r="3007" ht="18.75" spans="1:3">
      <c r="A3007">
        <v>3006</v>
      </c>
      <c r="B3007" s="32" t="str">
        <f>IFERROR(__xludf.DUMMYFUNCTION("""COMPUTED_VALUE"""),"Addis Degefu")</f>
        <v>Addis Degefu</v>
      </c>
      <c r="C3007" s="33">
        <v>915794992</v>
      </c>
    </row>
    <row r="3008" ht="15.75" spans="1:3">
      <c r="A3008">
        <v>3007</v>
      </c>
      <c r="B3008" s="26"/>
      <c r="C3008" s="26"/>
    </row>
    <row r="3009" ht="15.75" spans="1:3">
      <c r="A3009">
        <v>3008</v>
      </c>
      <c r="B3009" s="26"/>
      <c r="C3009" s="26"/>
    </row>
    <row r="3010" ht="15.75" spans="1:3">
      <c r="A3010">
        <v>3009</v>
      </c>
      <c r="B3010" s="26"/>
      <c r="C3010" s="26"/>
    </row>
    <row r="3011" ht="18.75" spans="1:3">
      <c r="A3011">
        <v>3010</v>
      </c>
      <c r="B3011" s="39" t="str">
        <f>IFERROR(__xludf.DUMMYFUNCTION("""COMPUTED_VALUE"""),"ታደለ ሞገስ እና አዲስ ሣህሉ")</f>
        <v>ታደለ ሞገስ እና አዲስ ሣህሉ</v>
      </c>
      <c r="C3011" s="34">
        <v>927642351</v>
      </c>
    </row>
    <row r="3012" ht="18.75" spans="1:3">
      <c r="A3012">
        <v>3011</v>
      </c>
      <c r="B3012" s="34" t="str">
        <f>IFERROR(__xludf.DUMMYFUNCTION("""COMPUTED_VALUE"""),"ታደለ ሞገስ")</f>
        <v>ታደለ ሞገስ</v>
      </c>
      <c r="C3012" s="34">
        <f>IFERROR(__xludf.DUMMYFUNCTION("""COMPUTED_VALUE"""),927642351)</f>
        <v>927642351</v>
      </c>
    </row>
    <row r="3013" ht="15.75" spans="1:3">
      <c r="A3013">
        <v>3012</v>
      </c>
      <c r="B3013" s="26"/>
      <c r="C3013" s="26"/>
    </row>
    <row r="3014" ht="15.75" spans="1:3">
      <c r="A3014">
        <v>3013</v>
      </c>
      <c r="B3014" s="26"/>
      <c r="C3014" s="26"/>
    </row>
    <row r="3015" ht="15.75" spans="1:3">
      <c r="A3015">
        <v>3014</v>
      </c>
      <c r="B3015" s="26"/>
      <c r="C3015" s="26"/>
    </row>
    <row r="3016" ht="15.75" spans="1:3">
      <c r="A3016">
        <v>3015</v>
      </c>
      <c r="B3016" s="26"/>
      <c r="C3016" s="26"/>
    </row>
    <row r="3017" ht="15.75" spans="1:3">
      <c r="A3017">
        <v>3016</v>
      </c>
      <c r="B3017" s="26"/>
      <c r="C3017" s="26"/>
    </row>
    <row r="3018" ht="15.75" spans="1:3">
      <c r="A3018">
        <v>3017</v>
      </c>
      <c r="B3018" s="26"/>
      <c r="C3018" s="26"/>
    </row>
    <row r="3019" ht="15.75" spans="1:3">
      <c r="A3019">
        <v>3018</v>
      </c>
      <c r="B3019" s="26"/>
      <c r="C3019" s="26"/>
    </row>
    <row r="3020" ht="15.75" spans="1:3">
      <c r="A3020">
        <v>3019</v>
      </c>
      <c r="B3020" s="26"/>
      <c r="C3020" s="26"/>
    </row>
    <row r="3021" ht="15.75" spans="1:3">
      <c r="A3021">
        <v>3020</v>
      </c>
      <c r="B3021" s="26"/>
      <c r="C3021" s="26"/>
    </row>
    <row r="3022" ht="15.75" spans="1:3">
      <c r="A3022">
        <v>3021</v>
      </c>
      <c r="B3022" s="26"/>
      <c r="C3022" s="26"/>
    </row>
    <row r="3023" ht="15.75" spans="1:3">
      <c r="A3023">
        <v>3022</v>
      </c>
      <c r="B3023" s="26"/>
      <c r="C3023" s="26"/>
    </row>
    <row r="3024" ht="15.75" spans="1:3">
      <c r="A3024">
        <v>3023</v>
      </c>
      <c r="B3024" s="26"/>
      <c r="C3024" s="26"/>
    </row>
    <row r="3025" ht="15.75" spans="1:3">
      <c r="A3025">
        <v>3024</v>
      </c>
      <c r="B3025" s="26"/>
      <c r="C3025" s="26"/>
    </row>
    <row r="3026" ht="15.75" spans="1:3">
      <c r="A3026">
        <v>3025</v>
      </c>
      <c r="B3026" s="26"/>
      <c r="C3026" s="26"/>
    </row>
    <row r="3027" ht="15.75" spans="1:3">
      <c r="A3027">
        <v>3026</v>
      </c>
      <c r="B3027" s="26"/>
      <c r="C3027" s="26"/>
    </row>
    <row r="3028" ht="21" spans="1:3">
      <c r="A3028">
        <v>3027</v>
      </c>
      <c r="B3028" s="27" t="s">
        <v>16892</v>
      </c>
      <c r="C3028" s="26"/>
    </row>
    <row r="3029" ht="21" spans="1:3">
      <c r="A3029">
        <v>3028</v>
      </c>
      <c r="B3029" s="27" t="s">
        <v>16892</v>
      </c>
      <c r="C3029" s="26"/>
    </row>
    <row r="3030" ht="15.75" spans="1:3">
      <c r="A3030">
        <v>3029</v>
      </c>
      <c r="B3030" s="26"/>
      <c r="C3030" s="26"/>
    </row>
    <row r="3031" ht="15.75" spans="1:3">
      <c r="A3031">
        <v>3030</v>
      </c>
      <c r="B3031" s="26"/>
      <c r="C3031" s="26"/>
    </row>
    <row r="3032" ht="15.75" spans="1:3">
      <c r="A3032">
        <v>3031</v>
      </c>
      <c r="B3032" s="26"/>
      <c r="C3032" s="26"/>
    </row>
    <row r="3033" ht="15.75" spans="1:3">
      <c r="A3033">
        <v>3032</v>
      </c>
      <c r="B3033" s="26"/>
      <c r="C3033" s="26"/>
    </row>
    <row r="3034" ht="15.75" spans="1:3">
      <c r="A3034">
        <v>3033</v>
      </c>
      <c r="B3034" s="26"/>
      <c r="C3034" s="26"/>
    </row>
    <row r="3035" ht="15.75" spans="1:3">
      <c r="A3035">
        <v>3034</v>
      </c>
      <c r="B3035" s="26"/>
      <c r="C3035" s="26"/>
    </row>
    <row r="3036" ht="21" spans="1:3">
      <c r="A3036">
        <v>3035</v>
      </c>
      <c r="B3036" s="25" t="s">
        <v>16892</v>
      </c>
      <c r="C3036" s="26"/>
    </row>
    <row r="3037" ht="21" spans="1:3">
      <c r="A3037">
        <v>3036</v>
      </c>
      <c r="B3037" s="27" t="s">
        <v>16892</v>
      </c>
      <c r="C3037" s="26"/>
    </row>
    <row r="3038" ht="15.75" spans="1:3">
      <c r="A3038">
        <v>3037</v>
      </c>
      <c r="B3038" s="26"/>
      <c r="C3038" s="26"/>
    </row>
    <row r="3039" ht="15.75" spans="1:3">
      <c r="A3039">
        <v>3038</v>
      </c>
      <c r="B3039" s="26"/>
      <c r="C3039" s="26"/>
    </row>
    <row r="3040" ht="15.75" spans="1:3">
      <c r="A3040">
        <v>3039</v>
      </c>
      <c r="B3040" s="26"/>
      <c r="C3040" s="26"/>
    </row>
    <row r="3041" ht="15.75" spans="1:3">
      <c r="A3041">
        <v>3040</v>
      </c>
      <c r="B3041" s="26"/>
      <c r="C3041" s="26"/>
    </row>
    <row r="3042" ht="15.75" spans="1:3">
      <c r="A3042">
        <v>3041</v>
      </c>
      <c r="B3042" s="26"/>
      <c r="C3042" s="26"/>
    </row>
    <row r="3043" ht="21" spans="1:3">
      <c r="A3043">
        <v>3042</v>
      </c>
      <c r="B3043" s="27" t="s">
        <v>16892</v>
      </c>
      <c r="C3043" s="26"/>
    </row>
    <row r="3044" ht="21" spans="1:3">
      <c r="A3044">
        <v>3043</v>
      </c>
      <c r="B3044" s="25" t="s">
        <v>16892</v>
      </c>
      <c r="C3044" s="26"/>
    </row>
    <row r="3045" ht="21" spans="1:3">
      <c r="A3045">
        <v>3044</v>
      </c>
      <c r="B3045" s="25" t="s">
        <v>16892</v>
      </c>
      <c r="C3045" s="26"/>
    </row>
    <row r="3046" ht="21" spans="1:3">
      <c r="A3046">
        <v>3045</v>
      </c>
      <c r="B3046" s="25" t="s">
        <v>16892</v>
      </c>
      <c r="C3046" s="26"/>
    </row>
    <row r="3047" ht="21" spans="1:3">
      <c r="A3047">
        <v>3046</v>
      </c>
      <c r="B3047" s="27" t="s">
        <v>16892</v>
      </c>
      <c r="C3047" s="26"/>
    </row>
    <row r="3048" ht="21" spans="1:3">
      <c r="A3048">
        <v>3047</v>
      </c>
      <c r="B3048" s="25" t="s">
        <v>16892</v>
      </c>
      <c r="C3048" s="26"/>
    </row>
    <row r="3049" ht="21" spans="1:3">
      <c r="A3049">
        <v>3048</v>
      </c>
      <c r="B3049" s="25" t="s">
        <v>16902</v>
      </c>
      <c r="C3049" s="26"/>
    </row>
    <row r="3050" ht="21" spans="1:3">
      <c r="A3050">
        <v>3049</v>
      </c>
      <c r="B3050" s="27" t="s">
        <v>16892</v>
      </c>
      <c r="C3050" s="26"/>
    </row>
    <row r="3051" ht="21" spans="1:3">
      <c r="A3051">
        <v>3050</v>
      </c>
      <c r="B3051" s="25" t="s">
        <v>16892</v>
      </c>
      <c r="C3051" s="26"/>
    </row>
    <row r="3052" ht="21" spans="1:3">
      <c r="A3052">
        <v>3051</v>
      </c>
      <c r="B3052" s="27" t="s">
        <v>16892</v>
      </c>
      <c r="C3052" s="26"/>
    </row>
    <row r="3053" ht="21" spans="1:3">
      <c r="A3053">
        <v>3052</v>
      </c>
      <c r="B3053" s="27" t="s">
        <v>16892</v>
      </c>
      <c r="C3053" s="26"/>
    </row>
    <row r="3054" ht="21" spans="1:3">
      <c r="A3054">
        <v>3053</v>
      </c>
      <c r="B3054" s="27" t="s">
        <v>16892</v>
      </c>
      <c r="C3054" s="26"/>
    </row>
    <row r="3055" ht="21" spans="1:3">
      <c r="A3055">
        <v>3054</v>
      </c>
      <c r="B3055" s="27" t="s">
        <v>16892</v>
      </c>
      <c r="C3055" s="26"/>
    </row>
    <row r="3056" ht="21" spans="1:3">
      <c r="A3056">
        <v>3055</v>
      </c>
      <c r="B3056" s="25" t="s">
        <v>16892</v>
      </c>
      <c r="C3056" s="26"/>
    </row>
    <row r="3057" ht="21" spans="1:3">
      <c r="A3057">
        <v>3056</v>
      </c>
      <c r="B3057" s="27" t="s">
        <v>16892</v>
      </c>
      <c r="C3057" s="26"/>
    </row>
    <row r="3058" ht="21" spans="1:3">
      <c r="A3058">
        <v>3057</v>
      </c>
      <c r="B3058" s="25" t="s">
        <v>16892</v>
      </c>
      <c r="C3058" s="26"/>
    </row>
    <row r="3059" ht="21" spans="1:3">
      <c r="A3059">
        <v>3058</v>
      </c>
      <c r="B3059" s="27" t="s">
        <v>16892</v>
      </c>
      <c r="C3059" s="26"/>
    </row>
    <row r="3060" ht="21" spans="1:3">
      <c r="A3060">
        <v>3059</v>
      </c>
      <c r="B3060" s="25" t="s">
        <v>16892</v>
      </c>
      <c r="C3060" s="26"/>
    </row>
    <row r="3061" ht="21" spans="1:3">
      <c r="A3061">
        <v>3060</v>
      </c>
      <c r="B3061" s="27" t="s">
        <v>16892</v>
      </c>
      <c r="C3061" s="26"/>
    </row>
    <row r="3062" ht="21" spans="1:3">
      <c r="A3062">
        <v>3061</v>
      </c>
      <c r="B3062" s="27" t="s">
        <v>16892</v>
      </c>
      <c r="C3062" s="26"/>
    </row>
    <row r="3063" ht="21" spans="1:3">
      <c r="A3063">
        <v>3062</v>
      </c>
      <c r="B3063" s="25" t="s">
        <v>16892</v>
      </c>
      <c r="C3063" s="26"/>
    </row>
    <row r="3064" ht="21" spans="1:3">
      <c r="A3064">
        <v>3063</v>
      </c>
      <c r="B3064" s="25" t="s">
        <v>16892</v>
      </c>
      <c r="C3064" s="26"/>
    </row>
    <row r="3065" ht="15.75" spans="1:3">
      <c r="A3065">
        <v>3064</v>
      </c>
      <c r="B3065" s="26"/>
      <c r="C3065" s="26"/>
    </row>
    <row r="3066" ht="21" spans="1:3">
      <c r="A3066">
        <v>3065</v>
      </c>
      <c r="B3066" s="27" t="s">
        <v>16892</v>
      </c>
      <c r="C3066" s="26"/>
    </row>
    <row r="3067" ht="21" spans="1:3">
      <c r="A3067">
        <v>3066</v>
      </c>
      <c r="B3067" s="25" t="s">
        <v>16892</v>
      </c>
      <c r="C3067" s="26"/>
    </row>
    <row r="3068" ht="21" spans="1:3">
      <c r="A3068">
        <v>3067</v>
      </c>
      <c r="B3068" s="25" t="s">
        <v>16892</v>
      </c>
      <c r="C3068" s="26"/>
    </row>
    <row r="3069" ht="21" spans="1:3">
      <c r="A3069">
        <v>3068</v>
      </c>
      <c r="B3069" s="25" t="s">
        <v>16892</v>
      </c>
      <c r="C3069" s="26"/>
    </row>
    <row r="3070" ht="15.75" spans="1:3">
      <c r="A3070">
        <v>3069</v>
      </c>
      <c r="B3070" s="26"/>
      <c r="C3070" s="26"/>
    </row>
    <row r="3071" ht="21" spans="1:3">
      <c r="A3071">
        <v>3070</v>
      </c>
      <c r="B3071" s="25" t="s">
        <v>16892</v>
      </c>
      <c r="C3071" s="26"/>
    </row>
    <row r="3072" ht="21" spans="1:3">
      <c r="A3072">
        <v>3071</v>
      </c>
      <c r="B3072" s="25" t="s">
        <v>16892</v>
      </c>
      <c r="C3072" s="26"/>
    </row>
    <row r="3073" ht="21" spans="1:3">
      <c r="A3073">
        <v>3072</v>
      </c>
      <c r="B3073" s="25" t="s">
        <v>16892</v>
      </c>
      <c r="C3073" s="26"/>
    </row>
    <row r="3074" ht="21" spans="1:3">
      <c r="A3074">
        <v>3073</v>
      </c>
      <c r="B3074" s="25" t="s">
        <v>16892</v>
      </c>
      <c r="C3074" s="26"/>
    </row>
    <row r="3075" ht="21" spans="1:3">
      <c r="A3075">
        <v>3074</v>
      </c>
      <c r="B3075" s="27" t="s">
        <v>16892</v>
      </c>
      <c r="C3075" s="26"/>
    </row>
    <row r="3076" ht="15.75" spans="1:3">
      <c r="A3076">
        <v>3075</v>
      </c>
      <c r="B3076" s="26"/>
      <c r="C3076" s="26"/>
    </row>
    <row r="3077" ht="15.75" spans="1:3">
      <c r="A3077">
        <v>3076</v>
      </c>
      <c r="B3077" s="26"/>
      <c r="C3077" s="26"/>
    </row>
    <row r="3078" ht="21" spans="1:3">
      <c r="A3078">
        <v>3077</v>
      </c>
      <c r="B3078" s="27" t="s">
        <v>16892</v>
      </c>
      <c r="C3078" s="26"/>
    </row>
    <row r="3079" ht="21" spans="1:3">
      <c r="A3079">
        <v>3078</v>
      </c>
      <c r="B3079" s="27" t="s">
        <v>16892</v>
      </c>
      <c r="C3079" s="26"/>
    </row>
    <row r="3080" ht="21" spans="1:3">
      <c r="A3080">
        <v>3079</v>
      </c>
      <c r="B3080" s="27" t="s">
        <v>16892</v>
      </c>
      <c r="C3080" s="26"/>
    </row>
    <row r="3081" ht="21" spans="1:3">
      <c r="A3081">
        <v>3080</v>
      </c>
      <c r="B3081" s="25" t="s">
        <v>16892</v>
      </c>
      <c r="C3081" s="26"/>
    </row>
    <row r="3082" ht="21" spans="1:3">
      <c r="A3082">
        <v>3081</v>
      </c>
      <c r="B3082" s="25" t="s">
        <v>16892</v>
      </c>
      <c r="C3082" s="26"/>
    </row>
    <row r="3083" ht="21" spans="1:3">
      <c r="A3083">
        <v>3082</v>
      </c>
      <c r="B3083" s="25" t="s">
        <v>16892</v>
      </c>
      <c r="C3083" s="26"/>
    </row>
    <row r="3084" ht="21" spans="1:3">
      <c r="A3084">
        <v>3083</v>
      </c>
      <c r="B3084" s="27" t="s">
        <v>16892</v>
      </c>
      <c r="C3084" s="26"/>
    </row>
    <row r="3085" ht="21" spans="1:3">
      <c r="A3085">
        <v>3084</v>
      </c>
      <c r="B3085" s="25" t="s">
        <v>16892</v>
      </c>
      <c r="C3085" s="26"/>
    </row>
    <row r="3086" ht="21" spans="1:3">
      <c r="A3086">
        <v>3085</v>
      </c>
      <c r="B3086" s="25" t="s">
        <v>16892</v>
      </c>
      <c r="C3086" s="26"/>
    </row>
    <row r="3087" ht="21" spans="1:3">
      <c r="A3087">
        <v>3086</v>
      </c>
      <c r="B3087" s="27" t="s">
        <v>16892</v>
      </c>
      <c r="C3087" s="26"/>
    </row>
    <row r="3088" ht="21" spans="1:3">
      <c r="A3088">
        <v>3087</v>
      </c>
      <c r="B3088" s="25" t="s">
        <v>16892</v>
      </c>
      <c r="C3088" s="26"/>
    </row>
    <row r="3089" ht="21" spans="1:3">
      <c r="A3089">
        <v>3088</v>
      </c>
      <c r="B3089" s="27" t="s">
        <v>16892</v>
      </c>
      <c r="C3089" s="26"/>
    </row>
    <row r="3090" ht="21" spans="1:3">
      <c r="A3090">
        <v>3089</v>
      </c>
      <c r="B3090" s="25" t="s">
        <v>16892</v>
      </c>
      <c r="C3090" s="26"/>
    </row>
    <row r="3091" ht="21" spans="1:3">
      <c r="A3091">
        <v>3090</v>
      </c>
      <c r="B3091" s="25" t="s">
        <v>16892</v>
      </c>
      <c r="C3091" s="26"/>
    </row>
    <row r="3092" ht="21" spans="1:3">
      <c r="A3092">
        <v>3091</v>
      </c>
      <c r="B3092" s="27" t="s">
        <v>16892</v>
      </c>
      <c r="C3092" s="26"/>
    </row>
    <row r="3093" ht="21" spans="1:3">
      <c r="A3093">
        <v>3092</v>
      </c>
      <c r="B3093" s="25" t="s">
        <v>16892</v>
      </c>
      <c r="C3093" s="26"/>
    </row>
    <row r="3094" ht="21" spans="1:3">
      <c r="A3094">
        <v>3093</v>
      </c>
      <c r="B3094" s="27" t="s">
        <v>16892</v>
      </c>
      <c r="C3094" s="26"/>
    </row>
    <row r="3095" ht="21" spans="1:3">
      <c r="A3095">
        <v>3094</v>
      </c>
      <c r="B3095" s="25" t="s">
        <v>16892</v>
      </c>
      <c r="C3095" s="26"/>
    </row>
    <row r="3096" ht="21" spans="1:3">
      <c r="A3096">
        <v>3095</v>
      </c>
      <c r="B3096" s="27" t="s">
        <v>16892</v>
      </c>
      <c r="C3096" s="26"/>
    </row>
    <row r="3097" ht="15.75" spans="1:3">
      <c r="A3097">
        <v>3096</v>
      </c>
      <c r="B3097" s="26"/>
      <c r="C3097" s="26"/>
    </row>
    <row r="3098" ht="21" spans="1:3">
      <c r="A3098">
        <v>3097</v>
      </c>
      <c r="B3098" s="27" t="s">
        <v>16892</v>
      </c>
      <c r="C3098" s="26"/>
    </row>
    <row r="3099" ht="21" spans="1:3">
      <c r="A3099">
        <v>3098</v>
      </c>
      <c r="B3099" s="25" t="s">
        <v>16892</v>
      </c>
      <c r="C3099" s="26"/>
    </row>
    <row r="3100" ht="21" spans="1:3">
      <c r="A3100">
        <v>3099</v>
      </c>
      <c r="B3100" s="25" t="s">
        <v>16892</v>
      </c>
      <c r="C3100" s="26"/>
    </row>
    <row r="3101" ht="21" spans="1:3">
      <c r="A3101">
        <v>3100</v>
      </c>
      <c r="B3101" s="27" t="s">
        <v>16892</v>
      </c>
      <c r="C3101" s="26"/>
    </row>
    <row r="3102" ht="18.75" spans="1:3">
      <c r="A3102">
        <v>3101</v>
      </c>
      <c r="B3102" s="31" t="str">
        <f>IFERROR(__xludf.DUMMYFUNCTION("""COMPUTED_VALUE"""),"weynshet teshome ")</f>
        <v>weynshet teshome </v>
      </c>
      <c r="C3102" s="30">
        <v>925361383</v>
      </c>
    </row>
    <row r="3103" ht="21" spans="1:3">
      <c r="A3103">
        <v>3102</v>
      </c>
      <c r="B3103" s="27" t="s">
        <v>16892</v>
      </c>
      <c r="C3103" s="26"/>
    </row>
    <row r="3104" ht="21" spans="1:3">
      <c r="A3104">
        <v>3103</v>
      </c>
      <c r="B3104" s="25" t="s">
        <v>16892</v>
      </c>
      <c r="C3104" s="26"/>
    </row>
    <row r="3105" ht="21" spans="1:3">
      <c r="A3105">
        <v>3104</v>
      </c>
      <c r="B3105" s="27" t="s">
        <v>16892</v>
      </c>
      <c r="C3105" s="26"/>
    </row>
    <row r="3106" ht="18.75" spans="1:3">
      <c r="A3106">
        <v>3105</v>
      </c>
      <c r="B3106" s="30" t="str">
        <f>IFERROR(__xludf.DUMMYFUNCTION("""COMPUTED_VALUE"""),"Habtam Tesfaw")</f>
        <v>Habtam Tesfaw</v>
      </c>
      <c r="C3106" s="30">
        <v>911796558</v>
      </c>
    </row>
    <row r="3107" ht="18.75" spans="1:3">
      <c r="A3107">
        <v>3106</v>
      </c>
      <c r="B3107" s="30" t="str">
        <f>IFERROR(__xludf.DUMMYFUNCTION("""COMPUTED_VALUE"""),"Habtam Tesfaw Wale")</f>
        <v>Habtam Tesfaw Wale</v>
      </c>
      <c r="C3107" s="30">
        <v>911796558</v>
      </c>
    </row>
    <row r="3108" ht="18.75" spans="1:3">
      <c r="A3108">
        <v>3107</v>
      </c>
      <c r="B3108" s="39" t="str">
        <f>IFERROR(__xludf.DUMMYFUNCTION("""COMPUTED_VALUE"""),"Hiwot Solomon")</f>
        <v>Hiwot Solomon</v>
      </c>
      <c r="C3108" s="34">
        <v>986569380</v>
      </c>
    </row>
    <row r="3109" ht="15.75" spans="1:3">
      <c r="A3109">
        <v>3108</v>
      </c>
      <c r="B3109" s="29"/>
      <c r="C3109" s="29"/>
    </row>
    <row r="3110" ht="15.75" spans="1:3">
      <c r="A3110">
        <v>3109</v>
      </c>
      <c r="B3110" s="26"/>
      <c r="C3110" s="26"/>
    </row>
    <row r="3111" ht="15.75" spans="1:3">
      <c r="A3111">
        <v>3110</v>
      </c>
      <c r="B3111" s="26"/>
      <c r="C3111" s="26"/>
    </row>
    <row r="3112" ht="15.75" spans="1:3">
      <c r="A3112">
        <v>3111</v>
      </c>
      <c r="B3112" s="29"/>
      <c r="C3112" s="29"/>
    </row>
    <row r="3113" ht="15.75" spans="1:3">
      <c r="A3113">
        <v>3112</v>
      </c>
      <c r="B3113" s="29"/>
      <c r="C3113" s="29"/>
    </row>
    <row r="3114" ht="15.75" spans="1:3">
      <c r="A3114">
        <v>3113</v>
      </c>
      <c r="B3114" s="26"/>
      <c r="C3114" s="26"/>
    </row>
    <row r="3115" ht="15.75" spans="1:3">
      <c r="A3115">
        <v>3114</v>
      </c>
      <c r="B3115" s="26"/>
      <c r="C3115" s="26"/>
    </row>
    <row r="3116" ht="15.75" spans="1:3">
      <c r="A3116">
        <v>3115</v>
      </c>
      <c r="B3116" s="26"/>
      <c r="C3116" s="26"/>
    </row>
    <row r="3117" ht="15.75" spans="1:3">
      <c r="A3117">
        <v>3116</v>
      </c>
      <c r="B3117" s="26"/>
      <c r="C3117" s="26"/>
    </row>
    <row r="3118" ht="15.75" spans="1:3">
      <c r="A3118">
        <v>3117</v>
      </c>
      <c r="B3118" s="26"/>
      <c r="C3118" s="26"/>
    </row>
    <row r="3119" ht="15.75" spans="1:3">
      <c r="A3119">
        <v>3118</v>
      </c>
      <c r="B3119" s="26"/>
      <c r="C3119" s="26"/>
    </row>
    <row r="3120" ht="21" spans="1:3">
      <c r="A3120">
        <v>3119</v>
      </c>
      <c r="B3120" s="25" t="s">
        <v>16892</v>
      </c>
      <c r="C3120" s="26"/>
    </row>
    <row r="3121" ht="15.75" spans="1:3">
      <c r="A3121">
        <v>3120</v>
      </c>
      <c r="B3121" s="26"/>
      <c r="C3121" s="26"/>
    </row>
    <row r="3122" ht="15.75" spans="1:3">
      <c r="A3122">
        <v>3121</v>
      </c>
      <c r="B3122" s="26"/>
      <c r="C3122" s="26"/>
    </row>
    <row r="3123" ht="21" spans="1:3">
      <c r="A3123">
        <v>3122</v>
      </c>
      <c r="B3123" s="27" t="s">
        <v>16892</v>
      </c>
      <c r="C3123" s="26"/>
    </row>
    <row r="3124" ht="15.75" spans="1:3">
      <c r="A3124">
        <v>3123</v>
      </c>
      <c r="B3124" s="26"/>
      <c r="C3124" s="26"/>
    </row>
    <row r="3125" ht="15.75" spans="1:3">
      <c r="A3125">
        <v>3124</v>
      </c>
      <c r="B3125" s="26"/>
      <c r="C3125" s="26"/>
    </row>
    <row r="3126" ht="15.75" spans="1:3">
      <c r="A3126">
        <v>3125</v>
      </c>
      <c r="B3126" s="26"/>
      <c r="C3126" s="26"/>
    </row>
    <row r="3127" ht="21" spans="1:3">
      <c r="A3127">
        <v>3126</v>
      </c>
      <c r="B3127" s="27" t="s">
        <v>16892</v>
      </c>
      <c r="C3127" s="26"/>
    </row>
    <row r="3128" ht="21" spans="1:3">
      <c r="A3128">
        <v>3127</v>
      </c>
      <c r="B3128" s="25" t="s">
        <v>16892</v>
      </c>
      <c r="C3128" s="26"/>
    </row>
    <row r="3129" ht="21" spans="1:3">
      <c r="A3129">
        <v>3128</v>
      </c>
      <c r="B3129" s="25" t="s">
        <v>16892</v>
      </c>
      <c r="C3129" s="26"/>
    </row>
    <row r="3130" ht="21" spans="1:3">
      <c r="A3130">
        <v>3129</v>
      </c>
      <c r="B3130" s="25" t="s">
        <v>16892</v>
      </c>
      <c r="C3130" s="26"/>
    </row>
    <row r="3131" ht="21" spans="1:3">
      <c r="A3131">
        <v>3130</v>
      </c>
      <c r="B3131" s="27" t="s">
        <v>16892</v>
      </c>
      <c r="C3131" s="26"/>
    </row>
    <row r="3132" ht="21" spans="1:3">
      <c r="A3132">
        <v>3131</v>
      </c>
      <c r="B3132" s="27" t="s">
        <v>16892</v>
      </c>
      <c r="C3132" s="26"/>
    </row>
    <row r="3133" ht="21" spans="1:3">
      <c r="A3133">
        <v>3132</v>
      </c>
      <c r="B3133" s="25" t="s">
        <v>16892</v>
      </c>
      <c r="C3133" s="26"/>
    </row>
    <row r="3134" ht="15.75" spans="1:3">
      <c r="A3134">
        <v>3133</v>
      </c>
      <c r="B3134" s="26"/>
      <c r="C3134" s="26"/>
    </row>
    <row r="3135" ht="21" spans="1:3">
      <c r="A3135">
        <v>3134</v>
      </c>
      <c r="B3135" s="27" t="s">
        <v>16892</v>
      </c>
      <c r="C3135" s="26"/>
    </row>
    <row r="3136" ht="21" spans="1:3">
      <c r="A3136">
        <v>3135</v>
      </c>
      <c r="B3136" s="25" t="s">
        <v>16892</v>
      </c>
      <c r="C3136" s="26"/>
    </row>
    <row r="3137" ht="15.75" spans="1:3">
      <c r="A3137">
        <v>3136</v>
      </c>
      <c r="B3137" s="26"/>
      <c r="C3137" s="26"/>
    </row>
    <row r="3138" ht="21" spans="1:3">
      <c r="A3138">
        <v>3137</v>
      </c>
      <c r="B3138" s="25" t="s">
        <v>16892</v>
      </c>
      <c r="C3138" s="26"/>
    </row>
    <row r="3139" ht="21" spans="1:3">
      <c r="A3139">
        <v>3138</v>
      </c>
      <c r="B3139" s="25" t="s">
        <v>16892</v>
      </c>
      <c r="C3139" s="26"/>
    </row>
    <row r="3140" ht="21" spans="1:3">
      <c r="A3140">
        <v>3139</v>
      </c>
      <c r="B3140" s="27" t="s">
        <v>16892</v>
      </c>
      <c r="C3140" s="26"/>
    </row>
    <row r="3141" ht="21" spans="1:3">
      <c r="A3141">
        <v>3140</v>
      </c>
      <c r="B3141" s="25" t="s">
        <v>16892</v>
      </c>
      <c r="C3141" s="26"/>
    </row>
    <row r="3142" ht="18" spans="1:3">
      <c r="A3142">
        <v>3141</v>
      </c>
      <c r="B3142" s="50" t="str">
        <f>IFERROR(__xludf.DUMMYFUNCTION("""COMPUTED_VALUE"""),"Robel(green land)")</f>
        <v>Robel(green land)</v>
      </c>
      <c r="C3142" s="50">
        <v>937858589</v>
      </c>
    </row>
    <row r="3143" ht="21" spans="1:3">
      <c r="A3143">
        <v>3142</v>
      </c>
      <c r="B3143" s="25" t="s">
        <v>16892</v>
      </c>
      <c r="C3143" s="26"/>
    </row>
    <row r="3144" ht="21" spans="1:3">
      <c r="A3144">
        <v>3143</v>
      </c>
      <c r="B3144" s="27" t="s">
        <v>16892</v>
      </c>
      <c r="C3144" s="26"/>
    </row>
    <row r="3145" ht="21" spans="1:3">
      <c r="A3145">
        <v>3144</v>
      </c>
      <c r="B3145" s="25" t="s">
        <v>16892</v>
      </c>
      <c r="C3145" s="26"/>
    </row>
    <row r="3146" ht="21" spans="1:3">
      <c r="A3146">
        <v>3145</v>
      </c>
      <c r="B3146" s="27" t="s">
        <v>16892</v>
      </c>
      <c r="C3146" s="26"/>
    </row>
    <row r="3147" ht="15.75" spans="1:3">
      <c r="A3147">
        <v>3146</v>
      </c>
      <c r="B3147" s="26"/>
      <c r="C3147" s="26"/>
    </row>
    <row r="3148" ht="18.75" spans="1:3">
      <c r="A3148">
        <v>3147</v>
      </c>
      <c r="B3148" s="32" t="str">
        <f>IFERROR(__xludf.DUMMYFUNCTION("""COMPUTED_VALUE"""),"እየሩሳሌም አንተነህ")</f>
        <v>እየሩሳሌም አንተነህ</v>
      </c>
      <c r="C3148" s="33">
        <v>916037593</v>
      </c>
    </row>
    <row r="3149" ht="21" spans="1:3">
      <c r="A3149">
        <v>3148</v>
      </c>
      <c r="B3149" s="27" t="s">
        <v>16892</v>
      </c>
      <c r="C3149" s="26"/>
    </row>
    <row r="3150" ht="15.75" spans="1:3">
      <c r="A3150">
        <v>3149</v>
      </c>
      <c r="B3150" s="26"/>
      <c r="C3150" s="26"/>
    </row>
    <row r="3151" ht="21" spans="1:3">
      <c r="A3151">
        <v>3150</v>
      </c>
      <c r="B3151" s="25" t="s">
        <v>16892</v>
      </c>
      <c r="C3151" s="26"/>
    </row>
    <row r="3152" ht="21" spans="1:3">
      <c r="A3152">
        <v>3151</v>
      </c>
      <c r="B3152" s="25" t="s">
        <v>16892</v>
      </c>
      <c r="C3152" s="26"/>
    </row>
    <row r="3153" ht="21" spans="1:3">
      <c r="A3153">
        <v>3152</v>
      </c>
      <c r="B3153" s="27" t="s">
        <v>16892</v>
      </c>
      <c r="C3153" s="26"/>
    </row>
    <row r="3154" ht="21" spans="1:3">
      <c r="A3154">
        <v>3153</v>
      </c>
      <c r="B3154" s="27" t="s">
        <v>16892</v>
      </c>
      <c r="C3154" s="26"/>
    </row>
    <row r="3155" ht="21" spans="1:3">
      <c r="A3155">
        <v>3154</v>
      </c>
      <c r="B3155" s="25" t="s">
        <v>16892</v>
      </c>
      <c r="C3155" s="26"/>
    </row>
    <row r="3156" ht="21" spans="1:3">
      <c r="A3156">
        <v>3155</v>
      </c>
      <c r="B3156" s="25" t="s">
        <v>16892</v>
      </c>
      <c r="C3156" s="26"/>
    </row>
    <row r="3157" ht="21" spans="1:3">
      <c r="A3157">
        <v>3156</v>
      </c>
      <c r="B3157" s="25" t="s">
        <v>16892</v>
      </c>
      <c r="C3157" s="26"/>
    </row>
    <row r="3158" ht="21" spans="1:3">
      <c r="A3158">
        <v>3157</v>
      </c>
      <c r="B3158" s="25" t="s">
        <v>16892</v>
      </c>
      <c r="C3158" s="26"/>
    </row>
    <row r="3159" ht="21" spans="1:3">
      <c r="A3159">
        <v>3158</v>
      </c>
      <c r="B3159" s="27" t="s">
        <v>16892</v>
      </c>
      <c r="C3159" s="26"/>
    </row>
    <row r="3160" ht="21" spans="1:3">
      <c r="A3160">
        <v>3159</v>
      </c>
      <c r="B3160" s="27" t="s">
        <v>16892</v>
      </c>
      <c r="C3160" s="26"/>
    </row>
    <row r="3161" ht="21" spans="1:3">
      <c r="A3161">
        <v>3160</v>
      </c>
      <c r="B3161" s="27" t="s">
        <v>16892</v>
      </c>
      <c r="C3161" s="26"/>
    </row>
    <row r="3162" ht="21" spans="1:3">
      <c r="A3162">
        <v>3161</v>
      </c>
      <c r="B3162" s="25" t="s">
        <v>16892</v>
      </c>
      <c r="C3162" s="26"/>
    </row>
    <row r="3163" ht="21" spans="1:3">
      <c r="A3163">
        <v>3162</v>
      </c>
      <c r="B3163" s="27" t="s">
        <v>16892</v>
      </c>
      <c r="C3163" s="26"/>
    </row>
    <row r="3164" ht="21" spans="1:3">
      <c r="A3164">
        <v>3163</v>
      </c>
      <c r="B3164" s="25" t="s">
        <v>16892</v>
      </c>
      <c r="C3164" s="26"/>
    </row>
    <row r="3165" ht="21" spans="1:3">
      <c r="A3165">
        <v>3164</v>
      </c>
      <c r="B3165" s="25" t="s">
        <v>16892</v>
      </c>
      <c r="C3165" s="26"/>
    </row>
    <row r="3166" ht="21" spans="1:3">
      <c r="A3166">
        <v>3165</v>
      </c>
      <c r="B3166" s="25" t="s">
        <v>16892</v>
      </c>
      <c r="C3166" s="26"/>
    </row>
    <row r="3167" ht="21" spans="1:3">
      <c r="A3167">
        <v>3166</v>
      </c>
      <c r="B3167" s="25" t="s">
        <v>16892</v>
      </c>
      <c r="C3167" s="26"/>
    </row>
    <row r="3168" ht="21" spans="1:3">
      <c r="A3168">
        <v>3167</v>
      </c>
      <c r="B3168" s="25" t="s">
        <v>16892</v>
      </c>
      <c r="C3168" s="26"/>
    </row>
    <row r="3169" ht="18.75" spans="1:3">
      <c r="A3169">
        <v>3168</v>
      </c>
      <c r="B3169" s="34" t="str">
        <f>IFERROR(__xludf.DUMMYFUNCTION("""COMPUTED_VALUE"""),"Ermias Birhan")</f>
        <v>Ermias Birhan</v>
      </c>
      <c r="C3169" s="34">
        <v>911477166</v>
      </c>
    </row>
    <row r="3170" ht="18.75" spans="1:3">
      <c r="A3170">
        <v>3169</v>
      </c>
      <c r="B3170" s="34" t="str">
        <f>IFERROR(__xludf.DUMMYFUNCTION("""COMPUTED_VALUE"""),"Ermias Birhan")</f>
        <v>Ermias Birhan</v>
      </c>
      <c r="C3170" s="34">
        <v>911477166</v>
      </c>
    </row>
    <row r="3171" ht="21" spans="1:3">
      <c r="A3171">
        <v>3170</v>
      </c>
      <c r="B3171" s="27" t="s">
        <v>16892</v>
      </c>
      <c r="C3171" s="26"/>
    </row>
    <row r="3172" ht="21" spans="1:3">
      <c r="A3172">
        <v>3171</v>
      </c>
      <c r="B3172" s="25" t="s">
        <v>16892</v>
      </c>
      <c r="C3172" s="26"/>
    </row>
    <row r="3173" ht="21" spans="1:3">
      <c r="A3173">
        <v>3172</v>
      </c>
      <c r="B3173" s="27" t="s">
        <v>16892</v>
      </c>
      <c r="C3173" s="26"/>
    </row>
    <row r="3174" ht="21" spans="1:3">
      <c r="A3174">
        <v>3173</v>
      </c>
      <c r="B3174" s="25" t="s">
        <v>16892</v>
      </c>
      <c r="C3174" s="26"/>
    </row>
    <row r="3175" ht="21" spans="1:3">
      <c r="A3175">
        <v>3174</v>
      </c>
      <c r="B3175" s="27" t="s">
        <v>16892</v>
      </c>
      <c r="C3175" s="26"/>
    </row>
    <row r="3176" ht="15.75" spans="1:3">
      <c r="A3176">
        <v>3175</v>
      </c>
      <c r="B3176" s="26"/>
      <c r="C3176" s="26"/>
    </row>
    <row r="3177" ht="21" spans="1:3">
      <c r="A3177">
        <v>3176</v>
      </c>
      <c r="B3177" s="25" t="s">
        <v>16892</v>
      </c>
      <c r="C3177" s="26"/>
    </row>
    <row r="3178" ht="21" spans="1:3">
      <c r="A3178">
        <v>3177</v>
      </c>
      <c r="B3178" s="25" t="s">
        <v>16892</v>
      </c>
      <c r="C3178" s="26"/>
    </row>
    <row r="3179" ht="21" spans="1:3">
      <c r="A3179">
        <v>3178</v>
      </c>
      <c r="B3179" s="27" t="s">
        <v>16892</v>
      </c>
      <c r="C3179" s="26"/>
    </row>
    <row r="3180" ht="21" spans="1:3">
      <c r="A3180">
        <v>3179</v>
      </c>
      <c r="B3180" s="27" t="s">
        <v>16892</v>
      </c>
      <c r="C3180" s="26"/>
    </row>
    <row r="3181" ht="21" spans="1:3">
      <c r="A3181">
        <v>3180</v>
      </c>
      <c r="B3181" s="27" t="s">
        <v>16892</v>
      </c>
      <c r="C3181" s="26"/>
    </row>
    <row r="3182" ht="21" spans="1:3">
      <c r="A3182">
        <v>3181</v>
      </c>
      <c r="B3182" s="25" t="s">
        <v>16892</v>
      </c>
      <c r="C3182" s="26"/>
    </row>
    <row r="3183" ht="21" spans="1:3">
      <c r="A3183">
        <v>3182</v>
      </c>
      <c r="B3183" s="25" t="s">
        <v>16892</v>
      </c>
      <c r="C3183" s="26"/>
    </row>
    <row r="3184" ht="21" spans="1:3">
      <c r="A3184">
        <v>3183</v>
      </c>
      <c r="B3184" s="27" t="s">
        <v>16892</v>
      </c>
      <c r="C3184" s="26"/>
    </row>
    <row r="3185" ht="21" spans="1:3">
      <c r="A3185">
        <v>3184</v>
      </c>
      <c r="B3185" s="25" t="s">
        <v>16892</v>
      </c>
      <c r="C3185" s="26"/>
    </row>
    <row r="3186" ht="15.75" spans="1:3">
      <c r="A3186">
        <v>3185</v>
      </c>
      <c r="B3186" s="26"/>
      <c r="C3186" s="26"/>
    </row>
    <row r="3187" ht="21" spans="1:3">
      <c r="A3187">
        <v>3186</v>
      </c>
      <c r="B3187" s="25" t="s">
        <v>16892</v>
      </c>
      <c r="C3187" s="26"/>
    </row>
    <row r="3188" ht="21" spans="1:3">
      <c r="A3188">
        <v>3187</v>
      </c>
      <c r="B3188" s="27" t="s">
        <v>16892</v>
      </c>
      <c r="C3188" s="26"/>
    </row>
    <row r="3189" ht="21" spans="1:3">
      <c r="A3189">
        <v>3188</v>
      </c>
      <c r="B3189" s="25" t="s">
        <v>16892</v>
      </c>
      <c r="C3189" s="26"/>
    </row>
    <row r="3190" ht="21" spans="1:3">
      <c r="A3190">
        <v>3189</v>
      </c>
      <c r="B3190" s="27" t="s">
        <v>16892</v>
      </c>
      <c r="C3190" s="26"/>
    </row>
    <row r="3191" ht="21" spans="1:3">
      <c r="A3191">
        <v>3190</v>
      </c>
      <c r="B3191" s="25" t="s">
        <v>16892</v>
      </c>
      <c r="C3191" s="26"/>
    </row>
    <row r="3192" ht="15.75" spans="1:3">
      <c r="A3192">
        <v>3191</v>
      </c>
      <c r="B3192" s="29"/>
      <c r="C3192" s="29"/>
    </row>
    <row r="3193" ht="15.75" spans="1:3">
      <c r="A3193">
        <v>3192</v>
      </c>
      <c r="B3193" s="29"/>
      <c r="C3193" s="29"/>
    </row>
    <row r="3194" ht="15.75" spans="1:3">
      <c r="A3194">
        <v>3193</v>
      </c>
      <c r="B3194" s="26"/>
      <c r="C3194" s="26"/>
    </row>
    <row r="3195" ht="21" spans="1:3">
      <c r="A3195">
        <v>3194</v>
      </c>
      <c r="B3195" s="27" t="s">
        <v>16892</v>
      </c>
      <c r="C3195" s="26"/>
    </row>
    <row r="3196" ht="21" spans="1:3">
      <c r="A3196">
        <v>3195</v>
      </c>
      <c r="B3196" s="25" t="s">
        <v>16892</v>
      </c>
      <c r="C3196" s="26"/>
    </row>
    <row r="3197" ht="21" spans="1:3">
      <c r="A3197">
        <v>3196</v>
      </c>
      <c r="B3197" s="25" t="s">
        <v>16892</v>
      </c>
      <c r="C3197" s="26"/>
    </row>
    <row r="3198" ht="21" spans="1:3">
      <c r="A3198">
        <v>3197</v>
      </c>
      <c r="B3198" s="25" t="s">
        <v>16892</v>
      </c>
      <c r="C3198" s="26"/>
    </row>
    <row r="3199" ht="21" spans="1:3">
      <c r="A3199">
        <v>3198</v>
      </c>
      <c r="B3199" s="27" t="s">
        <v>16892</v>
      </c>
      <c r="C3199" s="26"/>
    </row>
    <row r="3200" ht="21" spans="1:3">
      <c r="A3200">
        <v>3199</v>
      </c>
      <c r="B3200" s="25" t="s">
        <v>16892</v>
      </c>
      <c r="C3200" s="26"/>
    </row>
    <row r="3201" ht="21" spans="1:3">
      <c r="A3201">
        <v>3200</v>
      </c>
      <c r="B3201" s="25" t="s">
        <v>16892</v>
      </c>
      <c r="C3201" s="26"/>
    </row>
    <row r="3202" ht="15.75" spans="1:3">
      <c r="A3202">
        <v>3201</v>
      </c>
      <c r="B3202" s="26"/>
      <c r="C3202" s="26"/>
    </row>
    <row r="3203" spans="1:3">
      <c r="A3203">
        <v>3202</v>
      </c>
      <c r="B3203" s="51" t="s">
        <v>16926</v>
      </c>
      <c r="C3203" s="36">
        <v>909373493</v>
      </c>
    </row>
    <row r="3204" ht="21" spans="1:3">
      <c r="A3204">
        <v>3203</v>
      </c>
      <c r="B3204" s="25" t="s">
        <v>16892</v>
      </c>
      <c r="C3204" s="26"/>
    </row>
    <row r="3205" ht="21" spans="1:3">
      <c r="A3205">
        <v>3204</v>
      </c>
      <c r="B3205" s="25" t="s">
        <v>16892</v>
      </c>
      <c r="C3205" s="26"/>
    </row>
    <row r="3206" ht="21" spans="1:3">
      <c r="A3206">
        <v>3205</v>
      </c>
      <c r="B3206" s="27" t="s">
        <v>16892</v>
      </c>
      <c r="C3206" s="26"/>
    </row>
    <row r="3207" ht="21" spans="1:3">
      <c r="A3207">
        <v>3206</v>
      </c>
      <c r="B3207" s="27" t="s">
        <v>16892</v>
      </c>
      <c r="C3207" s="26"/>
    </row>
    <row r="3208" ht="21" spans="1:3">
      <c r="A3208">
        <v>3207</v>
      </c>
      <c r="B3208" s="25" t="s">
        <v>16892</v>
      </c>
      <c r="C3208" s="26"/>
    </row>
    <row r="3209" ht="21" spans="1:3">
      <c r="A3209">
        <v>3208</v>
      </c>
      <c r="B3209" s="25" t="s">
        <v>16892</v>
      </c>
      <c r="C3209" s="26"/>
    </row>
    <row r="3210" ht="15.75" spans="1:3">
      <c r="A3210">
        <v>3209</v>
      </c>
      <c r="B3210" s="26"/>
      <c r="C3210" s="26"/>
    </row>
    <row r="3211" ht="21" spans="1:3">
      <c r="A3211">
        <v>3210</v>
      </c>
      <c r="B3211" s="27" t="s">
        <v>16892</v>
      </c>
      <c r="C3211" s="26"/>
    </row>
    <row r="3212" ht="21" spans="1:3">
      <c r="A3212">
        <v>3211</v>
      </c>
      <c r="B3212" s="27" t="s">
        <v>16892</v>
      </c>
      <c r="C3212" s="26"/>
    </row>
    <row r="3213" ht="21" spans="1:3">
      <c r="A3213">
        <v>3212</v>
      </c>
      <c r="B3213" s="25" t="s">
        <v>16892</v>
      </c>
      <c r="C3213" s="26"/>
    </row>
    <row r="3214" ht="21" spans="1:3">
      <c r="A3214">
        <v>3213</v>
      </c>
      <c r="B3214" s="27" t="s">
        <v>16892</v>
      </c>
      <c r="C3214" s="26"/>
    </row>
    <row r="3215" ht="21" spans="1:3">
      <c r="A3215">
        <v>3214</v>
      </c>
      <c r="B3215" s="27" t="s">
        <v>16892</v>
      </c>
      <c r="C3215" s="26"/>
    </row>
    <row r="3216" ht="21" spans="1:3">
      <c r="A3216">
        <v>3215</v>
      </c>
      <c r="B3216" s="25" t="s">
        <v>16902</v>
      </c>
      <c r="C3216" s="26"/>
    </row>
    <row r="3217" ht="15.75" spans="1:3">
      <c r="A3217">
        <v>3216</v>
      </c>
      <c r="B3217" s="26"/>
      <c r="C3217" s="26"/>
    </row>
    <row r="3218" ht="15.75" spans="1:3">
      <c r="A3218">
        <v>3217</v>
      </c>
      <c r="B3218" s="26"/>
      <c r="C3218" s="26"/>
    </row>
    <row r="3219" ht="21" spans="1:3">
      <c r="A3219">
        <v>3218</v>
      </c>
      <c r="B3219" s="27" t="s">
        <v>16892</v>
      </c>
      <c r="C3219" s="26"/>
    </row>
    <row r="3220" ht="21" spans="1:3">
      <c r="A3220">
        <v>3219</v>
      </c>
      <c r="B3220" s="25" t="s">
        <v>16892</v>
      </c>
      <c r="C3220" s="26"/>
    </row>
    <row r="3221" ht="21" spans="1:3">
      <c r="A3221">
        <v>3220</v>
      </c>
      <c r="B3221" s="27" t="s">
        <v>16892</v>
      </c>
      <c r="C3221" s="26"/>
    </row>
    <row r="3222" ht="15.75" spans="1:3">
      <c r="A3222">
        <v>3221</v>
      </c>
      <c r="B3222" s="26"/>
      <c r="C3222" s="26"/>
    </row>
    <row r="3223" ht="21" spans="1:3">
      <c r="A3223">
        <v>3222</v>
      </c>
      <c r="B3223" s="27" t="s">
        <v>16892</v>
      </c>
      <c r="C3223" s="26"/>
    </row>
    <row r="3224" ht="21" spans="1:3">
      <c r="A3224">
        <v>3223</v>
      </c>
      <c r="B3224" s="27" t="s">
        <v>16892</v>
      </c>
      <c r="C3224" s="26"/>
    </row>
    <row r="3225" ht="21" spans="1:3">
      <c r="A3225">
        <v>3224</v>
      </c>
      <c r="B3225" s="25" t="s">
        <v>16892</v>
      </c>
      <c r="C3225" s="26"/>
    </row>
    <row r="3226" ht="15.75" spans="1:3">
      <c r="A3226">
        <v>3225</v>
      </c>
      <c r="B3226" s="29"/>
      <c r="C3226" s="29"/>
    </row>
    <row r="3227" ht="15.75" spans="1:3">
      <c r="A3227">
        <v>3226</v>
      </c>
      <c r="B3227" s="29"/>
      <c r="C3227" s="29"/>
    </row>
    <row r="3228" ht="21" spans="1:3">
      <c r="A3228">
        <v>3227</v>
      </c>
      <c r="B3228" s="27" t="s">
        <v>16892</v>
      </c>
      <c r="C3228" s="26"/>
    </row>
    <row r="3229" ht="21" spans="1:3">
      <c r="A3229">
        <v>3228</v>
      </c>
      <c r="B3229" s="27" t="s">
        <v>16892</v>
      </c>
      <c r="C3229" s="26"/>
    </row>
    <row r="3230" ht="15.75" spans="1:3">
      <c r="A3230">
        <v>3229</v>
      </c>
      <c r="B3230" s="26"/>
      <c r="C3230" s="26"/>
    </row>
    <row r="3231" ht="15.75" spans="1:3">
      <c r="A3231">
        <v>3230</v>
      </c>
      <c r="B3231" s="26"/>
      <c r="C3231" s="26"/>
    </row>
    <row r="3232" ht="21" spans="1:3">
      <c r="A3232">
        <v>3231</v>
      </c>
      <c r="B3232" s="25" t="s">
        <v>16892</v>
      </c>
      <c r="C3232" s="26"/>
    </row>
    <row r="3233" ht="21" spans="1:3">
      <c r="A3233">
        <v>3232</v>
      </c>
      <c r="B3233" s="25" t="s">
        <v>16892</v>
      </c>
      <c r="C3233" s="26"/>
    </row>
    <row r="3234" ht="21" spans="1:3">
      <c r="A3234">
        <v>3233</v>
      </c>
      <c r="B3234" s="25" t="s">
        <v>16892</v>
      </c>
      <c r="C3234" s="26"/>
    </row>
    <row r="3235" ht="21" spans="1:3">
      <c r="A3235">
        <v>3234</v>
      </c>
      <c r="B3235" s="25" t="s">
        <v>16892</v>
      </c>
      <c r="C3235" s="26"/>
    </row>
    <row r="3236" ht="21" spans="1:3">
      <c r="A3236">
        <v>3235</v>
      </c>
      <c r="B3236" s="27" t="s">
        <v>16892</v>
      </c>
      <c r="C3236" s="26"/>
    </row>
    <row r="3237" ht="21" spans="1:3">
      <c r="A3237">
        <v>3236</v>
      </c>
      <c r="B3237" s="27" t="s">
        <v>16892</v>
      </c>
      <c r="C3237" s="26"/>
    </row>
    <row r="3238" ht="15.75" spans="1:3">
      <c r="A3238">
        <v>3237</v>
      </c>
      <c r="B3238" s="26"/>
      <c r="C3238" s="26"/>
    </row>
    <row r="3239" ht="15.75" spans="1:3">
      <c r="A3239">
        <v>3238</v>
      </c>
      <c r="B3239" s="26"/>
      <c r="C3239" s="26"/>
    </row>
    <row r="3240" ht="15.75" spans="1:3">
      <c r="A3240">
        <v>3239</v>
      </c>
      <c r="B3240" s="26"/>
      <c r="C3240" s="26"/>
    </row>
    <row r="3241" ht="21" spans="1:3">
      <c r="A3241">
        <v>3240</v>
      </c>
      <c r="B3241" s="25" t="s">
        <v>16892</v>
      </c>
      <c r="C3241" s="26"/>
    </row>
    <row r="3242" ht="21" spans="1:3">
      <c r="A3242">
        <v>3241</v>
      </c>
      <c r="B3242" s="27" t="s">
        <v>16892</v>
      </c>
      <c r="C3242" s="26"/>
    </row>
    <row r="3243" ht="21" spans="1:3">
      <c r="A3243">
        <v>3242</v>
      </c>
      <c r="B3243" s="27" t="s">
        <v>16892</v>
      </c>
      <c r="C3243" s="26"/>
    </row>
    <row r="3244" ht="21" spans="1:3">
      <c r="A3244">
        <v>3243</v>
      </c>
      <c r="B3244" s="27" t="s">
        <v>16892</v>
      </c>
      <c r="C3244" s="26"/>
    </row>
    <row r="3245" ht="21" spans="1:3">
      <c r="A3245">
        <v>3244</v>
      </c>
      <c r="B3245" s="27" t="s">
        <v>16892</v>
      </c>
      <c r="C3245" s="26"/>
    </row>
    <row r="3246" ht="21" spans="1:3">
      <c r="A3246">
        <v>3245</v>
      </c>
      <c r="B3246" s="25" t="s">
        <v>16892</v>
      </c>
      <c r="C3246" s="26"/>
    </row>
    <row r="3247" ht="21" spans="1:3">
      <c r="A3247">
        <v>3246</v>
      </c>
      <c r="B3247" s="25" t="s">
        <v>16892</v>
      </c>
      <c r="C3247" s="26"/>
    </row>
    <row r="3248" ht="21" spans="1:3">
      <c r="A3248">
        <v>3247</v>
      </c>
      <c r="B3248" s="25" t="s">
        <v>16892</v>
      </c>
      <c r="C3248" s="26"/>
    </row>
    <row r="3249" ht="21" spans="1:3">
      <c r="A3249">
        <v>3248</v>
      </c>
      <c r="B3249" s="25" t="s">
        <v>16892</v>
      </c>
      <c r="C3249" s="26"/>
    </row>
    <row r="3250" ht="21" spans="1:3">
      <c r="A3250">
        <v>3249</v>
      </c>
      <c r="B3250" s="27" t="s">
        <v>16892</v>
      </c>
      <c r="C3250" s="26"/>
    </row>
    <row r="3251" ht="21" spans="1:3">
      <c r="A3251">
        <v>3250</v>
      </c>
      <c r="B3251" s="27" t="s">
        <v>16892</v>
      </c>
      <c r="C3251" s="26"/>
    </row>
    <row r="3252" ht="15.75" spans="1:3">
      <c r="A3252">
        <v>3251</v>
      </c>
      <c r="B3252" s="26"/>
      <c r="C3252" s="26"/>
    </row>
    <row r="3253" ht="21" spans="1:3">
      <c r="A3253">
        <v>3252</v>
      </c>
      <c r="B3253" s="25" t="s">
        <v>16892</v>
      </c>
      <c r="C3253" s="26"/>
    </row>
    <row r="3254" ht="21" spans="1:3">
      <c r="A3254">
        <v>3253</v>
      </c>
      <c r="B3254" s="27" t="s">
        <v>16892</v>
      </c>
      <c r="C3254" s="26"/>
    </row>
    <row r="3255" ht="21" spans="1:3">
      <c r="A3255">
        <v>3254</v>
      </c>
      <c r="B3255" s="27" t="s">
        <v>16892</v>
      </c>
      <c r="C3255" s="26"/>
    </row>
    <row r="3256" ht="21" spans="1:3">
      <c r="A3256">
        <v>3255</v>
      </c>
      <c r="B3256" s="27" t="s">
        <v>16892</v>
      </c>
      <c r="C3256" s="26"/>
    </row>
    <row r="3257" ht="15.75" spans="1:3">
      <c r="A3257">
        <v>3256</v>
      </c>
      <c r="B3257" s="26"/>
      <c r="C3257" s="26"/>
    </row>
    <row r="3258" ht="21" spans="1:3">
      <c r="A3258">
        <v>3257</v>
      </c>
      <c r="B3258" s="25" t="s">
        <v>16892</v>
      </c>
      <c r="C3258" s="26"/>
    </row>
    <row r="3259" ht="21" spans="1:3">
      <c r="A3259">
        <v>3258</v>
      </c>
      <c r="B3259" s="25" t="s">
        <v>16892</v>
      </c>
      <c r="C3259" s="26"/>
    </row>
    <row r="3260" ht="21" spans="1:3">
      <c r="A3260">
        <v>3259</v>
      </c>
      <c r="B3260" s="25" t="s">
        <v>16892</v>
      </c>
      <c r="C3260" s="26"/>
    </row>
    <row r="3261" ht="15.75" spans="1:3">
      <c r="A3261">
        <v>3260</v>
      </c>
      <c r="B3261" s="26"/>
      <c r="C3261" s="26"/>
    </row>
    <row r="3262" ht="21" spans="1:3">
      <c r="A3262">
        <v>3261</v>
      </c>
      <c r="B3262" s="25" t="s">
        <v>16892</v>
      </c>
      <c r="C3262" s="26"/>
    </row>
    <row r="3263" ht="21" spans="1:3">
      <c r="A3263">
        <v>3262</v>
      </c>
      <c r="B3263" s="27" t="s">
        <v>16892</v>
      </c>
      <c r="C3263" s="26"/>
    </row>
    <row r="3264" ht="21" spans="1:3">
      <c r="A3264">
        <v>3263</v>
      </c>
      <c r="B3264" s="25" t="s">
        <v>16892</v>
      </c>
      <c r="C3264" s="26"/>
    </row>
    <row r="3265" ht="21" spans="1:3">
      <c r="A3265">
        <v>3264</v>
      </c>
      <c r="B3265" s="25" t="s">
        <v>16892</v>
      </c>
      <c r="C3265" s="26"/>
    </row>
    <row r="3266" ht="21" spans="1:3">
      <c r="A3266">
        <v>3265</v>
      </c>
      <c r="B3266" s="25" t="s">
        <v>16892</v>
      </c>
      <c r="C3266" s="26"/>
    </row>
    <row r="3267" ht="21" spans="1:3">
      <c r="A3267">
        <v>3266</v>
      </c>
      <c r="B3267" s="25" t="s">
        <v>16892</v>
      </c>
      <c r="C3267" s="26"/>
    </row>
    <row r="3268" ht="21" spans="1:3">
      <c r="A3268">
        <v>3267</v>
      </c>
      <c r="B3268" s="27" t="s">
        <v>16892</v>
      </c>
      <c r="C3268" s="26"/>
    </row>
    <row r="3269" ht="21" spans="1:3">
      <c r="A3269">
        <v>3268</v>
      </c>
      <c r="B3269" s="25" t="s">
        <v>16892</v>
      </c>
      <c r="C3269" s="26"/>
    </row>
    <row r="3270" ht="15.75" spans="1:3">
      <c r="A3270">
        <v>3269</v>
      </c>
      <c r="B3270" s="26"/>
      <c r="C3270" s="26"/>
    </row>
    <row r="3271" ht="15.75" spans="1:3">
      <c r="A3271">
        <v>3270</v>
      </c>
      <c r="B3271" s="26"/>
      <c r="C3271" s="26"/>
    </row>
    <row r="3272" ht="21" spans="1:3">
      <c r="A3272">
        <v>3271</v>
      </c>
      <c r="B3272" s="27" t="s">
        <v>16892</v>
      </c>
      <c r="C3272" s="26"/>
    </row>
    <row r="3273" ht="21" spans="1:3">
      <c r="A3273">
        <v>3272</v>
      </c>
      <c r="B3273" s="27" t="s">
        <v>16892</v>
      </c>
      <c r="C3273" s="26"/>
    </row>
    <row r="3274" ht="18.75" spans="1:3">
      <c r="A3274">
        <v>3273</v>
      </c>
      <c r="B3274" s="31" t="str">
        <f>IFERROR(__xludf.DUMMYFUNCTION("""COMPUTED_VALUE"""),"mesay tadese tekle")</f>
        <v>mesay tadese tekle</v>
      </c>
      <c r="C3274" s="30">
        <v>911901815</v>
      </c>
    </row>
    <row r="3275" ht="15.75" spans="1:3">
      <c r="A3275">
        <v>3274</v>
      </c>
      <c r="B3275" s="26"/>
      <c r="C3275" s="26"/>
    </row>
    <row r="3276" ht="21" spans="1:3">
      <c r="A3276">
        <v>3275</v>
      </c>
      <c r="B3276" s="25" t="s">
        <v>16892</v>
      </c>
      <c r="C3276" s="26"/>
    </row>
    <row r="3277" ht="21" spans="1:3">
      <c r="A3277">
        <v>3276</v>
      </c>
      <c r="B3277" s="25" t="s">
        <v>16892</v>
      </c>
      <c r="C3277" s="26"/>
    </row>
    <row r="3278" ht="21" spans="1:3">
      <c r="A3278">
        <v>3277</v>
      </c>
      <c r="B3278" s="27" t="s">
        <v>16892</v>
      </c>
      <c r="C3278" s="26"/>
    </row>
    <row r="3279" ht="15.75" spans="1:3">
      <c r="A3279">
        <v>3278</v>
      </c>
      <c r="B3279" s="26"/>
      <c r="C3279" s="26"/>
    </row>
    <row r="3280" ht="15.75" spans="1:3">
      <c r="A3280">
        <v>3279</v>
      </c>
      <c r="B3280" s="26"/>
      <c r="C3280" s="26"/>
    </row>
    <row r="3281" ht="21" spans="1:3">
      <c r="A3281">
        <v>3280</v>
      </c>
      <c r="B3281" s="27" t="s">
        <v>16892</v>
      </c>
      <c r="C3281" s="26"/>
    </row>
    <row r="3282" ht="21" spans="1:3">
      <c r="A3282">
        <v>3281</v>
      </c>
      <c r="B3282" s="27" t="s">
        <v>16892</v>
      </c>
      <c r="C3282" s="26"/>
    </row>
    <row r="3283" ht="21" spans="1:3">
      <c r="A3283">
        <v>3282</v>
      </c>
      <c r="B3283" s="25" t="s">
        <v>16914</v>
      </c>
      <c r="C3283" s="26"/>
    </row>
    <row r="3284" ht="21" spans="1:3">
      <c r="A3284">
        <v>3283</v>
      </c>
      <c r="B3284" s="27" t="s">
        <v>16892</v>
      </c>
      <c r="C3284" s="26"/>
    </row>
    <row r="3285" ht="21" spans="1:3">
      <c r="A3285">
        <v>3284</v>
      </c>
      <c r="B3285" s="27" t="s">
        <v>16892</v>
      </c>
      <c r="C3285" s="26"/>
    </row>
    <row r="3286" ht="21" spans="1:3">
      <c r="A3286">
        <v>3285</v>
      </c>
      <c r="B3286" s="27" t="s">
        <v>16892</v>
      </c>
      <c r="C3286" s="26"/>
    </row>
    <row r="3287" ht="21" spans="1:3">
      <c r="A3287">
        <v>3286</v>
      </c>
      <c r="B3287" s="25" t="s">
        <v>16892</v>
      </c>
      <c r="C3287" s="26"/>
    </row>
    <row r="3288" ht="21" spans="1:3">
      <c r="A3288">
        <v>3287</v>
      </c>
      <c r="B3288" s="27" t="s">
        <v>16892</v>
      </c>
      <c r="C3288" s="26"/>
    </row>
    <row r="3289" ht="21" spans="1:3">
      <c r="A3289">
        <v>3288</v>
      </c>
      <c r="B3289" s="27" t="s">
        <v>16892</v>
      </c>
      <c r="C3289" s="26"/>
    </row>
    <row r="3290" ht="21" spans="1:3">
      <c r="A3290">
        <v>3289</v>
      </c>
      <c r="B3290" s="25" t="s">
        <v>16892</v>
      </c>
      <c r="C3290" s="26"/>
    </row>
    <row r="3291" ht="18.75" spans="1:3">
      <c r="A3291">
        <v>3290</v>
      </c>
      <c r="B3291" s="31" t="str">
        <f>IFERROR(__xludf.DUMMYFUNCTION("""COMPUTED_VALUE"""),"deya tercha")</f>
        <v>deya tercha</v>
      </c>
      <c r="C3291" s="30">
        <v>943165734</v>
      </c>
    </row>
    <row r="3292" ht="21" spans="1:3">
      <c r="A3292">
        <v>3291</v>
      </c>
      <c r="B3292" s="27" t="s">
        <v>16892</v>
      </c>
      <c r="C3292" s="26"/>
    </row>
    <row r="3293" ht="21" spans="1:3">
      <c r="A3293">
        <v>3292</v>
      </c>
      <c r="B3293" s="27" t="s">
        <v>16892</v>
      </c>
      <c r="C3293" s="26"/>
    </row>
    <row r="3294" ht="21" spans="1:3">
      <c r="A3294">
        <v>3293</v>
      </c>
      <c r="B3294" s="25" t="s">
        <v>16892</v>
      </c>
      <c r="C3294" s="26"/>
    </row>
    <row r="3295" ht="15.75" spans="1:3">
      <c r="A3295">
        <v>3294</v>
      </c>
      <c r="B3295" s="26"/>
      <c r="C3295" s="26"/>
    </row>
    <row r="3296" ht="21" spans="1:3">
      <c r="A3296">
        <v>3295</v>
      </c>
      <c r="B3296" s="25" t="s">
        <v>16892</v>
      </c>
      <c r="C3296" s="26"/>
    </row>
    <row r="3297" ht="21" spans="1:3">
      <c r="A3297">
        <v>3296</v>
      </c>
      <c r="B3297" s="25" t="s">
        <v>16892</v>
      </c>
      <c r="C3297" s="26"/>
    </row>
    <row r="3298" ht="21" spans="1:3">
      <c r="A3298">
        <v>3297</v>
      </c>
      <c r="B3298" s="27" t="s">
        <v>16892</v>
      </c>
      <c r="C3298" s="26"/>
    </row>
    <row r="3299" ht="21" spans="1:3">
      <c r="A3299">
        <v>3298</v>
      </c>
      <c r="B3299" s="25" t="s">
        <v>16892</v>
      </c>
      <c r="C3299" s="26"/>
    </row>
    <row r="3300" ht="21" spans="1:3">
      <c r="A3300">
        <v>3299</v>
      </c>
      <c r="B3300" s="25" t="s">
        <v>16892</v>
      </c>
      <c r="C3300" s="26"/>
    </row>
    <row r="3301" ht="21" spans="1:3">
      <c r="A3301">
        <v>3300</v>
      </c>
      <c r="B3301" s="27" t="s">
        <v>16892</v>
      </c>
      <c r="C3301" s="26"/>
    </row>
    <row r="3302" ht="21" spans="1:3">
      <c r="A3302">
        <v>3301</v>
      </c>
      <c r="B3302" s="27" t="s">
        <v>16892</v>
      </c>
      <c r="C3302" s="26"/>
    </row>
    <row r="3303" ht="21" spans="1:3">
      <c r="A3303">
        <v>3302</v>
      </c>
      <c r="B3303" s="25" t="s">
        <v>16892</v>
      </c>
      <c r="C3303" s="26"/>
    </row>
    <row r="3304" ht="21" spans="1:3">
      <c r="A3304">
        <v>3303</v>
      </c>
      <c r="B3304" s="25" t="s">
        <v>16892</v>
      </c>
      <c r="C3304" s="26"/>
    </row>
    <row r="3305" ht="15.75" spans="1:3">
      <c r="A3305">
        <v>3304</v>
      </c>
      <c r="B3305" s="26"/>
      <c r="C3305" s="26"/>
    </row>
    <row r="3306" ht="21" spans="1:3">
      <c r="A3306">
        <v>3305</v>
      </c>
      <c r="B3306" s="25" t="s">
        <v>16892</v>
      </c>
      <c r="C3306" s="26"/>
    </row>
    <row r="3307" ht="21" spans="1:3">
      <c r="A3307">
        <v>3306</v>
      </c>
      <c r="B3307" s="25" t="s">
        <v>16892</v>
      </c>
      <c r="C3307" s="26"/>
    </row>
    <row r="3308" ht="18" spans="1:3">
      <c r="A3308">
        <v>3307</v>
      </c>
      <c r="B3308" s="31" t="str">
        <f>IFERROR(__xludf.DUMMYFUNCTION("""COMPUTED_VALUE"""),"tadese kebede")</f>
        <v>tadese kebede</v>
      </c>
      <c r="C3308" s="31">
        <v>912070409</v>
      </c>
    </row>
    <row r="3309" ht="21" spans="1:3">
      <c r="A3309">
        <v>3308</v>
      </c>
      <c r="B3309" s="27" t="s">
        <v>16892</v>
      </c>
      <c r="C3309" s="26"/>
    </row>
    <row r="3310" ht="21" spans="1:3">
      <c r="A3310">
        <v>3309</v>
      </c>
      <c r="B3310" s="25" t="s">
        <v>16892</v>
      </c>
      <c r="C3310" s="26"/>
    </row>
    <row r="3311" ht="21" spans="1:3">
      <c r="A3311">
        <v>3310</v>
      </c>
      <c r="B3311" s="27" t="s">
        <v>16892</v>
      </c>
      <c r="C3311" s="26"/>
    </row>
    <row r="3312" ht="21" spans="1:3">
      <c r="A3312">
        <v>3311</v>
      </c>
      <c r="B3312" s="27" t="s">
        <v>16892</v>
      </c>
      <c r="C3312" s="26"/>
    </row>
    <row r="3313" ht="21" spans="1:3">
      <c r="A3313">
        <v>3312</v>
      </c>
      <c r="B3313" s="27" t="s">
        <v>16892</v>
      </c>
      <c r="C3313" s="26"/>
    </row>
    <row r="3314" ht="21" spans="1:3">
      <c r="A3314">
        <v>3313</v>
      </c>
      <c r="B3314" s="27" t="s">
        <v>16892</v>
      </c>
      <c r="C3314" s="26"/>
    </row>
    <row r="3315" ht="21" spans="1:3">
      <c r="A3315">
        <v>3314</v>
      </c>
      <c r="B3315" s="27" t="s">
        <v>16892</v>
      </c>
      <c r="C3315" s="26"/>
    </row>
    <row r="3316" ht="21" spans="1:3">
      <c r="A3316">
        <v>3315</v>
      </c>
      <c r="B3316" s="27" t="s">
        <v>16892</v>
      </c>
      <c r="C3316" s="26"/>
    </row>
    <row r="3317" ht="21" spans="1:3">
      <c r="A3317">
        <v>3316</v>
      </c>
      <c r="B3317" s="25" t="s">
        <v>16892</v>
      </c>
      <c r="C3317" s="26"/>
    </row>
    <row r="3318" ht="21" spans="1:3">
      <c r="A3318">
        <v>3317</v>
      </c>
      <c r="B3318" s="27" t="s">
        <v>16892</v>
      </c>
      <c r="C3318" s="26"/>
    </row>
    <row r="3319" ht="21" spans="1:3">
      <c r="A3319">
        <v>3318</v>
      </c>
      <c r="B3319" s="27" t="s">
        <v>16892</v>
      </c>
      <c r="C3319" s="26"/>
    </row>
    <row r="3320" ht="15.75" spans="1:3">
      <c r="A3320">
        <v>3319</v>
      </c>
      <c r="B3320" s="26"/>
      <c r="C3320" s="26"/>
    </row>
    <row r="3321" ht="21" spans="1:3">
      <c r="A3321">
        <v>3320</v>
      </c>
      <c r="B3321" s="27" t="s">
        <v>16892</v>
      </c>
      <c r="C3321" s="26"/>
    </row>
    <row r="3322" ht="21" spans="1:3">
      <c r="A3322">
        <v>3321</v>
      </c>
      <c r="B3322" s="27" t="s">
        <v>16892</v>
      </c>
      <c r="C3322" s="26"/>
    </row>
    <row r="3323" ht="15.75" spans="1:3">
      <c r="A3323">
        <v>3322</v>
      </c>
      <c r="B3323" s="26"/>
      <c r="C3323" s="26"/>
    </row>
    <row r="3324" ht="21" spans="1:3">
      <c r="A3324">
        <v>3323</v>
      </c>
      <c r="B3324" s="25" t="s">
        <v>16892</v>
      </c>
      <c r="C3324" s="26"/>
    </row>
    <row r="3325" ht="21" spans="1:3">
      <c r="A3325">
        <v>3324</v>
      </c>
      <c r="B3325" s="27" t="s">
        <v>16892</v>
      </c>
      <c r="C3325" s="26"/>
    </row>
    <row r="3326" ht="21" spans="1:3">
      <c r="A3326">
        <v>3325</v>
      </c>
      <c r="B3326" s="25" t="s">
        <v>16892</v>
      </c>
      <c r="C3326" s="26"/>
    </row>
    <row r="3327" ht="21" spans="1:3">
      <c r="A3327">
        <v>3326</v>
      </c>
      <c r="B3327" s="27" t="s">
        <v>16892</v>
      </c>
      <c r="C3327" s="26"/>
    </row>
    <row r="3328" ht="21" spans="1:3">
      <c r="A3328">
        <v>3327</v>
      </c>
      <c r="B3328" s="25" t="s">
        <v>16892</v>
      </c>
      <c r="C3328" s="26"/>
    </row>
    <row r="3329" ht="21" spans="1:3">
      <c r="A3329">
        <v>3328</v>
      </c>
      <c r="B3329" s="27" t="s">
        <v>16892</v>
      </c>
      <c r="C3329" s="26"/>
    </row>
    <row r="3330" ht="21" spans="1:3">
      <c r="A3330">
        <v>3329</v>
      </c>
      <c r="B3330" s="25" t="s">
        <v>16892</v>
      </c>
      <c r="C3330" s="26"/>
    </row>
    <row r="3331" ht="21" spans="1:3">
      <c r="A3331">
        <v>3330</v>
      </c>
      <c r="B3331" s="25" t="s">
        <v>16892</v>
      </c>
      <c r="C3331" s="26"/>
    </row>
    <row r="3332" ht="21" spans="1:3">
      <c r="A3332">
        <v>3331</v>
      </c>
      <c r="B3332" s="27" t="s">
        <v>16892</v>
      </c>
      <c r="C3332" s="26"/>
    </row>
    <row r="3333" ht="21" spans="1:3">
      <c r="A3333">
        <v>3332</v>
      </c>
      <c r="B3333" s="25" t="s">
        <v>16892</v>
      </c>
      <c r="C3333" s="26"/>
    </row>
    <row r="3334" ht="21" spans="1:3">
      <c r="A3334">
        <v>3333</v>
      </c>
      <c r="B3334" s="25" t="s">
        <v>16892</v>
      </c>
      <c r="C3334" s="26"/>
    </row>
    <row r="3335" ht="21" spans="1:3">
      <c r="A3335">
        <v>3334</v>
      </c>
      <c r="B3335" s="25" t="s">
        <v>16892</v>
      </c>
      <c r="C3335" s="26"/>
    </row>
    <row r="3336" ht="21" spans="1:3">
      <c r="A3336">
        <v>3335</v>
      </c>
      <c r="B3336" s="25" t="s">
        <v>16892</v>
      </c>
      <c r="C3336" s="26"/>
    </row>
    <row r="3337" ht="21" spans="1:3">
      <c r="A3337">
        <v>3336</v>
      </c>
      <c r="B3337" s="27" t="s">
        <v>16892</v>
      </c>
      <c r="C3337" s="26"/>
    </row>
    <row r="3338" ht="21" spans="1:3">
      <c r="A3338">
        <v>3337</v>
      </c>
      <c r="B3338" s="25" t="s">
        <v>16892</v>
      </c>
      <c r="C3338" s="26"/>
    </row>
    <row r="3339" ht="21" spans="1:3">
      <c r="A3339">
        <v>3338</v>
      </c>
      <c r="B3339" s="25" t="s">
        <v>16892</v>
      </c>
      <c r="C3339" s="26"/>
    </row>
    <row r="3340" ht="21" spans="1:3">
      <c r="A3340">
        <v>3339</v>
      </c>
      <c r="B3340" s="27" t="s">
        <v>16892</v>
      </c>
      <c r="C3340" s="26"/>
    </row>
    <row r="3341" ht="15.75" spans="1:3">
      <c r="A3341">
        <v>3340</v>
      </c>
      <c r="B3341" s="26"/>
      <c r="C3341" s="26"/>
    </row>
    <row r="3342" ht="21" spans="1:3">
      <c r="A3342">
        <v>3341</v>
      </c>
      <c r="B3342" s="25" t="s">
        <v>16892</v>
      </c>
      <c r="C3342" s="26"/>
    </row>
    <row r="3343" ht="21" spans="1:3">
      <c r="A3343">
        <v>3342</v>
      </c>
      <c r="B3343" s="25" t="s">
        <v>16892</v>
      </c>
      <c r="C3343" s="26"/>
    </row>
    <row r="3344" ht="21" spans="1:3">
      <c r="A3344">
        <v>3343</v>
      </c>
      <c r="B3344" s="25" t="s">
        <v>16892</v>
      </c>
      <c r="C3344" s="26"/>
    </row>
    <row r="3345" ht="21" spans="1:3">
      <c r="A3345">
        <v>3344</v>
      </c>
      <c r="B3345" s="25" t="s">
        <v>16892</v>
      </c>
      <c r="C3345" s="26"/>
    </row>
    <row r="3346" ht="15.75" spans="1:3">
      <c r="A3346">
        <v>3345</v>
      </c>
      <c r="B3346" s="26"/>
      <c r="C3346" s="26"/>
    </row>
    <row r="3347" ht="21" spans="1:3">
      <c r="A3347">
        <v>3346</v>
      </c>
      <c r="B3347" s="27" t="s">
        <v>16892</v>
      </c>
      <c r="C3347" s="26"/>
    </row>
    <row r="3348" ht="21" spans="1:3">
      <c r="A3348">
        <v>3347</v>
      </c>
      <c r="B3348" s="25" t="s">
        <v>16892</v>
      </c>
      <c r="C3348" s="26"/>
    </row>
    <row r="3349" ht="15.75" spans="1:3">
      <c r="A3349">
        <v>3348</v>
      </c>
      <c r="B3349" s="26"/>
      <c r="C3349" s="26"/>
    </row>
    <row r="3350" ht="21" spans="1:3">
      <c r="A3350">
        <v>3349</v>
      </c>
      <c r="B3350" s="27" t="s">
        <v>16892</v>
      </c>
      <c r="C3350" s="26"/>
    </row>
    <row r="3351" ht="21" spans="1:3">
      <c r="A3351">
        <v>3350</v>
      </c>
      <c r="B3351" s="27" t="s">
        <v>16892</v>
      </c>
      <c r="C3351" s="26"/>
    </row>
    <row r="3352" ht="21" spans="1:3">
      <c r="A3352">
        <v>3351</v>
      </c>
      <c r="B3352" s="27" t="s">
        <v>16892</v>
      </c>
      <c r="C3352" s="26"/>
    </row>
    <row r="3353" ht="18.75" spans="1:3">
      <c r="A3353">
        <v>3352</v>
      </c>
      <c r="B3353" s="31" t="str">
        <f>IFERROR(__xludf.DUMMYFUNCTION("""COMPUTED_VALUE"""),"Arbien")</f>
        <v>Arbien</v>
      </c>
      <c r="C3353" s="30"/>
    </row>
    <row r="3354" ht="15.75" spans="1:3">
      <c r="A3354">
        <v>3353</v>
      </c>
      <c r="B3354" s="26"/>
      <c r="C3354" s="26"/>
    </row>
    <row r="3355" ht="21" spans="1:3">
      <c r="A3355">
        <v>3354</v>
      </c>
      <c r="B3355" s="27" t="s">
        <v>16892</v>
      </c>
      <c r="C3355" s="26"/>
    </row>
    <row r="3356" ht="15.75" spans="1:3">
      <c r="A3356">
        <v>3355</v>
      </c>
      <c r="B3356" s="26"/>
      <c r="C3356" s="26"/>
    </row>
    <row r="3357" ht="21" spans="1:3">
      <c r="A3357">
        <v>3356</v>
      </c>
      <c r="B3357" s="25" t="s">
        <v>16892</v>
      </c>
      <c r="C3357" s="26"/>
    </row>
    <row r="3358" ht="15.75" spans="1:3">
      <c r="A3358">
        <v>3357</v>
      </c>
      <c r="B3358" s="26"/>
      <c r="C3358" s="26"/>
    </row>
    <row r="3359" ht="21" spans="1:3">
      <c r="A3359">
        <v>3358</v>
      </c>
      <c r="B3359" s="27" t="s">
        <v>16892</v>
      </c>
      <c r="C3359" s="26"/>
    </row>
    <row r="3360" ht="18" spans="1:3">
      <c r="A3360">
        <v>3359</v>
      </c>
      <c r="B3360" s="31" t="str">
        <f>IFERROR(__xludf.DUMMYFUNCTION("""COMPUTED_VALUE"""),"feven abebe")</f>
        <v>feven abebe</v>
      </c>
      <c r="C3360" s="31">
        <v>904630568</v>
      </c>
    </row>
    <row r="3361" ht="15.75" spans="1:3">
      <c r="A3361">
        <v>3360</v>
      </c>
      <c r="B3361" s="26"/>
      <c r="C3361" s="26"/>
    </row>
    <row r="3362" ht="21" spans="1:3">
      <c r="A3362">
        <v>3361</v>
      </c>
      <c r="B3362" s="25" t="s">
        <v>16892</v>
      </c>
      <c r="C3362" s="26"/>
    </row>
    <row r="3363" ht="21" spans="1:3">
      <c r="A3363">
        <v>3362</v>
      </c>
      <c r="B3363" s="25" t="s">
        <v>16892</v>
      </c>
      <c r="C3363" s="26"/>
    </row>
    <row r="3364" ht="15.75" spans="1:3">
      <c r="A3364">
        <v>3363</v>
      </c>
      <c r="B3364" s="26"/>
      <c r="C3364" s="26"/>
    </row>
    <row r="3365" ht="15.75" spans="1:3">
      <c r="A3365">
        <v>3364</v>
      </c>
      <c r="B3365" s="26"/>
      <c r="C3365" s="26"/>
    </row>
    <row r="3366" ht="21" spans="1:3">
      <c r="A3366">
        <v>3365</v>
      </c>
      <c r="B3366" s="25" t="s">
        <v>16892</v>
      </c>
      <c r="C3366" s="26"/>
    </row>
    <row r="3367" ht="21" spans="1:3">
      <c r="A3367">
        <v>3366</v>
      </c>
      <c r="B3367" s="25" t="s">
        <v>16892</v>
      </c>
      <c r="C3367" s="26"/>
    </row>
    <row r="3368" ht="21" spans="1:3">
      <c r="A3368">
        <v>3367</v>
      </c>
      <c r="B3368" s="27" t="s">
        <v>16892</v>
      </c>
      <c r="C3368" s="26"/>
    </row>
    <row r="3369" ht="15.75" spans="1:3">
      <c r="A3369">
        <v>3368</v>
      </c>
      <c r="B3369" s="26"/>
      <c r="C3369" s="26"/>
    </row>
    <row r="3370" ht="21" spans="1:3">
      <c r="A3370">
        <v>3369</v>
      </c>
      <c r="B3370" s="27" t="s">
        <v>16892</v>
      </c>
      <c r="C3370" s="26"/>
    </row>
    <row r="3371" ht="15.75" spans="1:3">
      <c r="A3371">
        <v>3370</v>
      </c>
      <c r="B3371" s="26"/>
      <c r="C3371" s="26"/>
    </row>
    <row r="3372" ht="21" spans="1:3">
      <c r="A3372">
        <v>3371</v>
      </c>
      <c r="B3372" s="27" t="s">
        <v>16892</v>
      </c>
      <c r="C3372" s="26"/>
    </row>
    <row r="3373" ht="21" spans="1:3">
      <c r="A3373">
        <v>3372</v>
      </c>
      <c r="B3373" s="27" t="s">
        <v>16892</v>
      </c>
      <c r="C3373" s="26"/>
    </row>
    <row r="3374" ht="15.75" spans="1:3">
      <c r="A3374">
        <v>3373</v>
      </c>
      <c r="B3374" s="26"/>
      <c r="C3374" s="26"/>
    </row>
    <row r="3375" ht="21" spans="1:3">
      <c r="A3375">
        <v>3374</v>
      </c>
      <c r="B3375" s="25" t="s">
        <v>16892</v>
      </c>
      <c r="C3375" s="26"/>
    </row>
    <row r="3376" ht="15.75" spans="1:3">
      <c r="A3376">
        <v>3375</v>
      </c>
      <c r="B3376" s="26"/>
      <c r="C3376" s="26"/>
    </row>
    <row r="3377" ht="21" spans="1:3">
      <c r="A3377">
        <v>3376</v>
      </c>
      <c r="B3377" s="25" t="s">
        <v>16892</v>
      </c>
      <c r="C3377" s="26"/>
    </row>
    <row r="3378" ht="21" spans="1:3">
      <c r="A3378">
        <v>3377</v>
      </c>
      <c r="B3378" s="25" t="s">
        <v>16892</v>
      </c>
      <c r="C3378" s="26"/>
    </row>
    <row r="3379" ht="15.75" spans="1:3">
      <c r="A3379">
        <v>3378</v>
      </c>
      <c r="B3379" s="26"/>
      <c r="C3379" s="26"/>
    </row>
    <row r="3380" ht="21" spans="1:3">
      <c r="A3380">
        <v>3379</v>
      </c>
      <c r="B3380" s="25" t="s">
        <v>16892</v>
      </c>
      <c r="C3380" s="26"/>
    </row>
    <row r="3381" ht="21" spans="1:3">
      <c r="A3381">
        <v>3380</v>
      </c>
      <c r="B3381" s="25" t="s">
        <v>16892</v>
      </c>
      <c r="C3381" s="26"/>
    </row>
    <row r="3382" ht="15.75" spans="1:3">
      <c r="A3382">
        <v>3381</v>
      </c>
      <c r="B3382" s="26"/>
      <c r="C3382" s="26"/>
    </row>
    <row r="3383" ht="21" spans="1:3">
      <c r="A3383">
        <v>3382</v>
      </c>
      <c r="B3383" s="27" t="s">
        <v>16892</v>
      </c>
      <c r="C3383" s="26"/>
    </row>
    <row r="3384" ht="21" spans="1:3">
      <c r="A3384">
        <v>3383</v>
      </c>
      <c r="B3384" s="25" t="s">
        <v>16892</v>
      </c>
      <c r="C3384" s="26"/>
    </row>
    <row r="3385" ht="21" spans="1:3">
      <c r="A3385">
        <v>3384</v>
      </c>
      <c r="B3385" s="25" t="s">
        <v>16892</v>
      </c>
      <c r="C3385" s="26"/>
    </row>
    <row r="3386" ht="21" spans="1:3">
      <c r="A3386">
        <v>3385</v>
      </c>
      <c r="B3386" s="27" t="s">
        <v>16902</v>
      </c>
      <c r="C3386" s="26"/>
    </row>
    <row r="3387" ht="21" spans="1:3">
      <c r="A3387">
        <v>3386</v>
      </c>
      <c r="B3387" s="25" t="s">
        <v>16892</v>
      </c>
      <c r="C3387" s="26"/>
    </row>
    <row r="3388" ht="21" spans="1:3">
      <c r="A3388">
        <v>3387</v>
      </c>
      <c r="B3388" s="27" t="s">
        <v>16892</v>
      </c>
      <c r="C3388" s="26"/>
    </row>
    <row r="3389" ht="21" spans="1:3">
      <c r="A3389">
        <v>3388</v>
      </c>
      <c r="B3389" s="25" t="s">
        <v>16892</v>
      </c>
      <c r="C3389" s="26"/>
    </row>
    <row r="3390" ht="15.75" spans="1:3">
      <c r="A3390">
        <v>3389</v>
      </c>
      <c r="B3390" s="26"/>
      <c r="C3390" s="26"/>
    </row>
    <row r="3391" ht="21" spans="1:3">
      <c r="A3391">
        <v>3390</v>
      </c>
      <c r="B3391" s="25" t="s">
        <v>16892</v>
      </c>
      <c r="C3391" s="26"/>
    </row>
    <row r="3392" ht="15.75" spans="1:3">
      <c r="A3392">
        <v>3391</v>
      </c>
      <c r="B3392" s="26"/>
      <c r="C3392" s="26"/>
    </row>
    <row r="3393" ht="21" spans="1:3">
      <c r="A3393">
        <v>3392</v>
      </c>
      <c r="B3393" s="25" t="s">
        <v>16892</v>
      </c>
      <c r="C3393" s="26"/>
    </row>
    <row r="3394" ht="21" spans="1:3">
      <c r="A3394">
        <v>3393</v>
      </c>
      <c r="B3394" s="25" t="s">
        <v>16892</v>
      </c>
      <c r="C3394" s="26"/>
    </row>
    <row r="3395" ht="21" spans="1:3">
      <c r="A3395">
        <v>3394</v>
      </c>
      <c r="B3395" s="25" t="s">
        <v>16892</v>
      </c>
      <c r="C3395" s="26"/>
    </row>
    <row r="3396" ht="21" spans="1:3">
      <c r="A3396">
        <v>3395</v>
      </c>
      <c r="B3396" s="27" t="s">
        <v>16892</v>
      </c>
      <c r="C3396" s="26"/>
    </row>
    <row r="3397" ht="21" spans="1:3">
      <c r="A3397">
        <v>3396</v>
      </c>
      <c r="B3397" s="27" t="s">
        <v>16892</v>
      </c>
      <c r="C3397" s="26"/>
    </row>
    <row r="3398" ht="21" spans="1:3">
      <c r="A3398">
        <v>3397</v>
      </c>
      <c r="B3398" s="25" t="s">
        <v>16892</v>
      </c>
      <c r="C3398" s="26"/>
    </row>
    <row r="3399" ht="15.75" spans="1:3">
      <c r="A3399">
        <v>3398</v>
      </c>
      <c r="B3399" s="26"/>
      <c r="C3399" s="26"/>
    </row>
    <row r="3400" ht="21" spans="1:3">
      <c r="A3400">
        <v>3399</v>
      </c>
      <c r="B3400" s="25" t="s">
        <v>16892</v>
      </c>
      <c r="C3400" s="26"/>
    </row>
    <row r="3401" ht="21" spans="1:3">
      <c r="A3401">
        <v>3400</v>
      </c>
      <c r="B3401" s="25" t="s">
        <v>16892</v>
      </c>
      <c r="C3401" s="26"/>
    </row>
    <row r="3402" ht="21" spans="1:3">
      <c r="A3402">
        <v>3401</v>
      </c>
      <c r="B3402" s="25" t="s">
        <v>16892</v>
      </c>
      <c r="C3402" s="26"/>
    </row>
    <row r="3403" ht="21" spans="1:3">
      <c r="A3403">
        <v>3402</v>
      </c>
      <c r="B3403" s="27" t="s">
        <v>16902</v>
      </c>
      <c r="C3403" s="26"/>
    </row>
    <row r="3404" ht="21" spans="1:3">
      <c r="A3404">
        <v>3403</v>
      </c>
      <c r="B3404" s="27" t="s">
        <v>16892</v>
      </c>
      <c r="C3404" s="26"/>
    </row>
    <row r="3405" ht="21" spans="1:3">
      <c r="A3405">
        <v>3404</v>
      </c>
      <c r="B3405" s="27" t="s">
        <v>16892</v>
      </c>
      <c r="C3405" s="26"/>
    </row>
    <row r="3406" ht="21" spans="1:3">
      <c r="A3406">
        <v>3405</v>
      </c>
      <c r="B3406" s="25" t="s">
        <v>16892</v>
      </c>
      <c r="C3406" s="26"/>
    </row>
    <row r="3407" ht="21" spans="1:3">
      <c r="A3407">
        <v>3406</v>
      </c>
      <c r="B3407" s="25" t="s">
        <v>16892</v>
      </c>
      <c r="C3407" s="26"/>
    </row>
    <row r="3408" ht="15.75" spans="1:3">
      <c r="A3408">
        <v>3407</v>
      </c>
      <c r="B3408" s="26"/>
      <c r="C3408" s="26"/>
    </row>
    <row r="3409" ht="15.75" spans="1:3">
      <c r="A3409">
        <v>3408</v>
      </c>
      <c r="B3409" s="26"/>
      <c r="C3409" s="26"/>
    </row>
    <row r="3410" ht="21" spans="1:3">
      <c r="A3410">
        <v>3409</v>
      </c>
      <c r="B3410" s="27" t="s">
        <v>16892</v>
      </c>
      <c r="C3410" s="26"/>
    </row>
    <row r="3411" ht="15.75" spans="1:3">
      <c r="A3411">
        <v>3410</v>
      </c>
      <c r="B3411" s="26"/>
      <c r="C3411" s="26"/>
    </row>
    <row r="3412" ht="21" spans="1:3">
      <c r="A3412">
        <v>3411</v>
      </c>
      <c r="B3412" s="25" t="s">
        <v>16892</v>
      </c>
      <c r="C3412" s="26"/>
    </row>
    <row r="3413" ht="21" spans="1:3">
      <c r="A3413">
        <v>3412</v>
      </c>
      <c r="B3413" s="25" t="s">
        <v>16892</v>
      </c>
      <c r="C3413" s="26"/>
    </row>
    <row r="3414" ht="21" spans="1:3">
      <c r="A3414">
        <v>3413</v>
      </c>
      <c r="B3414" s="27" t="s">
        <v>16892</v>
      </c>
      <c r="C3414" s="26"/>
    </row>
    <row r="3415" ht="21" spans="1:3">
      <c r="A3415">
        <v>3414</v>
      </c>
      <c r="B3415" s="25" t="s">
        <v>16892</v>
      </c>
      <c r="C3415" s="26"/>
    </row>
    <row r="3416" ht="21" spans="1:3">
      <c r="A3416">
        <v>3415</v>
      </c>
      <c r="B3416" s="27" t="s">
        <v>16892</v>
      </c>
      <c r="C3416" s="26"/>
    </row>
    <row r="3417" ht="21" spans="1:3">
      <c r="A3417">
        <v>3416</v>
      </c>
      <c r="B3417" s="25" t="s">
        <v>16892</v>
      </c>
      <c r="C3417" s="26"/>
    </row>
    <row r="3418" ht="21" spans="1:3">
      <c r="A3418">
        <v>3417</v>
      </c>
      <c r="B3418" s="25" t="s">
        <v>16892</v>
      </c>
      <c r="C3418" s="26"/>
    </row>
    <row r="3419" ht="21" spans="1:3">
      <c r="A3419">
        <v>3418</v>
      </c>
      <c r="B3419" s="27" t="s">
        <v>16892</v>
      </c>
      <c r="C3419" s="26"/>
    </row>
    <row r="3420" ht="15.75" spans="1:3">
      <c r="A3420">
        <v>3419</v>
      </c>
      <c r="B3420" s="26"/>
      <c r="C3420" s="26"/>
    </row>
    <row r="3421" ht="15.75" spans="1:3">
      <c r="A3421">
        <v>3420</v>
      </c>
      <c r="B3421" s="26"/>
      <c r="C3421" s="26"/>
    </row>
    <row r="3422" ht="21" spans="1:3">
      <c r="A3422">
        <v>3421</v>
      </c>
      <c r="B3422" s="27" t="s">
        <v>16892</v>
      </c>
      <c r="C3422" s="26"/>
    </row>
    <row r="3423" ht="21" spans="1:3">
      <c r="A3423">
        <v>3422</v>
      </c>
      <c r="B3423" s="25" t="s">
        <v>16892</v>
      </c>
      <c r="C3423" s="26"/>
    </row>
    <row r="3424" ht="21" spans="1:3">
      <c r="A3424">
        <v>3423</v>
      </c>
      <c r="B3424" s="25" t="s">
        <v>16892</v>
      </c>
      <c r="C3424" s="26"/>
    </row>
    <row r="3425" ht="21" spans="1:3">
      <c r="A3425">
        <v>3424</v>
      </c>
      <c r="B3425" s="25" t="s">
        <v>16892</v>
      </c>
      <c r="C3425" s="26"/>
    </row>
    <row r="3426" ht="15.75" spans="1:3">
      <c r="A3426">
        <v>3425</v>
      </c>
      <c r="B3426" s="26"/>
      <c r="C3426" s="26"/>
    </row>
    <row r="3427" ht="15.75" spans="1:3">
      <c r="A3427">
        <v>3426</v>
      </c>
      <c r="B3427" s="26"/>
      <c r="C3427" s="26"/>
    </row>
    <row r="3428" ht="15.75" spans="1:3">
      <c r="A3428">
        <v>3427</v>
      </c>
      <c r="B3428" s="26"/>
      <c r="C3428" s="26"/>
    </row>
    <row r="3429" ht="15.75" spans="1:3">
      <c r="A3429">
        <v>3428</v>
      </c>
      <c r="B3429" s="26"/>
      <c r="C3429" s="26"/>
    </row>
    <row r="3430" ht="18" spans="1:3">
      <c r="A3430">
        <v>3429</v>
      </c>
      <c r="B3430" s="31" t="str">
        <f>IFERROR(__xludf.DUMMYFUNCTION("""COMPUTED_VALUE"""),"firehiwot g/hiwot")</f>
        <v>firehiwot g/hiwot</v>
      </c>
      <c r="C3430" s="31"/>
    </row>
    <row r="3431" ht="15.75" spans="1:3">
      <c r="A3431">
        <v>3430</v>
      </c>
      <c r="B3431" s="26"/>
      <c r="C3431" s="26"/>
    </row>
    <row r="3432" ht="15.75" spans="1:3">
      <c r="A3432">
        <v>3431</v>
      </c>
      <c r="B3432" s="26"/>
      <c r="C3432" s="26"/>
    </row>
    <row r="3433" ht="15.75" spans="1:3">
      <c r="A3433">
        <v>3432</v>
      </c>
      <c r="B3433" s="26"/>
      <c r="C3433" s="26"/>
    </row>
    <row r="3434" ht="15.75" spans="1:3">
      <c r="A3434">
        <v>3433</v>
      </c>
      <c r="B3434" s="26"/>
      <c r="C3434" s="26"/>
    </row>
    <row r="3435" ht="15.75" spans="1:3">
      <c r="A3435">
        <v>3434</v>
      </c>
      <c r="B3435" s="26"/>
      <c r="C3435" s="26"/>
    </row>
    <row r="3436" ht="15.75" spans="1:3">
      <c r="A3436">
        <v>3435</v>
      </c>
      <c r="B3436" s="26"/>
      <c r="C3436" s="26"/>
    </row>
    <row r="3437" ht="15.75" spans="1:3">
      <c r="A3437">
        <v>3436</v>
      </c>
      <c r="B3437" s="26"/>
      <c r="C3437" s="26"/>
    </row>
    <row r="3438" ht="15.75" spans="1:3">
      <c r="A3438">
        <v>3437</v>
      </c>
      <c r="B3438" s="26"/>
      <c r="C3438" s="26"/>
    </row>
    <row r="3439" ht="15.75" spans="1:3">
      <c r="A3439">
        <v>3438</v>
      </c>
      <c r="B3439" s="26"/>
      <c r="C3439" s="26"/>
    </row>
    <row r="3440" ht="15.75" spans="1:3">
      <c r="A3440">
        <v>3439</v>
      </c>
      <c r="B3440" s="26"/>
      <c r="C3440" s="26"/>
    </row>
    <row r="3441" ht="15.75" spans="1:3">
      <c r="A3441">
        <v>3440</v>
      </c>
      <c r="B3441" s="26"/>
      <c r="C3441" s="26"/>
    </row>
    <row r="3442" ht="15.75" spans="1:3">
      <c r="A3442">
        <v>3441</v>
      </c>
      <c r="B3442" s="26"/>
      <c r="C3442" s="26"/>
    </row>
    <row r="3443" ht="15.75" spans="1:3">
      <c r="A3443">
        <v>3442</v>
      </c>
      <c r="B3443" s="26"/>
      <c r="C3443" s="26"/>
    </row>
    <row r="3444" ht="15.75" spans="1:3">
      <c r="A3444">
        <v>3443</v>
      </c>
      <c r="B3444" s="26"/>
      <c r="C3444" s="26"/>
    </row>
    <row r="3445" ht="15.75" spans="1:3">
      <c r="A3445">
        <v>3444</v>
      </c>
      <c r="B3445" s="26"/>
      <c r="C3445" s="26"/>
    </row>
    <row r="3446" ht="15.75" spans="1:3">
      <c r="A3446">
        <v>3445</v>
      </c>
      <c r="B3446" s="26"/>
      <c r="C3446" s="26"/>
    </row>
    <row r="3447" ht="15.75" spans="1:3">
      <c r="A3447">
        <v>3446</v>
      </c>
      <c r="B3447" s="26"/>
      <c r="C3447" s="26"/>
    </row>
    <row r="3448" ht="15.75" spans="1:3">
      <c r="A3448">
        <v>3447</v>
      </c>
      <c r="B3448" s="26"/>
      <c r="C3448" s="26"/>
    </row>
    <row r="3449" ht="15.75" spans="1:3">
      <c r="A3449">
        <v>3448</v>
      </c>
      <c r="B3449" s="26"/>
      <c r="C3449" s="26"/>
    </row>
    <row r="3450" ht="15.75" spans="1:3">
      <c r="A3450">
        <v>3449</v>
      </c>
      <c r="B3450" s="26"/>
      <c r="C3450" s="26"/>
    </row>
    <row r="3451" ht="15.75" spans="1:3">
      <c r="A3451">
        <v>3450</v>
      </c>
      <c r="B3451" s="26"/>
      <c r="C3451" s="26"/>
    </row>
    <row r="3452" ht="21" spans="1:3">
      <c r="A3452">
        <v>3451</v>
      </c>
      <c r="B3452" s="27" t="s">
        <v>16892</v>
      </c>
      <c r="C3452" s="26"/>
    </row>
    <row r="3453" ht="15.75" spans="1:3">
      <c r="A3453">
        <v>3452</v>
      </c>
      <c r="B3453" s="26"/>
      <c r="C3453" s="26"/>
    </row>
    <row r="3454" ht="21" spans="1:3">
      <c r="A3454">
        <v>3453</v>
      </c>
      <c r="B3454" s="25" t="s">
        <v>16892</v>
      </c>
      <c r="C3454" s="26"/>
    </row>
    <row r="3455" ht="21" spans="1:3">
      <c r="A3455">
        <v>3454</v>
      </c>
      <c r="B3455" s="25" t="s">
        <v>16892</v>
      </c>
      <c r="C3455" s="26"/>
    </row>
    <row r="3456" ht="18.75" spans="1:3">
      <c r="A3456">
        <v>3455</v>
      </c>
      <c r="B3456" s="31" t="str">
        <f>IFERROR(__xludf.DUMMYFUNCTION("""COMPUTED_VALUE"""),"tsigereda fisha")</f>
        <v>tsigereda fisha</v>
      </c>
      <c r="C3456" s="30">
        <v>963294069</v>
      </c>
    </row>
    <row r="3457" ht="15.75" spans="1:3">
      <c r="A3457">
        <v>3456</v>
      </c>
      <c r="B3457" s="26"/>
      <c r="C3457" s="26"/>
    </row>
    <row r="3458" ht="15.75" spans="1:3">
      <c r="A3458">
        <v>3457</v>
      </c>
      <c r="B3458" s="26"/>
      <c r="C3458" s="26"/>
    </row>
    <row r="3459" ht="21" spans="1:3">
      <c r="A3459">
        <v>3458</v>
      </c>
      <c r="B3459" s="25" t="s">
        <v>16892</v>
      </c>
      <c r="C3459" s="26"/>
    </row>
    <row r="3460" ht="15.75" spans="1:3">
      <c r="A3460">
        <v>3459</v>
      </c>
      <c r="B3460" s="26"/>
      <c r="C3460" s="26"/>
    </row>
    <row r="3461" ht="21" spans="1:3">
      <c r="A3461">
        <v>3460</v>
      </c>
      <c r="B3461" s="25" t="s">
        <v>16892</v>
      </c>
      <c r="C3461" s="26"/>
    </row>
    <row r="3462" ht="15.75" spans="1:3">
      <c r="A3462">
        <v>3461</v>
      </c>
      <c r="B3462" s="26"/>
      <c r="C3462" s="26"/>
    </row>
    <row r="3463" ht="21" spans="1:3">
      <c r="A3463">
        <v>3462</v>
      </c>
      <c r="B3463" s="27" t="s">
        <v>16892</v>
      </c>
      <c r="C3463" s="26"/>
    </row>
    <row r="3464" ht="15.75" spans="1:3">
      <c r="A3464">
        <v>3463</v>
      </c>
      <c r="B3464" s="26"/>
      <c r="C3464" s="26"/>
    </row>
    <row r="3465" ht="15.75" spans="1:3">
      <c r="A3465">
        <v>3464</v>
      </c>
      <c r="B3465" s="26"/>
      <c r="C3465" s="26"/>
    </row>
    <row r="3466" ht="21" spans="1:3">
      <c r="A3466">
        <v>3465</v>
      </c>
      <c r="B3466" s="27" t="s">
        <v>16892</v>
      </c>
      <c r="C3466" s="26"/>
    </row>
    <row r="3467" ht="15.75" spans="1:3">
      <c r="A3467">
        <v>3466</v>
      </c>
      <c r="B3467" s="26"/>
      <c r="C3467" s="26"/>
    </row>
    <row r="3468" ht="21" spans="1:3">
      <c r="A3468">
        <v>3467</v>
      </c>
      <c r="B3468" s="27" t="s">
        <v>16892</v>
      </c>
      <c r="C3468" s="26"/>
    </row>
    <row r="3469" ht="15.75" spans="1:3">
      <c r="A3469">
        <v>3468</v>
      </c>
      <c r="B3469" s="29"/>
      <c r="C3469" s="29"/>
    </row>
    <row r="3470" ht="15.75" spans="1:3">
      <c r="A3470">
        <v>3469</v>
      </c>
      <c r="B3470" s="29"/>
      <c r="C3470" s="29"/>
    </row>
    <row r="3471" ht="15.75" spans="1:3">
      <c r="A3471">
        <v>3470</v>
      </c>
      <c r="B3471" s="26"/>
      <c r="C3471" s="26"/>
    </row>
    <row r="3472" ht="21" spans="1:3">
      <c r="A3472">
        <v>3471</v>
      </c>
      <c r="B3472" s="25" t="s">
        <v>16892</v>
      </c>
      <c r="C3472" s="26"/>
    </row>
    <row r="3473" ht="21" spans="1:3">
      <c r="A3473">
        <v>3472</v>
      </c>
      <c r="B3473" s="27" t="s">
        <v>16892</v>
      </c>
      <c r="C3473" s="26"/>
    </row>
    <row r="3474" ht="21" spans="1:3">
      <c r="A3474">
        <v>3473</v>
      </c>
      <c r="B3474" s="27" t="s">
        <v>16892</v>
      </c>
      <c r="C3474" s="26"/>
    </row>
    <row r="3475" ht="21" spans="1:3">
      <c r="A3475">
        <v>3474</v>
      </c>
      <c r="B3475" s="25" t="s">
        <v>16892</v>
      </c>
      <c r="C3475" s="26"/>
    </row>
    <row r="3476" ht="21" spans="1:3">
      <c r="A3476">
        <v>3475</v>
      </c>
      <c r="B3476" s="27" t="s">
        <v>16892</v>
      </c>
      <c r="C3476" s="26"/>
    </row>
    <row r="3477" ht="15.75" spans="1:3">
      <c r="A3477">
        <v>3476</v>
      </c>
      <c r="B3477" s="26"/>
      <c r="C3477" s="26"/>
    </row>
    <row r="3478" ht="21" spans="1:3">
      <c r="A3478">
        <v>3477</v>
      </c>
      <c r="B3478" s="25" t="s">
        <v>16892</v>
      </c>
      <c r="C3478" s="26"/>
    </row>
    <row r="3479" ht="15.75" spans="1:3">
      <c r="A3479">
        <v>3478</v>
      </c>
      <c r="B3479" s="26"/>
      <c r="C3479" s="26"/>
    </row>
    <row r="3480" ht="21" spans="1:3">
      <c r="A3480">
        <v>3479</v>
      </c>
      <c r="B3480" s="27" t="s">
        <v>16892</v>
      </c>
      <c r="C3480" s="26"/>
    </row>
    <row r="3481" ht="21" spans="1:3">
      <c r="A3481">
        <v>3480</v>
      </c>
      <c r="B3481" s="25" t="s">
        <v>16892</v>
      </c>
      <c r="C3481" s="26"/>
    </row>
    <row r="3482" ht="21" spans="1:3">
      <c r="A3482">
        <v>3481</v>
      </c>
      <c r="B3482" s="27" t="s">
        <v>16892</v>
      </c>
      <c r="C3482" s="26"/>
    </row>
    <row r="3483" ht="21" spans="1:3">
      <c r="A3483">
        <v>3482</v>
      </c>
      <c r="B3483" s="27" t="s">
        <v>16892</v>
      </c>
      <c r="C3483" s="26"/>
    </row>
    <row r="3484" ht="21" spans="1:3">
      <c r="A3484">
        <v>3483</v>
      </c>
      <c r="B3484" s="27" t="s">
        <v>16892</v>
      </c>
      <c r="C3484" s="26"/>
    </row>
    <row r="3485" ht="21" spans="1:3">
      <c r="A3485">
        <v>3484</v>
      </c>
      <c r="B3485" s="25" t="s">
        <v>16892</v>
      </c>
      <c r="C3485" s="26"/>
    </row>
    <row r="3486" ht="15.75" spans="1:3">
      <c r="A3486">
        <v>3485</v>
      </c>
      <c r="B3486" s="26"/>
      <c r="C3486" s="26"/>
    </row>
    <row r="3487" ht="21" spans="1:3">
      <c r="A3487">
        <v>3486</v>
      </c>
      <c r="B3487" s="25" t="s">
        <v>16892</v>
      </c>
      <c r="C3487" s="26"/>
    </row>
    <row r="3488" ht="21" spans="1:3">
      <c r="A3488">
        <v>3487</v>
      </c>
      <c r="B3488" s="27" t="s">
        <v>16892</v>
      </c>
      <c r="C3488" s="26"/>
    </row>
    <row r="3489" ht="15.75" spans="1:3">
      <c r="A3489">
        <v>3488</v>
      </c>
      <c r="B3489" s="26"/>
      <c r="C3489" s="26"/>
    </row>
    <row r="3490" ht="15.75" spans="1:3">
      <c r="A3490">
        <v>3489</v>
      </c>
      <c r="B3490" s="26"/>
      <c r="C3490" s="26"/>
    </row>
    <row r="3491" ht="15.75" spans="1:3">
      <c r="A3491">
        <v>3490</v>
      </c>
      <c r="B3491" s="26"/>
      <c r="C3491" s="26"/>
    </row>
    <row r="3492" ht="15.75" spans="1:3">
      <c r="A3492">
        <v>3491</v>
      </c>
      <c r="B3492" s="26"/>
      <c r="C3492" s="26"/>
    </row>
    <row r="3493" ht="15.75" spans="1:3">
      <c r="A3493">
        <v>3492</v>
      </c>
      <c r="B3493" s="26"/>
      <c r="C3493" s="26"/>
    </row>
    <row r="3494" ht="15.75" spans="1:3">
      <c r="A3494">
        <v>3493</v>
      </c>
      <c r="B3494" s="26"/>
      <c r="C3494" s="26"/>
    </row>
    <row r="3495" spans="1:3">
      <c r="A3495">
        <v>3494</v>
      </c>
      <c r="B3495" s="52" t="s">
        <v>16927</v>
      </c>
      <c r="C3495" s="53">
        <v>911680849</v>
      </c>
    </row>
    <row r="3496" ht="15.75" spans="1:3">
      <c r="A3496">
        <v>3495</v>
      </c>
      <c r="B3496" s="26"/>
      <c r="C3496" s="26"/>
    </row>
    <row r="3497" ht="15.75" spans="1:3">
      <c r="A3497">
        <v>3496</v>
      </c>
      <c r="B3497" s="26"/>
      <c r="C3497" s="26"/>
    </row>
    <row r="3498" ht="15.75" spans="1:3">
      <c r="A3498">
        <v>3497</v>
      </c>
      <c r="B3498" s="29"/>
      <c r="C3498" s="29"/>
    </row>
    <row r="3499" ht="15.75" spans="1:3">
      <c r="A3499">
        <v>3498</v>
      </c>
      <c r="B3499" s="29"/>
      <c r="C3499" s="29"/>
    </row>
    <row r="3500" ht="15.75" spans="1:3">
      <c r="A3500">
        <v>3499</v>
      </c>
      <c r="B3500" s="26"/>
      <c r="C3500" s="26"/>
    </row>
    <row r="3501" ht="15.75" spans="1:3">
      <c r="A3501">
        <v>3500</v>
      </c>
      <c r="B3501" s="29"/>
      <c r="C3501" s="29"/>
    </row>
    <row r="3502" ht="15.75" spans="1:3">
      <c r="A3502">
        <v>3501</v>
      </c>
      <c r="B3502" s="29"/>
      <c r="C3502" s="29"/>
    </row>
    <row r="3503" ht="21" spans="1:3">
      <c r="A3503">
        <v>3502</v>
      </c>
      <c r="B3503" s="27" t="s">
        <v>16892</v>
      </c>
      <c r="C3503" s="26"/>
    </row>
    <row r="3504" ht="18.75" spans="1:3">
      <c r="A3504">
        <v>3503</v>
      </c>
      <c r="B3504" s="31" t="str">
        <f>IFERROR(__xludf.DUMMYFUNCTION("""COMPUTED_VALUE"""),"addis degefa")</f>
        <v>addis degefa</v>
      </c>
      <c r="C3504" s="30">
        <v>915794992</v>
      </c>
    </row>
    <row r="3505" ht="15.75" spans="1:3">
      <c r="A3505">
        <v>3504</v>
      </c>
      <c r="B3505" s="26"/>
      <c r="C3505" s="26"/>
    </row>
    <row r="3506" ht="15.75" spans="1:3">
      <c r="A3506">
        <v>3505</v>
      </c>
      <c r="B3506" s="26"/>
      <c r="C3506" s="26"/>
    </row>
    <row r="3507" ht="15.75" spans="1:3">
      <c r="A3507">
        <v>3506</v>
      </c>
      <c r="B3507" s="26"/>
      <c r="C3507" s="26"/>
    </row>
    <row r="3508" ht="21" spans="1:3">
      <c r="A3508">
        <v>3507</v>
      </c>
      <c r="B3508" s="25" t="s">
        <v>16892</v>
      </c>
      <c r="C3508" s="26"/>
    </row>
    <row r="3509" ht="21" spans="1:3">
      <c r="A3509">
        <v>3508</v>
      </c>
      <c r="B3509" s="27" t="s">
        <v>16892</v>
      </c>
      <c r="C3509" s="26"/>
    </row>
    <row r="3510" ht="21" spans="1:3">
      <c r="A3510">
        <v>3509</v>
      </c>
      <c r="B3510" s="27" t="s">
        <v>16892</v>
      </c>
      <c r="C3510" s="26"/>
    </row>
    <row r="3511" ht="21" spans="1:3">
      <c r="A3511">
        <v>3510</v>
      </c>
      <c r="B3511" s="25" t="s">
        <v>16892</v>
      </c>
      <c r="C3511" s="26"/>
    </row>
    <row r="3512" ht="21" spans="1:3">
      <c r="A3512">
        <v>3511</v>
      </c>
      <c r="B3512" s="27" t="s">
        <v>16892</v>
      </c>
      <c r="C3512" s="26"/>
    </row>
    <row r="3513" ht="15.75" spans="1:3">
      <c r="A3513">
        <v>3512</v>
      </c>
      <c r="B3513" s="26"/>
      <c r="C3513" s="26"/>
    </row>
    <row r="3514" ht="21" spans="1:3">
      <c r="A3514">
        <v>3513</v>
      </c>
      <c r="B3514" s="25" t="s">
        <v>16892</v>
      </c>
      <c r="C3514" s="26"/>
    </row>
    <row r="3515" ht="21" spans="1:3">
      <c r="A3515">
        <v>3514</v>
      </c>
      <c r="B3515" s="25" t="s">
        <v>16892</v>
      </c>
      <c r="C3515" s="26"/>
    </row>
    <row r="3516" ht="21" spans="1:3">
      <c r="A3516">
        <v>3515</v>
      </c>
      <c r="B3516" s="25" t="s">
        <v>16892</v>
      </c>
      <c r="C3516" s="26"/>
    </row>
    <row r="3517" ht="21" spans="1:3">
      <c r="A3517">
        <v>3516</v>
      </c>
      <c r="B3517" s="25" t="s">
        <v>16892</v>
      </c>
      <c r="C3517" s="26"/>
    </row>
    <row r="3518" ht="21" spans="1:3">
      <c r="A3518">
        <v>3517</v>
      </c>
      <c r="B3518" s="25" t="s">
        <v>16892</v>
      </c>
      <c r="C3518" s="26"/>
    </row>
    <row r="3519" ht="15.75" spans="1:3">
      <c r="A3519">
        <v>3518</v>
      </c>
      <c r="B3519" s="26"/>
      <c r="C3519" s="26"/>
    </row>
    <row r="3520" ht="21" spans="1:3">
      <c r="A3520">
        <v>3519</v>
      </c>
      <c r="B3520" s="25" t="s">
        <v>16892</v>
      </c>
      <c r="C3520" s="26"/>
    </row>
    <row r="3521" ht="21" spans="1:3">
      <c r="A3521">
        <v>3520</v>
      </c>
      <c r="B3521" s="27" t="s">
        <v>16892</v>
      </c>
      <c r="C3521" s="26"/>
    </row>
    <row r="3522" ht="21" spans="1:3">
      <c r="A3522">
        <v>3521</v>
      </c>
      <c r="B3522" s="27" t="s">
        <v>16892</v>
      </c>
      <c r="C3522" s="26"/>
    </row>
    <row r="3523" ht="21" spans="1:3">
      <c r="A3523">
        <v>3522</v>
      </c>
      <c r="B3523" s="27" t="s">
        <v>16892</v>
      </c>
      <c r="C3523" s="26"/>
    </row>
    <row r="3524" ht="21" spans="1:3">
      <c r="A3524">
        <v>3523</v>
      </c>
      <c r="B3524" s="27" t="s">
        <v>16892</v>
      </c>
      <c r="C3524" s="26"/>
    </row>
    <row r="3525" ht="21" spans="1:3">
      <c r="A3525">
        <v>3524</v>
      </c>
      <c r="B3525" s="27" t="s">
        <v>16892</v>
      </c>
      <c r="C3525" s="26"/>
    </row>
    <row r="3526" ht="15.75" spans="1:3">
      <c r="A3526">
        <v>3525</v>
      </c>
      <c r="B3526" s="26"/>
      <c r="C3526" s="26"/>
    </row>
    <row r="3527" ht="21" spans="1:3">
      <c r="A3527">
        <v>3526</v>
      </c>
      <c r="B3527" s="25" t="s">
        <v>16892</v>
      </c>
      <c r="C3527" s="26"/>
    </row>
    <row r="3528" ht="21" spans="1:3">
      <c r="A3528">
        <v>3527</v>
      </c>
      <c r="B3528" s="27" t="s">
        <v>16892</v>
      </c>
      <c r="C3528" s="26"/>
    </row>
    <row r="3529" ht="15.75" spans="1:3">
      <c r="A3529">
        <v>3528</v>
      </c>
      <c r="B3529" s="29"/>
      <c r="C3529" s="29"/>
    </row>
    <row r="3530" ht="15.75" spans="1:3">
      <c r="A3530">
        <v>3529</v>
      </c>
      <c r="B3530" s="29"/>
      <c r="C3530" s="29"/>
    </row>
    <row r="3531" ht="21" spans="1:3">
      <c r="A3531">
        <v>3530</v>
      </c>
      <c r="B3531" s="25" t="s">
        <v>16892</v>
      </c>
      <c r="C3531" s="26"/>
    </row>
    <row r="3532" ht="21" spans="1:3">
      <c r="A3532">
        <v>3531</v>
      </c>
      <c r="B3532" s="27" t="s">
        <v>16892</v>
      </c>
      <c r="C3532" s="26"/>
    </row>
    <row r="3533" ht="21" spans="1:3">
      <c r="A3533">
        <v>3532</v>
      </c>
      <c r="B3533" s="25" t="s">
        <v>16902</v>
      </c>
      <c r="C3533" s="26"/>
    </row>
    <row r="3534" ht="21" spans="1:3">
      <c r="A3534">
        <v>3533</v>
      </c>
      <c r="B3534" s="25" t="s">
        <v>16892</v>
      </c>
      <c r="C3534" s="26"/>
    </row>
    <row r="3535" ht="21" spans="1:3">
      <c r="A3535">
        <v>3534</v>
      </c>
      <c r="B3535" s="27" t="s">
        <v>16892</v>
      </c>
      <c r="C3535" s="26"/>
    </row>
    <row r="3536" ht="21" spans="1:3">
      <c r="A3536">
        <v>3535</v>
      </c>
      <c r="B3536" s="25" t="s">
        <v>16892</v>
      </c>
      <c r="C3536" s="26"/>
    </row>
    <row r="3537" ht="21" spans="1:3">
      <c r="A3537">
        <v>3536</v>
      </c>
      <c r="B3537" s="27" t="s">
        <v>16892</v>
      </c>
      <c r="C3537" s="26"/>
    </row>
    <row r="3538" ht="21" spans="1:3">
      <c r="A3538">
        <v>3537</v>
      </c>
      <c r="B3538" s="25" t="s">
        <v>16892</v>
      </c>
      <c r="C3538" s="26"/>
    </row>
    <row r="3539" ht="21" spans="1:3">
      <c r="A3539">
        <v>3538</v>
      </c>
      <c r="B3539" s="25" t="s">
        <v>16892</v>
      </c>
      <c r="C3539" s="26"/>
    </row>
    <row r="3540" ht="21" spans="1:3">
      <c r="A3540">
        <v>3539</v>
      </c>
      <c r="B3540" s="25" t="s">
        <v>16892</v>
      </c>
      <c r="C3540" s="26"/>
    </row>
    <row r="3541" ht="21" spans="1:3">
      <c r="A3541">
        <v>3540</v>
      </c>
      <c r="B3541" s="27" t="s">
        <v>16892</v>
      </c>
      <c r="C3541" s="26"/>
    </row>
    <row r="3542" ht="15.75" spans="1:3">
      <c r="A3542">
        <v>3541</v>
      </c>
      <c r="B3542" s="29"/>
      <c r="C3542" s="29"/>
    </row>
    <row r="3543" ht="15.75" spans="1:3">
      <c r="A3543">
        <v>3542</v>
      </c>
      <c r="B3543" s="29"/>
      <c r="C3543" s="29"/>
    </row>
    <row r="3544" ht="21" spans="1:3">
      <c r="A3544">
        <v>3543</v>
      </c>
      <c r="B3544" s="27" t="s">
        <v>16892</v>
      </c>
      <c r="C3544" s="26"/>
    </row>
    <row r="3545" ht="21" spans="1:3">
      <c r="A3545">
        <v>3544</v>
      </c>
      <c r="B3545" s="25" t="s">
        <v>16892</v>
      </c>
      <c r="C3545" s="26"/>
    </row>
    <row r="3546" ht="15.75" spans="1:3">
      <c r="A3546">
        <v>3545</v>
      </c>
      <c r="B3546" s="26"/>
      <c r="C3546" s="26"/>
    </row>
    <row r="3547" ht="21" spans="1:3">
      <c r="A3547">
        <v>3546</v>
      </c>
      <c r="B3547" s="27" t="s">
        <v>16892</v>
      </c>
      <c r="C3547" s="26"/>
    </row>
    <row r="3548" ht="15.75" spans="1:3">
      <c r="A3548">
        <v>3547</v>
      </c>
      <c r="B3548" s="26"/>
      <c r="C3548" s="26"/>
    </row>
    <row r="3549" ht="21" spans="1:3">
      <c r="A3549">
        <v>3548</v>
      </c>
      <c r="B3549" s="25" t="s">
        <v>16892</v>
      </c>
      <c r="C3549" s="26"/>
    </row>
    <row r="3550" ht="21" spans="1:3">
      <c r="A3550">
        <v>3549</v>
      </c>
      <c r="B3550" s="25" t="s">
        <v>16892</v>
      </c>
      <c r="C3550" s="26"/>
    </row>
    <row r="3551" ht="21" spans="1:3">
      <c r="A3551">
        <v>3550</v>
      </c>
      <c r="B3551" s="25" t="s">
        <v>16892</v>
      </c>
      <c r="C3551" s="26"/>
    </row>
    <row r="3552" ht="21" spans="1:3">
      <c r="A3552">
        <v>3551</v>
      </c>
      <c r="B3552" s="25" t="s">
        <v>16892</v>
      </c>
      <c r="C3552" s="26"/>
    </row>
    <row r="3553" ht="21" spans="1:3">
      <c r="A3553">
        <v>3552</v>
      </c>
      <c r="B3553" s="25" t="s">
        <v>16892</v>
      </c>
      <c r="C3553" s="26"/>
    </row>
    <row r="3554" ht="21" spans="1:3">
      <c r="A3554">
        <v>3553</v>
      </c>
      <c r="B3554" s="25" t="s">
        <v>16892</v>
      </c>
      <c r="C3554" s="26"/>
    </row>
    <row r="3555" ht="21" spans="1:3">
      <c r="A3555">
        <v>3554</v>
      </c>
      <c r="B3555" s="27" t="s">
        <v>16892</v>
      </c>
      <c r="C3555" s="26"/>
    </row>
    <row r="3556" ht="21" spans="1:3">
      <c r="A3556">
        <v>3555</v>
      </c>
      <c r="B3556" s="25" t="s">
        <v>16892</v>
      </c>
      <c r="C3556" s="26"/>
    </row>
    <row r="3557" ht="21" spans="1:3">
      <c r="A3557">
        <v>3556</v>
      </c>
      <c r="B3557" s="25" t="s">
        <v>16892</v>
      </c>
      <c r="C3557" s="26"/>
    </row>
    <row r="3558" ht="21" spans="1:3">
      <c r="A3558">
        <v>3557</v>
      </c>
      <c r="B3558" s="27" t="s">
        <v>16892</v>
      </c>
      <c r="C3558" s="26"/>
    </row>
    <row r="3559" ht="15.75" spans="1:3">
      <c r="A3559">
        <v>3558</v>
      </c>
      <c r="B3559" s="26"/>
      <c r="C3559" s="26"/>
    </row>
    <row r="3560" ht="21" spans="1:3">
      <c r="A3560">
        <v>3559</v>
      </c>
      <c r="B3560" s="25" t="s">
        <v>16892</v>
      </c>
      <c r="C3560" s="26"/>
    </row>
    <row r="3561" ht="21" spans="1:3">
      <c r="A3561">
        <v>3560</v>
      </c>
      <c r="B3561" s="27" t="s">
        <v>16892</v>
      </c>
      <c r="C3561" s="26"/>
    </row>
    <row r="3562" ht="21" spans="1:3">
      <c r="A3562">
        <v>3561</v>
      </c>
      <c r="B3562" s="25" t="s">
        <v>16892</v>
      </c>
      <c r="C3562" s="26"/>
    </row>
    <row r="3563" ht="21" spans="1:3">
      <c r="A3563">
        <v>3562</v>
      </c>
      <c r="B3563" s="27" t="s">
        <v>16892</v>
      </c>
      <c r="C3563" s="26"/>
    </row>
    <row r="3564" ht="15.75" spans="1:3">
      <c r="A3564">
        <v>3563</v>
      </c>
      <c r="B3564" s="26"/>
      <c r="C3564" s="26"/>
    </row>
    <row r="3565" ht="21" spans="1:3">
      <c r="A3565">
        <v>3564</v>
      </c>
      <c r="B3565" s="27" t="s">
        <v>16892</v>
      </c>
      <c r="C3565" s="26"/>
    </row>
    <row r="3566" ht="21" spans="1:3">
      <c r="A3566">
        <v>3565</v>
      </c>
      <c r="B3566" s="25" t="s">
        <v>16892</v>
      </c>
      <c r="C3566" s="26"/>
    </row>
    <row r="3567" ht="21" spans="1:3">
      <c r="A3567">
        <v>3566</v>
      </c>
      <c r="B3567" s="25" t="s">
        <v>16892</v>
      </c>
      <c r="C3567" s="26"/>
    </row>
    <row r="3568" ht="21" spans="1:3">
      <c r="A3568">
        <v>3567</v>
      </c>
      <c r="B3568" s="27" t="s">
        <v>16892</v>
      </c>
      <c r="C3568" s="26"/>
    </row>
    <row r="3569" ht="15.75" spans="1:3">
      <c r="A3569">
        <v>3568</v>
      </c>
      <c r="B3569" s="26"/>
      <c r="C3569" s="26"/>
    </row>
    <row r="3570" ht="15.75" spans="1:3">
      <c r="A3570">
        <v>3569</v>
      </c>
      <c r="B3570" s="26"/>
      <c r="C3570" s="26"/>
    </row>
    <row r="3571" ht="21" spans="1:3">
      <c r="A3571">
        <v>3570</v>
      </c>
      <c r="B3571" s="25" t="s">
        <v>16892</v>
      </c>
      <c r="C3571" s="26"/>
    </row>
    <row r="3572" ht="15.75" spans="1:3">
      <c r="A3572">
        <v>3571</v>
      </c>
      <c r="B3572" s="26"/>
      <c r="C3572" s="26"/>
    </row>
    <row r="3573" ht="15.75" spans="1:3">
      <c r="A3573">
        <v>3572</v>
      </c>
      <c r="B3573" s="29"/>
      <c r="C3573" s="29"/>
    </row>
    <row r="3574" ht="15.75" spans="1:3">
      <c r="A3574">
        <v>3573</v>
      </c>
      <c r="B3574" s="29"/>
      <c r="C3574" s="29"/>
    </row>
    <row r="3575" ht="15.75" spans="1:3">
      <c r="A3575">
        <v>3574</v>
      </c>
      <c r="B3575" s="29"/>
      <c r="C3575" s="29"/>
    </row>
    <row r="3576" ht="15.75" spans="1:3">
      <c r="A3576">
        <v>3575</v>
      </c>
      <c r="B3576" s="29"/>
      <c r="C3576" s="29"/>
    </row>
    <row r="3577" ht="21" spans="1:3">
      <c r="A3577">
        <v>3576</v>
      </c>
      <c r="B3577" s="27" t="s">
        <v>16892</v>
      </c>
      <c r="C3577" s="26"/>
    </row>
    <row r="3578" ht="15.75" spans="1:3">
      <c r="A3578">
        <v>3577</v>
      </c>
      <c r="B3578" s="26"/>
      <c r="C3578" s="26"/>
    </row>
    <row r="3579" ht="18" spans="1:3">
      <c r="A3579">
        <v>3578</v>
      </c>
      <c r="B3579" s="39" t="str">
        <f>IFERROR(__xludf.DUMMYFUNCTION("""COMPUTED_VALUE"""),"ቅድስት ገብሩ")</f>
        <v>ቅድስት ገብሩ</v>
      </c>
      <c r="C3579" s="39">
        <v>919191992</v>
      </c>
    </row>
    <row r="3580" ht="15.75" spans="1:3">
      <c r="A3580">
        <v>3579</v>
      </c>
      <c r="B3580" s="29"/>
      <c r="C3580" s="29"/>
    </row>
    <row r="3581" ht="21" spans="1:3">
      <c r="A3581">
        <v>3580</v>
      </c>
      <c r="B3581" s="27" t="s">
        <v>16892</v>
      </c>
      <c r="C3581" s="26"/>
    </row>
    <row r="3582" ht="21" spans="1:3">
      <c r="A3582">
        <v>3581</v>
      </c>
      <c r="B3582" s="27" t="s">
        <v>16892</v>
      </c>
      <c r="C3582" s="26"/>
    </row>
    <row r="3583" ht="21" spans="1:3">
      <c r="A3583">
        <v>3582</v>
      </c>
      <c r="B3583" s="27" t="s">
        <v>16892</v>
      </c>
      <c r="C3583" s="26"/>
    </row>
    <row r="3584" ht="21" spans="1:3">
      <c r="A3584">
        <v>3583</v>
      </c>
      <c r="B3584" s="27" t="s">
        <v>16892</v>
      </c>
      <c r="C3584" s="26"/>
    </row>
    <row r="3585" ht="21" spans="1:3">
      <c r="A3585">
        <v>3584</v>
      </c>
      <c r="B3585" s="27" t="s">
        <v>16892</v>
      </c>
      <c r="C3585" s="26"/>
    </row>
    <row r="3586" ht="21" spans="1:3">
      <c r="A3586">
        <v>3585</v>
      </c>
      <c r="B3586" s="27" t="s">
        <v>16892</v>
      </c>
      <c r="C3586" s="26"/>
    </row>
    <row r="3587" ht="15.75" spans="1:3">
      <c r="A3587">
        <v>3586</v>
      </c>
      <c r="B3587" s="26"/>
      <c r="C3587" s="26"/>
    </row>
    <row r="3588" ht="21" spans="1:3">
      <c r="A3588">
        <v>3587</v>
      </c>
      <c r="B3588" s="25" t="s">
        <v>16892</v>
      </c>
      <c r="C3588" s="26"/>
    </row>
    <row r="3589" ht="21" spans="1:3">
      <c r="A3589">
        <v>3588</v>
      </c>
      <c r="B3589" s="25" t="s">
        <v>16892</v>
      </c>
      <c r="C3589" s="26"/>
    </row>
    <row r="3590" ht="21" spans="1:3">
      <c r="A3590">
        <v>3589</v>
      </c>
      <c r="B3590" s="25" t="s">
        <v>16892</v>
      </c>
      <c r="C3590" s="26"/>
    </row>
    <row r="3591" ht="21" spans="1:3">
      <c r="A3591">
        <v>3590</v>
      </c>
      <c r="B3591" s="27" t="s">
        <v>16892</v>
      </c>
      <c r="C3591" s="26"/>
    </row>
    <row r="3592" ht="21" spans="1:3">
      <c r="A3592">
        <v>3591</v>
      </c>
      <c r="B3592" s="27" t="s">
        <v>16892</v>
      </c>
      <c r="C3592" s="26"/>
    </row>
    <row r="3593" ht="21" spans="1:3">
      <c r="A3593">
        <v>3592</v>
      </c>
      <c r="B3593" s="27" t="s">
        <v>16892</v>
      </c>
      <c r="C3593" s="26"/>
    </row>
    <row r="3594" ht="15.75" spans="1:3">
      <c r="A3594">
        <v>3593</v>
      </c>
      <c r="B3594" s="26"/>
      <c r="C3594" s="26"/>
    </row>
    <row r="3595" ht="21" spans="1:3">
      <c r="A3595">
        <v>3594</v>
      </c>
      <c r="B3595" s="27" t="s">
        <v>16892</v>
      </c>
      <c r="C3595" s="26"/>
    </row>
    <row r="3596" ht="21" spans="1:3">
      <c r="A3596">
        <v>3595</v>
      </c>
      <c r="B3596" s="25" t="s">
        <v>16892</v>
      </c>
      <c r="C3596" s="26"/>
    </row>
    <row r="3597" ht="21" spans="1:3">
      <c r="A3597">
        <v>3596</v>
      </c>
      <c r="B3597" s="25" t="s">
        <v>16892</v>
      </c>
      <c r="C3597" s="26"/>
    </row>
    <row r="3598" ht="21" spans="1:3">
      <c r="A3598">
        <v>3597</v>
      </c>
      <c r="B3598" s="25" t="s">
        <v>16892</v>
      </c>
      <c r="C3598" s="26"/>
    </row>
    <row r="3599" ht="15.75" spans="1:3">
      <c r="A3599">
        <v>3598</v>
      </c>
      <c r="B3599" s="26"/>
      <c r="C3599" s="26"/>
    </row>
    <row r="3600" ht="15.75" spans="1:3">
      <c r="A3600">
        <v>3599</v>
      </c>
      <c r="B3600" s="26"/>
      <c r="C3600" s="26"/>
    </row>
    <row r="3601" ht="21" spans="1:3">
      <c r="A3601">
        <v>3600</v>
      </c>
      <c r="B3601" s="27" t="s">
        <v>16892</v>
      </c>
      <c r="C3601" s="26"/>
    </row>
    <row r="3602" ht="21" spans="1:3">
      <c r="A3602">
        <v>3601</v>
      </c>
      <c r="B3602" s="25" t="s">
        <v>16892</v>
      </c>
      <c r="C3602" s="26"/>
    </row>
    <row r="3603" ht="21" spans="1:3">
      <c r="A3603">
        <v>3602</v>
      </c>
      <c r="B3603" s="27" t="s">
        <v>16892</v>
      </c>
      <c r="C3603" s="26"/>
    </row>
    <row r="3604" ht="21" spans="1:3">
      <c r="A3604">
        <v>3603</v>
      </c>
      <c r="B3604" s="25" t="s">
        <v>16892</v>
      </c>
      <c r="C3604" s="26"/>
    </row>
    <row r="3605" ht="21" spans="1:3">
      <c r="A3605">
        <v>3604</v>
      </c>
      <c r="B3605" s="27" t="s">
        <v>16892</v>
      </c>
      <c r="C3605" s="26"/>
    </row>
    <row r="3606" ht="21" spans="1:3">
      <c r="A3606">
        <v>3605</v>
      </c>
      <c r="B3606" s="25" t="s">
        <v>16892</v>
      </c>
      <c r="C3606" s="26"/>
    </row>
    <row r="3607" ht="21" spans="1:3">
      <c r="A3607">
        <v>3606</v>
      </c>
      <c r="B3607" s="27" t="s">
        <v>16892</v>
      </c>
      <c r="C3607" s="26"/>
    </row>
    <row r="3608" ht="21" spans="1:3">
      <c r="A3608">
        <v>3607</v>
      </c>
      <c r="B3608" s="27" t="s">
        <v>16892</v>
      </c>
      <c r="C3608" s="26"/>
    </row>
    <row r="3609" ht="21" spans="1:3">
      <c r="A3609">
        <v>3608</v>
      </c>
      <c r="B3609" s="25" t="s">
        <v>16892</v>
      </c>
      <c r="C3609" s="26"/>
    </row>
    <row r="3610" ht="21" spans="1:3">
      <c r="A3610">
        <v>3609</v>
      </c>
      <c r="B3610" s="25" t="s">
        <v>16892</v>
      </c>
      <c r="C3610" s="26"/>
    </row>
    <row r="3611" ht="21" spans="1:3">
      <c r="A3611">
        <v>3610</v>
      </c>
      <c r="B3611" s="25" t="s">
        <v>16892</v>
      </c>
      <c r="C3611" s="26"/>
    </row>
    <row r="3612" ht="21" spans="1:3">
      <c r="A3612">
        <v>3611</v>
      </c>
      <c r="B3612" s="25" t="s">
        <v>16892</v>
      </c>
      <c r="C3612" s="26"/>
    </row>
    <row r="3613" ht="21" spans="1:3">
      <c r="A3613">
        <v>3612</v>
      </c>
      <c r="B3613" s="27" t="s">
        <v>16892</v>
      </c>
      <c r="C3613" s="26"/>
    </row>
    <row r="3614" ht="15.75" spans="1:3">
      <c r="A3614">
        <v>3613</v>
      </c>
      <c r="B3614" s="26"/>
      <c r="C3614" s="26"/>
    </row>
    <row r="3615" ht="15.75" spans="1:3">
      <c r="A3615">
        <v>3614</v>
      </c>
      <c r="B3615" s="26"/>
      <c r="C3615" s="26"/>
    </row>
    <row r="3616" ht="21" spans="1:3">
      <c r="A3616">
        <v>3615</v>
      </c>
      <c r="B3616" s="25" t="s">
        <v>16892</v>
      </c>
      <c r="C3616" s="26"/>
    </row>
    <row r="3617" ht="21" spans="1:3">
      <c r="A3617">
        <v>3616</v>
      </c>
      <c r="B3617" s="27" t="s">
        <v>16892</v>
      </c>
      <c r="C3617" s="26"/>
    </row>
    <row r="3618" ht="21" spans="1:3">
      <c r="A3618">
        <v>3617</v>
      </c>
      <c r="B3618" s="27" t="s">
        <v>16892</v>
      </c>
      <c r="C3618" s="26"/>
    </row>
    <row r="3619" ht="21" spans="1:3">
      <c r="A3619">
        <v>3618</v>
      </c>
      <c r="B3619" s="27" t="s">
        <v>16892</v>
      </c>
      <c r="C3619" s="26"/>
    </row>
    <row r="3620" ht="21" spans="1:3">
      <c r="A3620">
        <v>3619</v>
      </c>
      <c r="B3620" s="25" t="s">
        <v>16892</v>
      </c>
      <c r="C3620" s="26"/>
    </row>
    <row r="3621" ht="21" spans="1:3">
      <c r="A3621">
        <v>3620</v>
      </c>
      <c r="B3621" s="25" t="s">
        <v>16892</v>
      </c>
      <c r="C3621" s="26"/>
    </row>
    <row r="3622" ht="21" spans="1:3">
      <c r="A3622">
        <v>3621</v>
      </c>
      <c r="B3622" s="25" t="s">
        <v>16892</v>
      </c>
      <c r="C3622" s="26"/>
    </row>
    <row r="3623" ht="21" spans="1:3">
      <c r="A3623">
        <v>3622</v>
      </c>
      <c r="B3623" s="27" t="s">
        <v>16892</v>
      </c>
      <c r="C3623" s="26"/>
    </row>
    <row r="3624" ht="15.75" spans="1:3">
      <c r="A3624">
        <v>3623</v>
      </c>
      <c r="B3624" s="26"/>
      <c r="C3624" s="26"/>
    </row>
    <row r="3625" ht="18.75" spans="1:3">
      <c r="A3625">
        <v>3624</v>
      </c>
      <c r="B3625" s="31" t="str">
        <f>IFERROR(__xludf.DUMMYFUNCTION("""COMPUTED_VALUE"""),"ሕይወት ሰለሞን ")</f>
        <v>ሕይወት ሰለሞን </v>
      </c>
      <c r="C3625" s="30">
        <v>986569386</v>
      </c>
    </row>
    <row r="3626" ht="18.75" spans="1:3">
      <c r="A3626">
        <v>3625</v>
      </c>
      <c r="B3626" s="31" t="str">
        <f>IFERROR(__xludf.DUMMYFUNCTION("""COMPUTED_VALUE"""),"Sofiya Negash")</f>
        <v>Sofiya Negash</v>
      </c>
      <c r="C3626" s="30">
        <v>973355594</v>
      </c>
    </row>
    <row r="3627" ht="21" spans="1:3">
      <c r="A3627">
        <v>3626</v>
      </c>
      <c r="B3627" s="27" t="s">
        <v>16892</v>
      </c>
      <c r="C3627" s="26"/>
    </row>
    <row r="3628" ht="15.75" spans="1:3">
      <c r="A3628">
        <v>3627</v>
      </c>
      <c r="B3628" s="26"/>
      <c r="C3628" s="26"/>
    </row>
    <row r="3629" ht="15.75" spans="1:3">
      <c r="A3629">
        <v>3628</v>
      </c>
      <c r="B3629" s="26"/>
      <c r="C3629" s="26"/>
    </row>
    <row r="3630" ht="15.75" spans="1:3">
      <c r="A3630">
        <v>3629</v>
      </c>
      <c r="B3630" s="26"/>
      <c r="C3630" s="26"/>
    </row>
    <row r="3631" ht="21" spans="1:3">
      <c r="A3631">
        <v>3630</v>
      </c>
      <c r="B3631" s="27" t="s">
        <v>16892</v>
      </c>
      <c r="C3631" s="26"/>
    </row>
    <row r="3632" ht="15.75" spans="1:3">
      <c r="A3632">
        <v>3631</v>
      </c>
      <c r="B3632" s="26"/>
      <c r="C3632" s="26"/>
    </row>
    <row r="3633" ht="21" spans="1:3">
      <c r="A3633">
        <v>3632</v>
      </c>
      <c r="B3633" s="25" t="s">
        <v>16892</v>
      </c>
      <c r="C3633" s="26"/>
    </row>
    <row r="3634" ht="21" spans="1:3">
      <c r="A3634">
        <v>3633</v>
      </c>
      <c r="B3634" s="27" t="s">
        <v>16892</v>
      </c>
      <c r="C3634" s="26"/>
    </row>
    <row r="3635" ht="21" spans="1:3">
      <c r="A3635">
        <v>3634</v>
      </c>
      <c r="B3635" s="25" t="s">
        <v>16892</v>
      </c>
      <c r="C3635" s="26"/>
    </row>
    <row r="3636" ht="21" spans="1:3">
      <c r="A3636">
        <v>3635</v>
      </c>
      <c r="B3636" s="27" t="s">
        <v>16892</v>
      </c>
      <c r="C3636" s="26"/>
    </row>
    <row r="3637" ht="21" spans="1:3">
      <c r="A3637">
        <v>3636</v>
      </c>
      <c r="B3637" s="25" t="s">
        <v>16892</v>
      </c>
      <c r="C3637" s="26"/>
    </row>
    <row r="3638" ht="21" spans="1:3">
      <c r="A3638">
        <v>3637</v>
      </c>
      <c r="B3638" s="27" t="s">
        <v>16892</v>
      </c>
      <c r="C3638" s="26"/>
    </row>
    <row r="3639" ht="21" spans="1:3">
      <c r="A3639">
        <v>3638</v>
      </c>
      <c r="B3639" s="25" t="s">
        <v>16892</v>
      </c>
      <c r="C3639" s="26"/>
    </row>
    <row r="3640" ht="21" spans="1:3">
      <c r="A3640">
        <v>3639</v>
      </c>
      <c r="B3640" s="25" t="s">
        <v>16892</v>
      </c>
      <c r="C3640" s="26"/>
    </row>
    <row r="3641" ht="21" spans="1:3">
      <c r="A3641">
        <v>3640</v>
      </c>
      <c r="B3641" s="27" t="s">
        <v>16892</v>
      </c>
      <c r="C3641" s="26"/>
    </row>
    <row r="3642" ht="15.75" spans="1:3">
      <c r="A3642">
        <v>3641</v>
      </c>
      <c r="B3642" s="26"/>
      <c r="C3642" s="26"/>
    </row>
    <row r="3643" ht="21" spans="1:3">
      <c r="A3643">
        <v>3642</v>
      </c>
      <c r="B3643" s="27" t="s">
        <v>16892</v>
      </c>
      <c r="C3643" s="26"/>
    </row>
    <row r="3644" ht="21" spans="1:3">
      <c r="A3644">
        <v>3643</v>
      </c>
      <c r="B3644" s="25" t="s">
        <v>16902</v>
      </c>
      <c r="C3644" s="26"/>
    </row>
    <row r="3645" ht="21" spans="1:3">
      <c r="A3645">
        <v>3644</v>
      </c>
      <c r="B3645" s="27" t="s">
        <v>16892</v>
      </c>
      <c r="C3645" s="26"/>
    </row>
    <row r="3646" ht="21" spans="1:3">
      <c r="A3646">
        <v>3645</v>
      </c>
      <c r="B3646" s="27" t="s">
        <v>16892</v>
      </c>
      <c r="C3646" s="26"/>
    </row>
    <row r="3647" ht="21" spans="1:3">
      <c r="A3647">
        <v>3646</v>
      </c>
      <c r="B3647" s="25" t="s">
        <v>16892</v>
      </c>
      <c r="C3647" s="26"/>
    </row>
    <row r="3648" ht="21" spans="1:3">
      <c r="A3648">
        <v>3647</v>
      </c>
      <c r="B3648" s="27" t="s">
        <v>16892</v>
      </c>
      <c r="C3648" s="26"/>
    </row>
    <row r="3649" ht="15.75" spans="1:3">
      <c r="A3649">
        <v>3648</v>
      </c>
      <c r="B3649" s="26"/>
      <c r="C3649" s="26"/>
    </row>
    <row r="3650" ht="21" spans="1:3">
      <c r="A3650">
        <v>3649</v>
      </c>
      <c r="B3650" s="27" t="s">
        <v>16892</v>
      </c>
      <c r="C3650" s="26"/>
    </row>
    <row r="3651" ht="21" spans="1:3">
      <c r="A3651">
        <v>3650</v>
      </c>
      <c r="B3651" s="27" t="s">
        <v>16892</v>
      </c>
      <c r="C3651" s="26"/>
    </row>
    <row r="3652" ht="21" spans="1:3">
      <c r="A3652">
        <v>3651</v>
      </c>
      <c r="B3652" s="27" t="s">
        <v>16892</v>
      </c>
      <c r="C3652" s="26"/>
    </row>
    <row r="3653" ht="21" spans="1:3">
      <c r="A3653">
        <v>3652</v>
      </c>
      <c r="B3653" s="25" t="s">
        <v>16892</v>
      </c>
      <c r="C3653" s="26"/>
    </row>
    <row r="3654" ht="21" spans="1:3">
      <c r="A3654">
        <v>3653</v>
      </c>
      <c r="B3654" s="27" t="s">
        <v>16892</v>
      </c>
      <c r="C3654" s="26"/>
    </row>
    <row r="3655" ht="21" spans="1:3">
      <c r="A3655">
        <v>3654</v>
      </c>
      <c r="B3655" s="27" t="s">
        <v>16892</v>
      </c>
      <c r="C3655" s="26"/>
    </row>
    <row r="3656" ht="21" spans="1:3">
      <c r="A3656">
        <v>3655</v>
      </c>
      <c r="B3656" s="27" t="s">
        <v>16892</v>
      </c>
      <c r="C3656" s="26"/>
    </row>
    <row r="3657" ht="21" spans="1:3">
      <c r="A3657">
        <v>3656</v>
      </c>
      <c r="B3657" s="25" t="s">
        <v>16892</v>
      </c>
      <c r="C3657" s="26"/>
    </row>
    <row r="3658" ht="21" spans="1:3">
      <c r="A3658">
        <v>3657</v>
      </c>
      <c r="B3658" s="27" t="s">
        <v>16892</v>
      </c>
      <c r="C3658" s="26"/>
    </row>
    <row r="3659" ht="21" spans="1:3">
      <c r="A3659">
        <v>3658</v>
      </c>
      <c r="B3659" s="25" t="s">
        <v>16892</v>
      </c>
      <c r="C3659" s="26"/>
    </row>
    <row r="3660" ht="21" spans="1:3">
      <c r="A3660">
        <v>3659</v>
      </c>
      <c r="B3660" s="25" t="s">
        <v>16892</v>
      </c>
      <c r="C3660" s="26"/>
    </row>
    <row r="3661" ht="21" spans="1:3">
      <c r="A3661">
        <v>3660</v>
      </c>
      <c r="B3661" s="25" t="s">
        <v>16892</v>
      </c>
      <c r="C3661" s="26"/>
    </row>
    <row r="3662" ht="21" spans="1:3">
      <c r="A3662">
        <v>3661</v>
      </c>
      <c r="B3662" s="25" t="s">
        <v>16892</v>
      </c>
      <c r="C3662" s="26"/>
    </row>
    <row r="3663" ht="21" spans="1:3">
      <c r="A3663">
        <v>3662</v>
      </c>
      <c r="B3663" s="25" t="s">
        <v>16892</v>
      </c>
      <c r="C3663" s="26"/>
    </row>
    <row r="3664" ht="21" spans="1:3">
      <c r="A3664">
        <v>3663</v>
      </c>
      <c r="B3664" s="25" t="s">
        <v>16892</v>
      </c>
      <c r="C3664" s="26"/>
    </row>
    <row r="3665" ht="21" spans="1:3">
      <c r="A3665">
        <v>3664</v>
      </c>
      <c r="B3665" s="27" t="s">
        <v>16892</v>
      </c>
      <c r="C3665" s="26"/>
    </row>
    <row r="3666" ht="21" spans="1:3">
      <c r="A3666">
        <v>3665</v>
      </c>
      <c r="B3666" s="27" t="s">
        <v>16892</v>
      </c>
      <c r="C3666" s="26"/>
    </row>
    <row r="3667" ht="21" spans="1:3">
      <c r="A3667">
        <v>3666</v>
      </c>
      <c r="B3667" s="25" t="s">
        <v>16892</v>
      </c>
      <c r="C3667" s="26"/>
    </row>
    <row r="3668" ht="15.75" spans="1:3">
      <c r="A3668">
        <v>3667</v>
      </c>
      <c r="B3668" s="26"/>
      <c r="C3668" s="26"/>
    </row>
    <row r="3669" ht="15.75" spans="1:3">
      <c r="A3669">
        <v>3668</v>
      </c>
      <c r="B3669" s="26"/>
      <c r="C3669" s="26"/>
    </row>
    <row r="3670" ht="21" spans="1:3">
      <c r="A3670">
        <v>3669</v>
      </c>
      <c r="B3670" s="27" t="s">
        <v>16892</v>
      </c>
      <c r="C3670" s="26"/>
    </row>
    <row r="3671" ht="21" spans="1:3">
      <c r="A3671">
        <v>3670</v>
      </c>
      <c r="B3671" s="27" t="s">
        <v>16892</v>
      </c>
      <c r="C3671" s="26"/>
    </row>
    <row r="3672" ht="21" spans="1:3">
      <c r="A3672">
        <v>3671</v>
      </c>
      <c r="B3672" s="27" t="s">
        <v>16892</v>
      </c>
      <c r="C3672" s="26"/>
    </row>
    <row r="3673" ht="15.75" spans="1:3">
      <c r="A3673">
        <v>3672</v>
      </c>
      <c r="B3673" s="26"/>
      <c r="C3673" s="26"/>
    </row>
    <row r="3674" ht="21" spans="1:3">
      <c r="A3674">
        <v>3673</v>
      </c>
      <c r="B3674" s="27" t="s">
        <v>16892</v>
      </c>
      <c r="C3674" s="26"/>
    </row>
    <row r="3675" ht="21" spans="1:3">
      <c r="A3675">
        <v>3674</v>
      </c>
      <c r="B3675" s="25" t="s">
        <v>16892</v>
      </c>
      <c r="C3675" s="26"/>
    </row>
    <row r="3676" ht="21" spans="1:3">
      <c r="A3676">
        <v>3675</v>
      </c>
      <c r="B3676" s="25" t="s">
        <v>16892</v>
      </c>
      <c r="C3676" s="26"/>
    </row>
    <row r="3677" ht="21" spans="1:3">
      <c r="A3677">
        <v>3676</v>
      </c>
      <c r="B3677" s="27" t="s">
        <v>16892</v>
      </c>
      <c r="C3677" s="26"/>
    </row>
    <row r="3678" ht="21" spans="1:3">
      <c r="A3678">
        <v>3677</v>
      </c>
      <c r="B3678" s="27" t="s">
        <v>16892</v>
      </c>
      <c r="C3678" s="26"/>
    </row>
    <row r="3679" ht="21" spans="1:3">
      <c r="A3679">
        <v>3678</v>
      </c>
      <c r="B3679" s="27" t="s">
        <v>16892</v>
      </c>
      <c r="C3679" s="26"/>
    </row>
    <row r="3680" ht="21" spans="1:3">
      <c r="A3680">
        <v>3679</v>
      </c>
      <c r="B3680" s="25" t="s">
        <v>16892</v>
      </c>
      <c r="C3680" s="26"/>
    </row>
    <row r="3681" ht="21" spans="1:3">
      <c r="A3681">
        <v>3680</v>
      </c>
      <c r="B3681" s="25" t="s">
        <v>16892</v>
      </c>
      <c r="C3681" s="26"/>
    </row>
    <row r="3682" ht="30" spans="1:3">
      <c r="A3682">
        <v>3681</v>
      </c>
      <c r="B3682" s="43" t="s">
        <v>16928</v>
      </c>
      <c r="C3682" s="36">
        <v>911915348</v>
      </c>
    </row>
    <row r="3683" ht="21" spans="1:3">
      <c r="A3683">
        <v>3682</v>
      </c>
      <c r="B3683" s="27" t="s">
        <v>16892</v>
      </c>
      <c r="C3683" s="26"/>
    </row>
    <row r="3684" ht="21" spans="1:3">
      <c r="A3684">
        <v>3683</v>
      </c>
      <c r="B3684" s="25" t="s">
        <v>16892</v>
      </c>
      <c r="C3684" s="26"/>
    </row>
    <row r="3685" ht="21" spans="1:3">
      <c r="A3685">
        <v>3684</v>
      </c>
      <c r="B3685" s="27" t="s">
        <v>16892</v>
      </c>
      <c r="C3685" s="26"/>
    </row>
    <row r="3686" ht="21" spans="1:3">
      <c r="A3686">
        <v>3685</v>
      </c>
      <c r="B3686" s="27" t="s">
        <v>16892</v>
      </c>
      <c r="C3686" s="26"/>
    </row>
    <row r="3687" ht="21" spans="1:3">
      <c r="A3687">
        <v>3686</v>
      </c>
      <c r="B3687" s="25" t="s">
        <v>16892</v>
      </c>
      <c r="C3687" s="26"/>
    </row>
    <row r="3688" ht="21" spans="1:3">
      <c r="A3688">
        <v>3687</v>
      </c>
      <c r="B3688" s="25" t="s">
        <v>16892</v>
      </c>
      <c r="C3688" s="26"/>
    </row>
    <row r="3689" ht="15.75" spans="1:3">
      <c r="A3689">
        <v>3688</v>
      </c>
      <c r="B3689" s="26"/>
      <c r="C3689" s="26"/>
    </row>
    <row r="3690" ht="15.75" spans="1:3">
      <c r="A3690">
        <v>3689</v>
      </c>
      <c r="B3690" s="26"/>
      <c r="C3690" s="26"/>
    </row>
    <row r="3691" ht="21" spans="1:3">
      <c r="A3691">
        <v>3690</v>
      </c>
      <c r="B3691" s="27" t="s">
        <v>16892</v>
      </c>
      <c r="C3691" s="26"/>
    </row>
    <row r="3692" ht="21" spans="1:3">
      <c r="A3692">
        <v>3691</v>
      </c>
      <c r="B3692" s="25" t="s">
        <v>16892</v>
      </c>
      <c r="C3692" s="26"/>
    </row>
    <row r="3693" ht="21" spans="1:3">
      <c r="A3693">
        <v>3692</v>
      </c>
      <c r="B3693" s="25" t="s">
        <v>16892</v>
      </c>
      <c r="C3693" s="26"/>
    </row>
    <row r="3694" ht="15.75" spans="1:3">
      <c r="A3694">
        <v>3693</v>
      </c>
      <c r="B3694" s="26"/>
      <c r="C3694" s="26"/>
    </row>
    <row r="3695" ht="15.75" spans="1:3">
      <c r="A3695">
        <v>3694</v>
      </c>
      <c r="B3695" s="26"/>
      <c r="C3695" s="26"/>
    </row>
    <row r="3696" ht="15.75" spans="1:3">
      <c r="A3696">
        <v>3695</v>
      </c>
      <c r="B3696" s="26"/>
      <c r="C3696" s="26"/>
    </row>
    <row r="3697" ht="15.75" spans="1:3">
      <c r="A3697">
        <v>3696</v>
      </c>
      <c r="B3697" s="26"/>
      <c r="C3697" s="26"/>
    </row>
    <row r="3698" ht="21" spans="1:3">
      <c r="A3698">
        <v>3697</v>
      </c>
      <c r="B3698" s="25" t="s">
        <v>16892</v>
      </c>
      <c r="C3698" s="26"/>
    </row>
    <row r="3699" ht="21" spans="1:3">
      <c r="A3699">
        <v>3698</v>
      </c>
      <c r="B3699" s="25" t="s">
        <v>16892</v>
      </c>
      <c r="C3699" s="26"/>
    </row>
    <row r="3700" ht="15.75" spans="1:3">
      <c r="A3700">
        <v>3699</v>
      </c>
      <c r="B3700" s="26"/>
      <c r="C3700" s="26"/>
    </row>
    <row r="3701" ht="21" spans="1:3">
      <c r="A3701">
        <v>3700</v>
      </c>
      <c r="B3701" s="27" t="s">
        <v>16892</v>
      </c>
      <c r="C3701" s="26"/>
    </row>
    <row r="3702" ht="21" spans="1:3">
      <c r="A3702">
        <v>3701</v>
      </c>
      <c r="B3702" s="25" t="s">
        <v>16892</v>
      </c>
      <c r="C3702" s="26"/>
    </row>
    <row r="3703" ht="21" spans="1:3">
      <c r="A3703">
        <v>3702</v>
      </c>
      <c r="B3703" s="27" t="s">
        <v>16892</v>
      </c>
      <c r="C3703" s="26"/>
    </row>
    <row r="3704" ht="21" spans="1:3">
      <c r="A3704">
        <v>3703</v>
      </c>
      <c r="B3704" s="27" t="s">
        <v>16892</v>
      </c>
      <c r="C3704" s="26"/>
    </row>
    <row r="3705" ht="21" spans="1:3">
      <c r="A3705">
        <v>3704</v>
      </c>
      <c r="B3705" s="25" t="s">
        <v>16892</v>
      </c>
      <c r="C3705" s="26"/>
    </row>
    <row r="3706" ht="21" spans="1:3">
      <c r="A3706">
        <v>3705</v>
      </c>
      <c r="B3706" s="25" t="s">
        <v>16892</v>
      </c>
      <c r="C3706" s="26"/>
    </row>
    <row r="3707" ht="21" spans="1:3">
      <c r="A3707">
        <v>3706</v>
      </c>
      <c r="B3707" s="27" t="s">
        <v>16892</v>
      </c>
      <c r="C3707" s="26"/>
    </row>
    <row r="3708" ht="21" spans="1:3">
      <c r="A3708">
        <v>3707</v>
      </c>
      <c r="B3708" s="27" t="s">
        <v>16892</v>
      </c>
      <c r="C3708" s="26"/>
    </row>
    <row r="3709" ht="21" spans="1:3">
      <c r="A3709">
        <v>3708</v>
      </c>
      <c r="B3709" s="25" t="s">
        <v>16892</v>
      </c>
      <c r="C3709" s="26"/>
    </row>
    <row r="3710" ht="21" spans="1:3">
      <c r="A3710">
        <v>3709</v>
      </c>
      <c r="B3710" s="25" t="s">
        <v>16902</v>
      </c>
      <c r="C3710" s="26"/>
    </row>
    <row r="3711" ht="21" spans="1:3">
      <c r="A3711">
        <v>3710</v>
      </c>
      <c r="B3711" s="27" t="s">
        <v>16892</v>
      </c>
      <c r="C3711" s="26"/>
    </row>
    <row r="3712" ht="21" spans="1:3">
      <c r="A3712">
        <v>3711</v>
      </c>
      <c r="B3712" s="25" t="s">
        <v>16892</v>
      </c>
      <c r="C3712" s="26"/>
    </row>
    <row r="3713" ht="21" spans="1:3">
      <c r="A3713">
        <v>3712</v>
      </c>
      <c r="B3713" s="25" t="s">
        <v>16892</v>
      </c>
      <c r="C3713" s="26"/>
    </row>
    <row r="3714" ht="21" spans="1:3">
      <c r="A3714">
        <v>3713</v>
      </c>
      <c r="B3714" s="25" t="s">
        <v>16892</v>
      </c>
      <c r="C3714" s="26"/>
    </row>
    <row r="3715" ht="21" spans="1:3">
      <c r="A3715">
        <v>3714</v>
      </c>
      <c r="B3715" s="25" t="s">
        <v>16892</v>
      </c>
      <c r="C3715" s="26"/>
    </row>
    <row r="3716" ht="21" spans="1:3">
      <c r="A3716">
        <v>3715</v>
      </c>
      <c r="B3716" s="27" t="s">
        <v>16892</v>
      </c>
      <c r="C3716" s="26"/>
    </row>
    <row r="3717" ht="21" spans="1:3">
      <c r="A3717">
        <v>3716</v>
      </c>
      <c r="B3717" s="27" t="s">
        <v>16892</v>
      </c>
      <c r="C3717" s="26"/>
    </row>
    <row r="3718" ht="21" spans="1:3">
      <c r="A3718">
        <v>3717</v>
      </c>
      <c r="B3718" s="25" t="s">
        <v>16892</v>
      </c>
      <c r="C3718" s="26"/>
    </row>
    <row r="3719" ht="21" spans="1:3">
      <c r="A3719">
        <v>3718</v>
      </c>
      <c r="B3719" s="25" t="s">
        <v>16892</v>
      </c>
      <c r="C3719" s="26"/>
    </row>
    <row r="3720" ht="21" spans="1:3">
      <c r="A3720">
        <v>3719</v>
      </c>
      <c r="B3720" s="25" t="s">
        <v>16892</v>
      </c>
      <c r="C3720" s="26"/>
    </row>
    <row r="3721" ht="21" spans="1:3">
      <c r="A3721">
        <v>3720</v>
      </c>
      <c r="B3721" s="25" t="s">
        <v>16892</v>
      </c>
      <c r="C3721" s="26"/>
    </row>
    <row r="3722" ht="21" spans="1:3">
      <c r="A3722">
        <v>3721</v>
      </c>
      <c r="B3722" s="25" t="s">
        <v>16892</v>
      </c>
      <c r="C3722" s="26"/>
    </row>
    <row r="3723" ht="21" spans="1:3">
      <c r="A3723">
        <v>3722</v>
      </c>
      <c r="B3723" s="27" t="s">
        <v>16892</v>
      </c>
      <c r="C3723" s="26"/>
    </row>
    <row r="3724" ht="21" spans="1:3">
      <c r="A3724">
        <v>3723</v>
      </c>
      <c r="B3724" s="27" t="s">
        <v>16892</v>
      </c>
      <c r="C3724" s="26"/>
    </row>
    <row r="3725" ht="21" spans="1:3">
      <c r="A3725">
        <v>3724</v>
      </c>
      <c r="B3725" s="25" t="s">
        <v>16892</v>
      </c>
      <c r="C3725" s="26"/>
    </row>
    <row r="3726" ht="21" spans="1:3">
      <c r="A3726">
        <v>3725</v>
      </c>
      <c r="B3726" s="27" t="s">
        <v>16892</v>
      </c>
      <c r="C3726" s="26"/>
    </row>
    <row r="3727" ht="21" spans="1:3">
      <c r="A3727">
        <v>3726</v>
      </c>
      <c r="B3727" s="27" t="s">
        <v>16892</v>
      </c>
      <c r="C3727" s="26"/>
    </row>
    <row r="3728" ht="21" spans="1:3">
      <c r="A3728">
        <v>3727</v>
      </c>
      <c r="B3728" s="27" t="s">
        <v>16892</v>
      </c>
      <c r="C3728" s="26"/>
    </row>
    <row r="3729" ht="21" spans="1:3">
      <c r="A3729">
        <v>3728</v>
      </c>
      <c r="B3729" s="25" t="s">
        <v>16892</v>
      </c>
      <c r="C3729" s="26"/>
    </row>
    <row r="3730" ht="21" spans="1:3">
      <c r="A3730">
        <v>3729</v>
      </c>
      <c r="B3730" s="27" t="s">
        <v>16902</v>
      </c>
      <c r="C3730" s="26"/>
    </row>
    <row r="3731" ht="21" spans="1:3">
      <c r="A3731">
        <v>3730</v>
      </c>
      <c r="B3731" s="27" t="s">
        <v>16892</v>
      </c>
      <c r="C3731" s="26"/>
    </row>
    <row r="3732" ht="21" spans="1:3">
      <c r="A3732">
        <v>3731</v>
      </c>
      <c r="B3732" s="25" t="s">
        <v>16892</v>
      </c>
      <c r="C3732" s="26"/>
    </row>
    <row r="3733" ht="15.75" spans="1:3">
      <c r="A3733">
        <v>3732</v>
      </c>
      <c r="B3733" s="26"/>
      <c r="C3733" s="26"/>
    </row>
    <row r="3734" ht="21" spans="1:3">
      <c r="A3734">
        <v>3733</v>
      </c>
      <c r="B3734" s="25" t="s">
        <v>16892</v>
      </c>
      <c r="C3734" s="26"/>
    </row>
    <row r="3735" ht="21" spans="1:3">
      <c r="A3735">
        <v>3734</v>
      </c>
      <c r="B3735" s="25" t="s">
        <v>16892</v>
      </c>
      <c r="C3735" s="26"/>
    </row>
    <row r="3736" ht="21" spans="1:3">
      <c r="A3736">
        <v>3735</v>
      </c>
      <c r="B3736" s="25" t="s">
        <v>16892</v>
      </c>
      <c r="C3736" s="26"/>
    </row>
    <row r="3737" ht="21" spans="1:3">
      <c r="A3737">
        <v>3736</v>
      </c>
      <c r="B3737" s="25" t="s">
        <v>16892</v>
      </c>
      <c r="C3737" s="26"/>
    </row>
    <row r="3738" ht="21" spans="1:3">
      <c r="A3738">
        <v>3737</v>
      </c>
      <c r="B3738" s="25" t="s">
        <v>16892</v>
      </c>
      <c r="C3738" s="26"/>
    </row>
    <row r="3739" ht="21" spans="1:3">
      <c r="A3739">
        <v>3738</v>
      </c>
      <c r="B3739" s="27" t="s">
        <v>16892</v>
      </c>
      <c r="C3739" s="26"/>
    </row>
    <row r="3740" ht="21" spans="1:3">
      <c r="A3740">
        <v>3739</v>
      </c>
      <c r="B3740" s="27" t="s">
        <v>16892</v>
      </c>
      <c r="C3740" s="26"/>
    </row>
    <row r="3741" ht="21" spans="1:3">
      <c r="A3741">
        <v>3740</v>
      </c>
      <c r="B3741" s="25" t="s">
        <v>16892</v>
      </c>
      <c r="C3741" s="26"/>
    </row>
    <row r="3742" ht="21" spans="1:3">
      <c r="A3742">
        <v>3741</v>
      </c>
      <c r="B3742" s="27" t="s">
        <v>16892</v>
      </c>
      <c r="C3742" s="26"/>
    </row>
    <row r="3743" ht="21" spans="1:3">
      <c r="A3743">
        <v>3742</v>
      </c>
      <c r="B3743" s="25" t="s">
        <v>16892</v>
      </c>
      <c r="C3743" s="26"/>
    </row>
    <row r="3744" ht="21" spans="1:3">
      <c r="A3744">
        <v>3743</v>
      </c>
      <c r="B3744" s="25" t="s">
        <v>16892</v>
      </c>
      <c r="C3744" s="26"/>
    </row>
    <row r="3745" ht="21" spans="1:3">
      <c r="A3745">
        <v>3744</v>
      </c>
      <c r="B3745" s="27" t="s">
        <v>16892</v>
      </c>
      <c r="C3745" s="26"/>
    </row>
    <row r="3746" ht="21" spans="1:3">
      <c r="A3746">
        <v>3745</v>
      </c>
      <c r="B3746" s="27" t="s">
        <v>16892</v>
      </c>
      <c r="C3746" s="26"/>
    </row>
    <row r="3747" ht="21" spans="1:3">
      <c r="A3747">
        <v>3746</v>
      </c>
      <c r="B3747" s="27" t="s">
        <v>16892</v>
      </c>
      <c r="C3747" s="26"/>
    </row>
    <row r="3748" ht="21" spans="1:3">
      <c r="A3748">
        <v>3747</v>
      </c>
      <c r="B3748" s="27" t="s">
        <v>16892</v>
      </c>
      <c r="C3748" s="26"/>
    </row>
    <row r="3749" ht="21" spans="1:3">
      <c r="A3749">
        <v>3748</v>
      </c>
      <c r="B3749" s="25" t="s">
        <v>16892</v>
      </c>
      <c r="C3749" s="26"/>
    </row>
    <row r="3750" ht="21" spans="1:3">
      <c r="A3750">
        <v>3749</v>
      </c>
      <c r="B3750" s="25" t="s">
        <v>16892</v>
      </c>
      <c r="C3750" s="26"/>
    </row>
    <row r="3751" ht="21" spans="1:3">
      <c r="A3751">
        <v>3750</v>
      </c>
      <c r="B3751" s="27" t="s">
        <v>16892</v>
      </c>
      <c r="C3751" s="26"/>
    </row>
    <row r="3752" ht="21" spans="1:3">
      <c r="A3752">
        <v>3751</v>
      </c>
      <c r="B3752" s="25" t="s">
        <v>16892</v>
      </c>
      <c r="C3752" s="26"/>
    </row>
    <row r="3753" ht="21" spans="1:3">
      <c r="A3753">
        <v>3752</v>
      </c>
      <c r="B3753" s="25" t="s">
        <v>16892</v>
      </c>
      <c r="C3753" s="26"/>
    </row>
    <row r="3754" ht="21" spans="1:3">
      <c r="A3754">
        <v>3753</v>
      </c>
      <c r="B3754" s="25" t="s">
        <v>16892</v>
      </c>
      <c r="C3754" s="26"/>
    </row>
    <row r="3755" ht="21" spans="1:3">
      <c r="A3755">
        <v>3754</v>
      </c>
      <c r="B3755" s="27" t="s">
        <v>16892</v>
      </c>
      <c r="C3755" s="26"/>
    </row>
    <row r="3756" ht="15.75" spans="1:3">
      <c r="A3756">
        <v>3755</v>
      </c>
      <c r="B3756" s="26"/>
      <c r="C3756" s="26"/>
    </row>
    <row r="3757" ht="15.75" spans="1:3">
      <c r="A3757">
        <v>3756</v>
      </c>
      <c r="B3757" s="26"/>
      <c r="C3757" s="26"/>
    </row>
    <row r="3758" ht="15.75" spans="1:3">
      <c r="A3758">
        <v>3757</v>
      </c>
      <c r="B3758" s="26"/>
      <c r="C3758" s="26"/>
    </row>
    <row r="3759" ht="21" spans="1:3">
      <c r="A3759">
        <v>3758</v>
      </c>
      <c r="B3759" s="25" t="s">
        <v>16892</v>
      </c>
      <c r="C3759" s="26"/>
    </row>
    <row r="3760" ht="21" spans="1:3">
      <c r="A3760">
        <v>3759</v>
      </c>
      <c r="B3760" s="27" t="s">
        <v>16892</v>
      </c>
      <c r="C3760" s="26"/>
    </row>
    <row r="3761" ht="21" spans="1:3">
      <c r="A3761">
        <v>3760</v>
      </c>
      <c r="B3761" s="27" t="s">
        <v>16892</v>
      </c>
      <c r="C3761" s="26"/>
    </row>
    <row r="3762" ht="21" spans="1:3">
      <c r="A3762">
        <v>3761</v>
      </c>
      <c r="B3762" s="27" t="s">
        <v>16892</v>
      </c>
      <c r="C3762" s="26"/>
    </row>
    <row r="3763" ht="15.75" spans="1:3">
      <c r="A3763">
        <v>3762</v>
      </c>
      <c r="B3763" s="26"/>
      <c r="C3763" s="26"/>
    </row>
    <row r="3764" ht="21" spans="1:3">
      <c r="A3764">
        <v>3763</v>
      </c>
      <c r="B3764" s="25" t="s">
        <v>16892</v>
      </c>
      <c r="C3764" s="26"/>
    </row>
    <row r="3765" ht="15.75" spans="1:3">
      <c r="A3765">
        <v>3764</v>
      </c>
      <c r="B3765" s="26"/>
      <c r="C3765" s="26"/>
    </row>
    <row r="3766" ht="21" spans="1:3">
      <c r="A3766">
        <v>3765</v>
      </c>
      <c r="B3766" s="27" t="s">
        <v>16892</v>
      </c>
      <c r="C3766" s="26"/>
    </row>
    <row r="3767" ht="21" spans="1:3">
      <c r="A3767">
        <v>3766</v>
      </c>
      <c r="B3767" s="27" t="s">
        <v>16892</v>
      </c>
      <c r="C3767" s="26"/>
    </row>
    <row r="3768" ht="21" spans="1:3">
      <c r="A3768">
        <v>3767</v>
      </c>
      <c r="B3768" s="25" t="s">
        <v>16892</v>
      </c>
      <c r="C3768" s="26"/>
    </row>
    <row r="3769" ht="21" spans="1:3">
      <c r="A3769">
        <v>3768</v>
      </c>
      <c r="B3769" s="25" t="s">
        <v>16892</v>
      </c>
      <c r="C3769" s="26"/>
    </row>
    <row r="3770" ht="21" spans="1:3">
      <c r="A3770">
        <v>3769</v>
      </c>
      <c r="B3770" s="25" t="s">
        <v>16892</v>
      </c>
      <c r="C3770" s="26"/>
    </row>
    <row r="3771" ht="21" spans="1:3">
      <c r="A3771">
        <v>3770</v>
      </c>
      <c r="B3771" s="25" t="s">
        <v>16892</v>
      </c>
      <c r="C3771" s="26"/>
    </row>
    <row r="3772" ht="21" spans="1:3">
      <c r="A3772">
        <v>3771</v>
      </c>
      <c r="B3772" s="25" t="s">
        <v>16892</v>
      </c>
      <c r="C3772" s="26"/>
    </row>
    <row r="3773" ht="15.75" spans="1:3">
      <c r="A3773">
        <v>3772</v>
      </c>
      <c r="B3773" s="26"/>
      <c r="C3773" s="26"/>
    </row>
    <row r="3774" ht="15.75" spans="1:3">
      <c r="A3774">
        <v>3773</v>
      </c>
      <c r="B3774" s="26"/>
      <c r="C3774" s="26"/>
    </row>
    <row r="3775" ht="15.75" spans="1:3">
      <c r="A3775">
        <v>3774</v>
      </c>
      <c r="B3775" s="26"/>
      <c r="C3775" s="26"/>
    </row>
    <row r="3776" ht="15.75" spans="1:3">
      <c r="A3776">
        <v>3775</v>
      </c>
      <c r="B3776" s="26"/>
      <c r="C3776" s="26"/>
    </row>
    <row r="3777" ht="21" spans="1:3">
      <c r="A3777">
        <v>3776</v>
      </c>
      <c r="B3777" s="27" t="s">
        <v>16892</v>
      </c>
      <c r="C3777" s="26"/>
    </row>
    <row r="3778" ht="15.75" spans="1:3">
      <c r="A3778">
        <v>3777</v>
      </c>
      <c r="B3778" s="26"/>
      <c r="C3778" s="26"/>
    </row>
    <row r="3779" ht="21" spans="1:3">
      <c r="A3779">
        <v>3778</v>
      </c>
      <c r="B3779" s="25" t="s">
        <v>16892</v>
      </c>
      <c r="C3779" s="26"/>
    </row>
    <row r="3780" ht="21" spans="1:3">
      <c r="A3780">
        <v>3779</v>
      </c>
      <c r="B3780" s="25" t="s">
        <v>16892</v>
      </c>
      <c r="C3780" s="26"/>
    </row>
    <row r="3781" ht="15.75" spans="1:3">
      <c r="A3781">
        <v>3780</v>
      </c>
      <c r="B3781" s="26"/>
      <c r="C3781" s="26"/>
    </row>
    <row r="3782" ht="15.75" spans="1:3">
      <c r="A3782">
        <v>3781</v>
      </c>
      <c r="B3782" s="26"/>
      <c r="C3782" s="26"/>
    </row>
    <row r="3783" ht="15.75" spans="1:3">
      <c r="A3783">
        <v>3782</v>
      </c>
      <c r="B3783" s="26"/>
      <c r="C3783" s="26"/>
    </row>
    <row r="3784" ht="21" spans="1:3">
      <c r="A3784">
        <v>3783</v>
      </c>
      <c r="B3784" s="25" t="s">
        <v>16892</v>
      </c>
      <c r="C3784" s="26"/>
    </row>
    <row r="3785" ht="21" spans="1:3">
      <c r="A3785">
        <v>3784</v>
      </c>
      <c r="B3785" s="27" t="s">
        <v>16892</v>
      </c>
      <c r="C3785" s="26"/>
    </row>
    <row r="3786" ht="21" spans="1:3">
      <c r="A3786">
        <v>3785</v>
      </c>
      <c r="B3786" s="27" t="s">
        <v>16892</v>
      </c>
      <c r="C3786" s="26"/>
    </row>
    <row r="3787" ht="15.75" spans="1:3">
      <c r="A3787">
        <v>3786</v>
      </c>
      <c r="B3787" s="26"/>
      <c r="C3787" s="26"/>
    </row>
    <row r="3788" ht="15.75" spans="1:3">
      <c r="A3788">
        <v>3787</v>
      </c>
      <c r="B3788" s="26"/>
      <c r="C3788" s="26"/>
    </row>
    <row r="3789" ht="15.75" spans="1:3">
      <c r="A3789">
        <v>3788</v>
      </c>
      <c r="B3789" s="29"/>
      <c r="C3789" s="29"/>
    </row>
    <row r="3790" ht="15.75" spans="1:3">
      <c r="A3790">
        <v>3789</v>
      </c>
      <c r="B3790" s="29"/>
      <c r="C3790" s="29"/>
    </row>
    <row r="3791" ht="15.75" spans="1:3">
      <c r="A3791">
        <v>3790</v>
      </c>
      <c r="B3791" s="29"/>
      <c r="C3791" s="29"/>
    </row>
    <row r="3792" ht="15.75" spans="1:3">
      <c r="A3792">
        <v>3791</v>
      </c>
      <c r="B3792" s="26"/>
      <c r="C3792" s="26"/>
    </row>
    <row r="3793" ht="15.75" spans="1:3">
      <c r="A3793">
        <v>3792</v>
      </c>
      <c r="B3793" s="26"/>
      <c r="C3793" s="26"/>
    </row>
    <row r="3794" ht="15.75" spans="1:3">
      <c r="A3794">
        <v>3793</v>
      </c>
      <c r="B3794" s="26"/>
      <c r="C3794" s="26"/>
    </row>
    <row r="3795" ht="15.75" spans="1:3">
      <c r="A3795">
        <v>3794</v>
      </c>
      <c r="B3795" s="26"/>
      <c r="C3795" s="26"/>
    </row>
    <row r="3796" ht="21" spans="1:3">
      <c r="A3796">
        <v>3795</v>
      </c>
      <c r="B3796" s="27" t="s">
        <v>16892</v>
      </c>
      <c r="C3796" s="26"/>
    </row>
    <row r="3797" ht="21" spans="1:3">
      <c r="A3797">
        <v>3796</v>
      </c>
      <c r="B3797" s="25" t="s">
        <v>16892</v>
      </c>
      <c r="C3797" s="26"/>
    </row>
    <row r="3798" ht="15.75" spans="1:3">
      <c r="A3798">
        <v>3797</v>
      </c>
      <c r="B3798" s="29"/>
      <c r="C3798" s="29"/>
    </row>
    <row r="3799" ht="15.75" spans="1:3">
      <c r="A3799">
        <v>3798</v>
      </c>
      <c r="B3799" s="29"/>
      <c r="C3799" s="29"/>
    </row>
    <row r="3800" ht="21" spans="1:3">
      <c r="A3800">
        <v>3799</v>
      </c>
      <c r="B3800" s="27" t="s">
        <v>16892</v>
      </c>
      <c r="C3800" s="26"/>
    </row>
    <row r="3801" ht="15.75" spans="1:3">
      <c r="A3801">
        <v>3800</v>
      </c>
      <c r="B3801" s="26"/>
      <c r="C3801" s="26"/>
    </row>
    <row r="3802" ht="21" spans="1:3">
      <c r="A3802">
        <v>3801</v>
      </c>
      <c r="B3802" s="27" t="s">
        <v>16892</v>
      </c>
      <c r="C3802" s="26"/>
    </row>
    <row r="3803" ht="21" spans="1:3">
      <c r="A3803">
        <v>3802</v>
      </c>
      <c r="B3803" s="27" t="s">
        <v>16892</v>
      </c>
      <c r="C3803" s="26"/>
    </row>
    <row r="3804" ht="21" spans="1:3">
      <c r="A3804">
        <v>3803</v>
      </c>
      <c r="B3804" s="27" t="s">
        <v>16892</v>
      </c>
      <c r="C3804" s="26"/>
    </row>
    <row r="3805" ht="15.75" spans="1:3">
      <c r="A3805">
        <v>3804</v>
      </c>
      <c r="B3805" s="26"/>
      <c r="C3805" s="26"/>
    </row>
    <row r="3806" ht="15.75" spans="1:3">
      <c r="A3806">
        <v>3805</v>
      </c>
      <c r="B3806" s="26"/>
      <c r="C3806" s="26"/>
    </row>
    <row r="3807" ht="15.75" spans="1:3">
      <c r="A3807">
        <v>3806</v>
      </c>
      <c r="B3807" s="26"/>
      <c r="C3807" s="26"/>
    </row>
    <row r="3808" ht="15.75" spans="1:3">
      <c r="A3808">
        <v>3807</v>
      </c>
      <c r="B3808" s="26"/>
      <c r="C3808" s="26"/>
    </row>
    <row r="3809" ht="15.75" spans="1:3">
      <c r="A3809">
        <v>3808</v>
      </c>
      <c r="B3809" s="26"/>
      <c r="C3809" s="26"/>
    </row>
    <row r="3810" ht="15.75" spans="1:3">
      <c r="A3810">
        <v>3809</v>
      </c>
      <c r="B3810" s="26"/>
      <c r="C3810" s="26"/>
    </row>
    <row r="3811" ht="15.75" spans="1:3">
      <c r="A3811">
        <v>3810</v>
      </c>
      <c r="B3811" s="26"/>
      <c r="C3811" s="26"/>
    </row>
    <row r="3812" ht="15.75" spans="1:3">
      <c r="A3812">
        <v>3811</v>
      </c>
      <c r="B3812" s="26"/>
      <c r="C3812" s="26"/>
    </row>
    <row r="3813" ht="15.75" spans="1:3">
      <c r="A3813">
        <v>3812</v>
      </c>
      <c r="B3813" s="26"/>
      <c r="C3813" s="26"/>
    </row>
    <row r="3814" ht="21" spans="1:3">
      <c r="A3814">
        <v>3813</v>
      </c>
      <c r="B3814" s="27" t="s">
        <v>16892</v>
      </c>
      <c r="C3814" s="26"/>
    </row>
    <row r="3815" ht="15.75" spans="1:3">
      <c r="A3815">
        <v>3814</v>
      </c>
      <c r="B3815" s="26"/>
      <c r="C3815" s="26"/>
    </row>
    <row r="3816" ht="15.75" spans="1:3">
      <c r="A3816">
        <v>3815</v>
      </c>
      <c r="B3816" s="26"/>
      <c r="C3816" s="26"/>
    </row>
    <row r="3817" ht="21" spans="1:3">
      <c r="A3817">
        <v>3816</v>
      </c>
      <c r="B3817" s="25" t="s">
        <v>16892</v>
      </c>
      <c r="C3817" s="26"/>
    </row>
    <row r="3818" ht="15.75" spans="1:3">
      <c r="A3818">
        <v>3817</v>
      </c>
      <c r="B3818" s="26"/>
      <c r="C3818" s="26"/>
    </row>
    <row r="3819" ht="15.75" spans="1:3">
      <c r="A3819">
        <v>3818</v>
      </c>
      <c r="B3819" s="26"/>
      <c r="C3819" s="26"/>
    </row>
    <row r="3820" ht="15.75" spans="1:3">
      <c r="A3820">
        <v>3819</v>
      </c>
      <c r="B3820" s="26"/>
      <c r="C3820" s="26"/>
    </row>
    <row r="3821" ht="15.75" spans="1:3">
      <c r="A3821">
        <v>3820</v>
      </c>
      <c r="B3821" s="26"/>
      <c r="C3821" s="26"/>
    </row>
    <row r="3822" ht="15.75" spans="1:3">
      <c r="A3822">
        <v>3821</v>
      </c>
      <c r="B3822" s="26"/>
      <c r="C3822" s="26"/>
    </row>
    <row r="3823" ht="15.75" spans="1:3">
      <c r="A3823">
        <v>3822</v>
      </c>
      <c r="B3823" s="26"/>
      <c r="C3823" s="26"/>
    </row>
    <row r="3824" ht="15.75" spans="1:3">
      <c r="A3824">
        <v>3823</v>
      </c>
      <c r="B3824" s="26"/>
      <c r="C3824" s="26"/>
    </row>
    <row r="3825" ht="15.75" spans="1:3">
      <c r="A3825">
        <v>3824</v>
      </c>
      <c r="B3825" s="26"/>
      <c r="C3825" s="26"/>
    </row>
    <row r="3826" ht="18.75" spans="1:3">
      <c r="A3826">
        <v>3825</v>
      </c>
      <c r="B3826" s="32" t="str">
        <f>IFERROR(__xludf.DUMMYFUNCTION("""COMPUTED_VALUE"""),"abael alemayehu")</f>
        <v>abael alemayehu</v>
      </c>
      <c r="C3826" s="33">
        <v>911484069</v>
      </c>
    </row>
    <row r="3827" ht="18.75" spans="1:3">
      <c r="A3827">
        <v>3826</v>
      </c>
      <c r="B3827" s="39" t="str">
        <f>IFERROR(__xludf.DUMMYFUNCTION("""COMPUTED_VALUE"""),"Ereben Erven")</f>
        <v>Ereben Erven</v>
      </c>
      <c r="C3827" s="34"/>
    </row>
    <row r="3828" ht="18.75" spans="1:3">
      <c r="A3828">
        <v>3827</v>
      </c>
      <c r="B3828" s="39" t="str">
        <f>IFERROR(__xludf.DUMMYFUNCTION("""COMPUTED_VALUE"""),"Ereben Erven")</f>
        <v>Ereben Erven</v>
      </c>
      <c r="C3828" s="34"/>
    </row>
    <row r="3829" ht="15.75" spans="1:3">
      <c r="A3829">
        <v>3828</v>
      </c>
      <c r="B3829" s="26"/>
      <c r="C3829" s="26"/>
    </row>
    <row r="3830" ht="15.75" spans="1:3">
      <c r="A3830">
        <v>3829</v>
      </c>
      <c r="B3830" s="26"/>
      <c r="C3830" s="26"/>
    </row>
    <row r="3831" ht="15.75" spans="1:3">
      <c r="A3831">
        <v>3830</v>
      </c>
      <c r="B3831" s="26"/>
      <c r="C3831" s="26"/>
    </row>
    <row r="3832" ht="21" spans="1:3">
      <c r="A3832">
        <v>3831</v>
      </c>
      <c r="B3832" s="27" t="s">
        <v>16892</v>
      </c>
      <c r="C3832" s="26"/>
    </row>
    <row r="3833" ht="21" spans="1:3">
      <c r="A3833">
        <v>3832</v>
      </c>
      <c r="B3833" s="27" t="s">
        <v>16892</v>
      </c>
      <c r="C3833" s="26"/>
    </row>
    <row r="3834" ht="21" spans="1:3">
      <c r="A3834">
        <v>3833</v>
      </c>
      <c r="B3834" s="27" t="s">
        <v>16892</v>
      </c>
      <c r="C3834" s="26"/>
    </row>
    <row r="3835" ht="21" spans="1:3">
      <c r="A3835">
        <v>3834</v>
      </c>
      <c r="B3835" s="25" t="s">
        <v>16892</v>
      </c>
      <c r="C3835" s="26"/>
    </row>
    <row r="3836" ht="21" spans="1:3">
      <c r="A3836">
        <v>3835</v>
      </c>
      <c r="B3836" s="27" t="s">
        <v>16892</v>
      </c>
      <c r="C3836" s="26"/>
    </row>
    <row r="3837" ht="15.75" spans="1:3">
      <c r="A3837">
        <v>3836</v>
      </c>
      <c r="B3837" s="26"/>
      <c r="C3837" s="26"/>
    </row>
    <row r="3838" ht="15.75" spans="1:3">
      <c r="A3838">
        <v>3837</v>
      </c>
      <c r="B3838" s="26"/>
      <c r="C3838" s="26"/>
    </row>
    <row r="3839" ht="21" spans="1:3">
      <c r="A3839">
        <v>3838</v>
      </c>
      <c r="B3839" s="25" t="s">
        <v>16892</v>
      </c>
      <c r="C3839" s="26"/>
    </row>
    <row r="3840" ht="21" spans="1:3">
      <c r="A3840">
        <v>3839</v>
      </c>
      <c r="B3840" s="27" t="s">
        <v>16892</v>
      </c>
      <c r="C3840" s="26"/>
    </row>
    <row r="3841" ht="21" spans="1:3">
      <c r="A3841">
        <v>3840</v>
      </c>
      <c r="B3841" s="25" t="s">
        <v>16892</v>
      </c>
      <c r="C3841" s="26"/>
    </row>
    <row r="3842" ht="21" spans="1:3">
      <c r="A3842">
        <v>3841</v>
      </c>
      <c r="B3842" s="27" t="s">
        <v>16892</v>
      </c>
      <c r="C3842" s="26"/>
    </row>
    <row r="3843" ht="21" spans="1:3">
      <c r="A3843">
        <v>3842</v>
      </c>
      <c r="B3843" s="25" t="s">
        <v>16892</v>
      </c>
      <c r="C3843" s="26"/>
    </row>
    <row r="3844" ht="15.75" spans="1:3">
      <c r="A3844">
        <v>3843</v>
      </c>
      <c r="B3844" s="26"/>
      <c r="C3844" s="26"/>
    </row>
    <row r="3845" ht="21" spans="1:3">
      <c r="A3845">
        <v>3844</v>
      </c>
      <c r="B3845" s="27" t="s">
        <v>16892</v>
      </c>
      <c r="C3845" s="26"/>
    </row>
    <row r="3846" ht="21" spans="1:3">
      <c r="A3846">
        <v>3845</v>
      </c>
      <c r="B3846" s="25" t="s">
        <v>16892</v>
      </c>
      <c r="C3846" s="26"/>
    </row>
    <row r="3847" ht="21" spans="1:3">
      <c r="A3847">
        <v>3846</v>
      </c>
      <c r="B3847" s="27" t="s">
        <v>16892</v>
      </c>
      <c r="C3847" s="26"/>
    </row>
    <row r="3848" ht="21" spans="1:3">
      <c r="A3848">
        <v>3847</v>
      </c>
      <c r="B3848" s="25" t="s">
        <v>16892</v>
      </c>
      <c r="C3848" s="26"/>
    </row>
    <row r="3849" ht="15.75" spans="1:3">
      <c r="A3849">
        <v>3848</v>
      </c>
      <c r="B3849" s="26"/>
      <c r="C3849" s="26"/>
    </row>
    <row r="3850" ht="15.75" spans="1:3">
      <c r="A3850">
        <v>3849</v>
      </c>
      <c r="B3850" s="26"/>
      <c r="C3850" s="26"/>
    </row>
    <row r="3851" ht="21" spans="1:3">
      <c r="A3851">
        <v>3850</v>
      </c>
      <c r="B3851" s="25" t="s">
        <v>16892</v>
      </c>
      <c r="C3851" s="26"/>
    </row>
    <row r="3852" ht="21" spans="1:3">
      <c r="A3852">
        <v>3851</v>
      </c>
      <c r="B3852" s="27" t="s">
        <v>16892</v>
      </c>
      <c r="C3852" s="26"/>
    </row>
    <row r="3853" ht="21" spans="1:3">
      <c r="A3853">
        <v>3852</v>
      </c>
      <c r="B3853" s="25" t="s">
        <v>16892</v>
      </c>
      <c r="C3853" s="26"/>
    </row>
    <row r="3854" ht="21" spans="1:3">
      <c r="A3854">
        <v>3853</v>
      </c>
      <c r="B3854" s="25" t="s">
        <v>16892</v>
      </c>
      <c r="C3854" s="26"/>
    </row>
    <row r="3855" ht="15.75" spans="1:3">
      <c r="A3855">
        <v>3854</v>
      </c>
      <c r="B3855" s="26"/>
      <c r="C3855" s="26"/>
    </row>
    <row r="3856" ht="21" spans="1:3">
      <c r="A3856">
        <v>3855</v>
      </c>
      <c r="B3856" s="25" t="s">
        <v>16892</v>
      </c>
      <c r="C3856" s="26"/>
    </row>
    <row r="3857" ht="21" spans="1:3">
      <c r="A3857">
        <v>3856</v>
      </c>
      <c r="B3857" s="27" t="s">
        <v>16892</v>
      </c>
      <c r="C3857" s="26"/>
    </row>
    <row r="3858" ht="21" spans="1:3">
      <c r="A3858">
        <v>3857</v>
      </c>
      <c r="B3858" s="27" t="s">
        <v>16892</v>
      </c>
      <c r="C3858" s="26"/>
    </row>
    <row r="3859" ht="21" spans="1:3">
      <c r="A3859">
        <v>3858</v>
      </c>
      <c r="B3859" s="27" t="s">
        <v>16892</v>
      </c>
      <c r="C3859" s="26"/>
    </row>
    <row r="3860" ht="21" spans="1:3">
      <c r="A3860">
        <v>3859</v>
      </c>
      <c r="B3860" s="25" t="s">
        <v>16892</v>
      </c>
      <c r="C3860" s="26"/>
    </row>
    <row r="3861" ht="21" spans="1:3">
      <c r="A3861">
        <v>3860</v>
      </c>
      <c r="B3861" s="27" t="s">
        <v>16892</v>
      </c>
      <c r="C3861" s="26"/>
    </row>
    <row r="3862" ht="21" spans="1:3">
      <c r="A3862">
        <v>3861</v>
      </c>
      <c r="B3862" s="27" t="s">
        <v>16892</v>
      </c>
      <c r="C3862" s="26"/>
    </row>
    <row r="3863" ht="15.75" spans="1:3">
      <c r="A3863">
        <v>3862</v>
      </c>
      <c r="B3863" s="26"/>
      <c r="C3863" s="26"/>
    </row>
    <row r="3864" ht="21" spans="1:3">
      <c r="A3864">
        <v>3863</v>
      </c>
      <c r="B3864" s="25" t="s">
        <v>16892</v>
      </c>
      <c r="C3864" s="26"/>
    </row>
    <row r="3865" ht="21" spans="1:3">
      <c r="A3865">
        <v>3864</v>
      </c>
      <c r="B3865" s="27" t="s">
        <v>16892</v>
      </c>
      <c r="C3865" s="26"/>
    </row>
    <row r="3866" ht="15.75" spans="1:3">
      <c r="A3866">
        <v>3865</v>
      </c>
      <c r="B3866" s="26"/>
      <c r="C3866" s="26"/>
    </row>
    <row r="3867" ht="21" spans="1:3">
      <c r="A3867">
        <v>3866</v>
      </c>
      <c r="B3867" s="27" t="s">
        <v>16892</v>
      </c>
      <c r="C3867" s="26"/>
    </row>
    <row r="3868" ht="21" spans="1:3">
      <c r="A3868">
        <v>3867</v>
      </c>
      <c r="B3868" s="27" t="s">
        <v>16892</v>
      </c>
      <c r="C3868" s="26"/>
    </row>
    <row r="3869" ht="21" spans="1:3">
      <c r="A3869">
        <v>3868</v>
      </c>
      <c r="B3869" s="27" t="s">
        <v>16892</v>
      </c>
      <c r="C3869" s="26"/>
    </row>
    <row r="3870" ht="21" spans="1:3">
      <c r="A3870">
        <v>3869</v>
      </c>
      <c r="B3870" s="27" t="s">
        <v>16892</v>
      </c>
      <c r="C3870" s="26"/>
    </row>
    <row r="3871" ht="21" spans="1:3">
      <c r="A3871">
        <v>3870</v>
      </c>
      <c r="B3871" s="27" t="s">
        <v>16892</v>
      </c>
      <c r="C3871" s="26"/>
    </row>
    <row r="3872" ht="15.75" spans="1:3">
      <c r="A3872">
        <v>3871</v>
      </c>
      <c r="B3872" s="26"/>
      <c r="C3872" s="26"/>
    </row>
    <row r="3873" ht="15.75" spans="1:3">
      <c r="A3873">
        <v>3872</v>
      </c>
      <c r="B3873" s="26"/>
      <c r="C3873" s="26"/>
    </row>
    <row r="3874" ht="21" spans="1:3">
      <c r="A3874">
        <v>3873</v>
      </c>
      <c r="B3874" s="27" t="s">
        <v>16892</v>
      </c>
      <c r="C3874" s="26"/>
    </row>
    <row r="3875" ht="21" spans="1:3">
      <c r="A3875">
        <v>3874</v>
      </c>
      <c r="B3875" s="27" t="s">
        <v>16892</v>
      </c>
      <c r="C3875" s="26"/>
    </row>
    <row r="3876" ht="21" spans="1:3">
      <c r="A3876">
        <v>3875</v>
      </c>
      <c r="B3876" s="25" t="s">
        <v>16892</v>
      </c>
      <c r="C3876" s="26"/>
    </row>
    <row r="3877" ht="21" spans="1:3">
      <c r="A3877">
        <v>3876</v>
      </c>
      <c r="B3877" s="27" t="s">
        <v>16892</v>
      </c>
      <c r="C3877" s="26"/>
    </row>
    <row r="3878" ht="21" spans="1:3">
      <c r="A3878">
        <v>3877</v>
      </c>
      <c r="B3878" s="25" t="s">
        <v>16892</v>
      </c>
      <c r="C3878" s="26"/>
    </row>
    <row r="3879" ht="21" spans="1:3">
      <c r="A3879">
        <v>3878</v>
      </c>
      <c r="B3879" s="27" t="s">
        <v>16892</v>
      </c>
      <c r="C3879" s="26"/>
    </row>
    <row r="3880" ht="21" spans="1:3">
      <c r="A3880">
        <v>3879</v>
      </c>
      <c r="B3880" s="25" t="s">
        <v>16892</v>
      </c>
      <c r="C3880" s="26"/>
    </row>
    <row r="3881" ht="21" spans="1:3">
      <c r="A3881">
        <v>3880</v>
      </c>
      <c r="B3881" s="25" t="s">
        <v>16892</v>
      </c>
      <c r="C3881" s="26"/>
    </row>
    <row r="3882" ht="21" spans="1:3">
      <c r="A3882">
        <v>3881</v>
      </c>
      <c r="B3882" s="25" t="s">
        <v>16892</v>
      </c>
      <c r="C3882" s="26"/>
    </row>
    <row r="3883" ht="21" spans="1:3">
      <c r="A3883">
        <v>3882</v>
      </c>
      <c r="B3883" s="25" t="s">
        <v>16892</v>
      </c>
      <c r="C3883" s="26"/>
    </row>
    <row r="3884" ht="21" spans="1:3">
      <c r="A3884">
        <v>3883</v>
      </c>
      <c r="B3884" s="27" t="s">
        <v>16892</v>
      </c>
      <c r="C3884" s="26"/>
    </row>
    <row r="3885" ht="21" spans="1:3">
      <c r="A3885">
        <v>3884</v>
      </c>
      <c r="B3885" s="25" t="s">
        <v>16892</v>
      </c>
      <c r="C3885" s="26"/>
    </row>
    <row r="3886" ht="21" spans="1:3">
      <c r="A3886">
        <v>3885</v>
      </c>
      <c r="B3886" s="27" t="s">
        <v>16892</v>
      </c>
      <c r="C3886" s="26"/>
    </row>
    <row r="3887" ht="21" spans="1:3">
      <c r="A3887">
        <v>3886</v>
      </c>
      <c r="B3887" s="25" t="s">
        <v>16892</v>
      </c>
      <c r="C3887" s="26"/>
    </row>
    <row r="3888" ht="21" spans="1:3">
      <c r="A3888">
        <v>3887</v>
      </c>
      <c r="B3888" s="27" t="s">
        <v>16892</v>
      </c>
      <c r="C3888" s="26"/>
    </row>
    <row r="3889" ht="21" spans="1:3">
      <c r="A3889">
        <v>3888</v>
      </c>
      <c r="B3889" s="25" t="s">
        <v>16892</v>
      </c>
      <c r="C3889" s="26"/>
    </row>
    <row r="3890" ht="21" spans="1:3">
      <c r="A3890">
        <v>3889</v>
      </c>
      <c r="B3890" s="27" t="s">
        <v>16892</v>
      </c>
      <c r="C3890" s="26"/>
    </row>
    <row r="3891" ht="21" spans="1:3">
      <c r="A3891">
        <v>3890</v>
      </c>
      <c r="B3891" s="27" t="s">
        <v>16892</v>
      </c>
      <c r="C3891" s="26"/>
    </row>
    <row r="3892" ht="21" spans="1:3">
      <c r="A3892">
        <v>3891</v>
      </c>
      <c r="B3892" s="27" t="s">
        <v>16892</v>
      </c>
      <c r="C3892" s="26"/>
    </row>
    <row r="3893" ht="21" spans="1:3">
      <c r="A3893">
        <v>3892</v>
      </c>
      <c r="B3893" s="25" t="s">
        <v>16892</v>
      </c>
      <c r="C3893" s="26"/>
    </row>
    <row r="3894" ht="21" spans="1:3">
      <c r="A3894">
        <v>3893</v>
      </c>
      <c r="B3894" s="27" t="s">
        <v>16892</v>
      </c>
      <c r="C3894" s="26"/>
    </row>
    <row r="3895" ht="21" spans="1:3">
      <c r="A3895">
        <v>3894</v>
      </c>
      <c r="B3895" s="27" t="s">
        <v>16892</v>
      </c>
      <c r="C3895" s="26"/>
    </row>
    <row r="3896" ht="21" spans="1:3">
      <c r="A3896">
        <v>3895</v>
      </c>
      <c r="B3896" s="25" t="s">
        <v>16892</v>
      </c>
      <c r="C3896" s="26"/>
    </row>
    <row r="3897" ht="21" spans="1:3">
      <c r="A3897">
        <v>3896</v>
      </c>
      <c r="B3897" s="27" t="s">
        <v>16892</v>
      </c>
      <c r="C3897" s="26"/>
    </row>
    <row r="3898" ht="21" spans="1:3">
      <c r="A3898">
        <v>3897</v>
      </c>
      <c r="B3898" s="27" t="s">
        <v>16892</v>
      </c>
      <c r="C3898" s="26"/>
    </row>
    <row r="3899" ht="15.75" spans="1:3">
      <c r="A3899">
        <v>3898</v>
      </c>
      <c r="B3899" s="26"/>
      <c r="C3899" s="26"/>
    </row>
    <row r="3900" ht="21" spans="1:3">
      <c r="A3900">
        <v>3899</v>
      </c>
      <c r="B3900" s="27" t="s">
        <v>16892</v>
      </c>
      <c r="C3900" s="26"/>
    </row>
    <row r="3901" ht="21" spans="1:3">
      <c r="A3901">
        <v>3900</v>
      </c>
      <c r="B3901" s="27" t="s">
        <v>16892</v>
      </c>
      <c r="C3901" s="26"/>
    </row>
    <row r="3902" ht="21" spans="1:3">
      <c r="A3902">
        <v>3901</v>
      </c>
      <c r="B3902" s="27" t="s">
        <v>16892</v>
      </c>
      <c r="C3902" s="26"/>
    </row>
    <row r="3903" ht="15.75" spans="1:3">
      <c r="A3903">
        <v>3902</v>
      </c>
      <c r="B3903" s="26"/>
      <c r="C3903" s="26"/>
    </row>
    <row r="3904" ht="21" spans="1:3">
      <c r="A3904">
        <v>3903</v>
      </c>
      <c r="B3904" s="25" t="s">
        <v>16892</v>
      </c>
      <c r="C3904" s="26"/>
    </row>
    <row r="3905" ht="21" spans="1:3">
      <c r="A3905">
        <v>3904</v>
      </c>
      <c r="B3905" s="27" t="s">
        <v>16892</v>
      </c>
      <c r="C3905" s="26"/>
    </row>
    <row r="3906" ht="21" spans="1:3">
      <c r="A3906">
        <v>3905</v>
      </c>
      <c r="B3906" s="27" t="s">
        <v>16892</v>
      </c>
      <c r="C3906" s="26"/>
    </row>
    <row r="3907" ht="21" spans="1:3">
      <c r="A3907">
        <v>3906</v>
      </c>
      <c r="B3907" s="25" t="s">
        <v>16892</v>
      </c>
      <c r="C3907" s="26"/>
    </row>
    <row r="3908" ht="21" spans="1:3">
      <c r="A3908">
        <v>3907</v>
      </c>
      <c r="B3908" s="27" t="s">
        <v>16892</v>
      </c>
      <c r="C3908" s="26"/>
    </row>
    <row r="3909" ht="21" spans="1:3">
      <c r="A3909">
        <v>3908</v>
      </c>
      <c r="B3909" s="27" t="s">
        <v>16892</v>
      </c>
      <c r="C3909" s="26"/>
    </row>
    <row r="3910" ht="21" spans="1:3">
      <c r="A3910">
        <v>3909</v>
      </c>
      <c r="B3910" s="27" t="s">
        <v>16892</v>
      </c>
      <c r="C3910" s="26"/>
    </row>
    <row r="3911" ht="15.75" spans="1:3">
      <c r="A3911">
        <v>3910</v>
      </c>
      <c r="B3911" s="26"/>
      <c r="C3911" s="26"/>
    </row>
    <row r="3912" ht="21" spans="1:3">
      <c r="A3912">
        <v>3911</v>
      </c>
      <c r="B3912" s="25" t="s">
        <v>16892</v>
      </c>
      <c r="C3912" s="26"/>
    </row>
    <row r="3913" ht="21" spans="1:3">
      <c r="A3913">
        <v>3912</v>
      </c>
      <c r="B3913" s="25" t="s">
        <v>16892</v>
      </c>
      <c r="C3913" s="26"/>
    </row>
    <row r="3914" ht="21" spans="1:3">
      <c r="A3914">
        <v>3913</v>
      </c>
      <c r="B3914" s="27" t="s">
        <v>16892</v>
      </c>
      <c r="C3914" s="26"/>
    </row>
    <row r="3915" ht="21" spans="1:3">
      <c r="A3915">
        <v>3914</v>
      </c>
      <c r="B3915" s="27" t="s">
        <v>16892</v>
      </c>
      <c r="C3915" s="26"/>
    </row>
    <row r="3916" ht="21" spans="1:3">
      <c r="A3916">
        <v>3915</v>
      </c>
      <c r="B3916" s="27" t="s">
        <v>16892</v>
      </c>
      <c r="C3916" s="26"/>
    </row>
    <row r="3917" ht="15.75" spans="1:3">
      <c r="A3917">
        <v>3916</v>
      </c>
      <c r="B3917" s="26"/>
      <c r="C3917" s="26"/>
    </row>
    <row r="3918" ht="21" spans="1:3">
      <c r="A3918">
        <v>3917</v>
      </c>
      <c r="B3918" s="25" t="s">
        <v>16892</v>
      </c>
      <c r="C3918" s="26"/>
    </row>
    <row r="3919" ht="21" spans="1:3">
      <c r="A3919">
        <v>3918</v>
      </c>
      <c r="B3919" s="25" t="s">
        <v>16892</v>
      </c>
      <c r="C3919" s="26"/>
    </row>
    <row r="3920" ht="21" spans="1:3">
      <c r="A3920">
        <v>3919</v>
      </c>
      <c r="B3920" s="25" t="s">
        <v>16892</v>
      </c>
      <c r="C3920" s="26"/>
    </row>
    <row r="3921" ht="21" spans="1:3">
      <c r="A3921">
        <v>3920</v>
      </c>
      <c r="B3921" s="25" t="s">
        <v>16892</v>
      </c>
      <c r="C3921" s="26"/>
    </row>
    <row r="3922" ht="21" spans="1:3">
      <c r="A3922">
        <v>3921</v>
      </c>
      <c r="B3922" s="27" t="s">
        <v>16892</v>
      </c>
      <c r="C3922" s="26"/>
    </row>
    <row r="3923" ht="21" spans="1:3">
      <c r="A3923">
        <v>3922</v>
      </c>
      <c r="B3923" s="25" t="s">
        <v>16892</v>
      </c>
      <c r="C3923" s="26"/>
    </row>
    <row r="3924" ht="21" spans="1:3">
      <c r="A3924">
        <v>3923</v>
      </c>
      <c r="B3924" s="25" t="s">
        <v>16892</v>
      </c>
      <c r="C3924" s="26"/>
    </row>
    <row r="3925" ht="21" spans="1:3">
      <c r="A3925">
        <v>3924</v>
      </c>
      <c r="B3925" s="27" t="s">
        <v>16892</v>
      </c>
      <c r="C3925" s="26"/>
    </row>
    <row r="3926" ht="21" spans="1:3">
      <c r="A3926">
        <v>3925</v>
      </c>
      <c r="B3926" s="27" t="s">
        <v>16892</v>
      </c>
      <c r="C3926" s="26"/>
    </row>
    <row r="3927" ht="21" spans="1:3">
      <c r="A3927">
        <v>3926</v>
      </c>
      <c r="B3927" s="25" t="s">
        <v>16892</v>
      </c>
      <c r="C3927" s="26"/>
    </row>
    <row r="3928" ht="21" spans="1:3">
      <c r="A3928">
        <v>3927</v>
      </c>
      <c r="B3928" s="27" t="s">
        <v>16892</v>
      </c>
      <c r="C3928" s="26"/>
    </row>
    <row r="3929" ht="15.75" spans="1:3">
      <c r="A3929">
        <v>3928</v>
      </c>
      <c r="B3929" s="26"/>
      <c r="C3929" s="26"/>
    </row>
    <row r="3930" ht="15.75" spans="1:3">
      <c r="A3930">
        <v>3929</v>
      </c>
      <c r="B3930" s="26"/>
      <c r="C3930" s="26"/>
    </row>
    <row r="3931" ht="18.75" spans="1:3">
      <c r="A3931">
        <v>3930</v>
      </c>
      <c r="B3931" s="32" t="str">
        <f>IFERROR(__xludf.DUMMYFUNCTION("""COMPUTED_VALUE"""),"selamawit ashenafi")</f>
        <v>selamawit ashenafi</v>
      </c>
      <c r="C3931" s="33">
        <v>921504828</v>
      </c>
    </row>
    <row r="3932" ht="15.75" spans="1:3">
      <c r="A3932">
        <v>3931</v>
      </c>
      <c r="B3932" s="26"/>
      <c r="C3932" s="26"/>
    </row>
    <row r="3933" ht="21" spans="1:3">
      <c r="A3933">
        <v>3932</v>
      </c>
      <c r="B3933" s="27" t="s">
        <v>16892</v>
      </c>
      <c r="C3933" s="26"/>
    </row>
    <row r="3934" ht="15.75" spans="1:3">
      <c r="A3934">
        <v>3933</v>
      </c>
      <c r="B3934" s="26"/>
      <c r="C3934" s="26"/>
    </row>
    <row r="3935" ht="15.75" spans="1:3">
      <c r="A3935">
        <v>3934</v>
      </c>
      <c r="B3935" s="26"/>
      <c r="C3935" s="26"/>
    </row>
    <row r="3936" ht="15.75" spans="1:3">
      <c r="A3936">
        <v>3935</v>
      </c>
      <c r="B3936" s="26"/>
      <c r="C3936" s="26"/>
    </row>
    <row r="3937" ht="21" spans="1:3">
      <c r="A3937">
        <v>3936</v>
      </c>
      <c r="B3937" s="27" t="s">
        <v>16898</v>
      </c>
      <c r="C3937" s="26"/>
    </row>
    <row r="3938" ht="18.75" spans="1:3">
      <c r="A3938">
        <v>3937</v>
      </c>
      <c r="B3938" s="31" t="str">
        <f>IFERROR(__xludf.DUMMYFUNCTION("""COMPUTED_VALUE"""),"tadele moges")</f>
        <v>tadele moges</v>
      </c>
      <c r="C3938" s="30">
        <v>927642351</v>
      </c>
    </row>
    <row r="3939" ht="15.75" spans="1:3">
      <c r="A3939">
        <v>3938</v>
      </c>
      <c r="B3939" s="26"/>
      <c r="C3939" s="26"/>
    </row>
    <row r="3940" ht="21" spans="1:3">
      <c r="A3940">
        <v>3939</v>
      </c>
      <c r="B3940" s="27" t="s">
        <v>16892</v>
      </c>
      <c r="C3940" s="26"/>
    </row>
    <row r="3941" ht="21" spans="1:3">
      <c r="A3941">
        <v>3940</v>
      </c>
      <c r="B3941" s="27" t="s">
        <v>16892</v>
      </c>
      <c r="C3941" s="26"/>
    </row>
    <row r="3942" ht="21" spans="1:3">
      <c r="A3942">
        <v>3941</v>
      </c>
      <c r="B3942" s="27" t="s">
        <v>16892</v>
      </c>
      <c r="C3942" s="26"/>
    </row>
    <row r="3943" ht="21" spans="1:3">
      <c r="A3943">
        <v>3942</v>
      </c>
      <c r="B3943" s="25" t="s">
        <v>16892</v>
      </c>
      <c r="C3943" s="26"/>
    </row>
    <row r="3944" ht="15.75" spans="1:3">
      <c r="A3944">
        <v>3943</v>
      </c>
      <c r="B3944" s="26"/>
      <c r="C3944" s="26"/>
    </row>
    <row r="3945" ht="21" spans="1:3">
      <c r="A3945">
        <v>3944</v>
      </c>
      <c r="B3945" s="25" t="s">
        <v>16892</v>
      </c>
      <c r="C3945" s="26"/>
    </row>
    <row r="3946" ht="21" spans="1:3">
      <c r="A3946">
        <v>3945</v>
      </c>
      <c r="B3946" s="27" t="s">
        <v>16892</v>
      </c>
      <c r="C3946" s="26"/>
    </row>
    <row r="3947" spans="1:3">
      <c r="A3947">
        <v>3946</v>
      </c>
      <c r="B3947" s="52" t="s">
        <v>16929</v>
      </c>
      <c r="C3947" s="53">
        <v>941864757</v>
      </c>
    </row>
    <row r="3948" ht="21" spans="1:3">
      <c r="A3948">
        <v>3947</v>
      </c>
      <c r="B3948" s="25" t="s">
        <v>16892</v>
      </c>
      <c r="C3948" s="26"/>
    </row>
    <row r="3949" ht="21" spans="1:3">
      <c r="A3949">
        <v>3948</v>
      </c>
      <c r="B3949" s="25" t="s">
        <v>16892</v>
      </c>
      <c r="C3949" s="26"/>
    </row>
    <row r="3950" ht="21" spans="1:3">
      <c r="A3950">
        <v>3949</v>
      </c>
      <c r="B3950" s="25" t="s">
        <v>16902</v>
      </c>
      <c r="C3950" s="26"/>
    </row>
    <row r="3951" ht="21" spans="1:3">
      <c r="A3951">
        <v>3950</v>
      </c>
      <c r="B3951" s="25" t="s">
        <v>16892</v>
      </c>
      <c r="C3951" s="26"/>
    </row>
    <row r="3952" ht="21" spans="1:3">
      <c r="A3952">
        <v>3951</v>
      </c>
      <c r="B3952" s="25" t="s">
        <v>16892</v>
      </c>
      <c r="C3952" s="26"/>
    </row>
    <row r="3953" ht="21" spans="1:3">
      <c r="A3953">
        <v>3952</v>
      </c>
      <c r="B3953" s="25" t="s">
        <v>16892</v>
      </c>
      <c r="C3953" s="26"/>
    </row>
    <row r="3954" ht="15.75" spans="1:3">
      <c r="A3954">
        <v>3953</v>
      </c>
      <c r="B3954" s="26"/>
      <c r="C3954" s="26"/>
    </row>
    <row r="3955" ht="15.75" spans="1:3">
      <c r="A3955">
        <v>3954</v>
      </c>
      <c r="B3955" s="26"/>
      <c r="C3955" s="26"/>
    </row>
    <row r="3956" ht="15.75" spans="1:3">
      <c r="A3956">
        <v>3955</v>
      </c>
      <c r="B3956" s="29"/>
      <c r="C3956" s="29"/>
    </row>
    <row r="3957" ht="15.75" spans="1:3">
      <c r="A3957">
        <v>3956</v>
      </c>
      <c r="B3957" s="29"/>
      <c r="C3957" s="29"/>
    </row>
    <row r="3958" ht="21" spans="1:3">
      <c r="A3958">
        <v>3957</v>
      </c>
      <c r="B3958" s="27" t="s">
        <v>16892</v>
      </c>
      <c r="C3958" s="26"/>
    </row>
    <row r="3959" ht="18.75" spans="1:3">
      <c r="A3959">
        <v>3958</v>
      </c>
      <c r="B3959" s="31" t="str">
        <f>IFERROR(__xludf.DUMMYFUNCTION("""COMPUTED_VALUE"""),"Tsigereda Yisiha")</f>
        <v>Tsigereda Yisiha</v>
      </c>
      <c r="C3959" s="30">
        <v>963294069</v>
      </c>
    </row>
    <row r="3960" ht="15.75" spans="1:3">
      <c r="A3960">
        <v>3959</v>
      </c>
      <c r="B3960" s="26"/>
      <c r="C3960" s="26"/>
    </row>
    <row r="3961" ht="15.75" spans="1:3">
      <c r="A3961">
        <v>3960</v>
      </c>
      <c r="B3961" s="26"/>
      <c r="C3961" s="26"/>
    </row>
    <row r="3962" ht="21" spans="1:3">
      <c r="A3962">
        <v>3961</v>
      </c>
      <c r="B3962" s="27" t="s">
        <v>16892</v>
      </c>
      <c r="C3962" s="26"/>
    </row>
    <row r="3963" ht="21" spans="1:3">
      <c r="A3963">
        <v>3962</v>
      </c>
      <c r="B3963" s="27" t="s">
        <v>16892</v>
      </c>
      <c r="C3963" s="26"/>
    </row>
    <row r="3964" ht="21" spans="1:3">
      <c r="A3964">
        <v>3963</v>
      </c>
      <c r="B3964" s="27" t="s">
        <v>16892</v>
      </c>
      <c r="C3964" s="26"/>
    </row>
    <row r="3965" ht="21" spans="1:3">
      <c r="A3965">
        <v>3964</v>
      </c>
      <c r="B3965" s="27" t="s">
        <v>16892</v>
      </c>
      <c r="C3965" s="26"/>
    </row>
    <row r="3966" ht="21" spans="1:3">
      <c r="A3966">
        <v>3965</v>
      </c>
      <c r="B3966" s="27" t="s">
        <v>16892</v>
      </c>
      <c r="C3966" s="26"/>
    </row>
    <row r="3967" ht="15.75" spans="1:3">
      <c r="A3967">
        <v>3966</v>
      </c>
      <c r="B3967" s="26"/>
      <c r="C3967" s="26"/>
    </row>
    <row r="3968" ht="15.75" spans="1:3">
      <c r="A3968">
        <v>3967</v>
      </c>
      <c r="B3968" s="26"/>
      <c r="C3968" s="26"/>
    </row>
    <row r="3969" ht="21" spans="1:3">
      <c r="A3969">
        <v>3968</v>
      </c>
      <c r="B3969" s="27" t="s">
        <v>16892</v>
      </c>
      <c r="C3969" s="26"/>
    </row>
    <row r="3970" ht="15.75" spans="1:3">
      <c r="A3970">
        <v>3969</v>
      </c>
      <c r="B3970" s="26"/>
      <c r="C3970" s="26"/>
    </row>
    <row r="3971" ht="18.75" spans="1:3">
      <c r="A3971">
        <v>3970</v>
      </c>
      <c r="B3971" s="30" t="str">
        <f>IFERROR(__xludf.DUMMYFUNCTION("""COMPUTED_VALUE"""),"አስፓዬር ግሪን ላንድ ኢትዮጵያ
Gizachew Asrie")</f>
        <v>አስፓዬር ግሪን ላንድ ኢትዮጵያ
Gizachew Asrie</v>
      </c>
      <c r="C3971" s="30">
        <v>937858589</v>
      </c>
    </row>
    <row r="3972" ht="21" spans="1:3">
      <c r="A3972">
        <v>3971</v>
      </c>
      <c r="B3972" s="25" t="s">
        <v>16892</v>
      </c>
      <c r="C3972" s="26"/>
    </row>
    <row r="3973" ht="21" spans="1:3">
      <c r="A3973">
        <v>3972</v>
      </c>
      <c r="B3973" s="27" t="s">
        <v>16892</v>
      </c>
      <c r="C3973" s="26"/>
    </row>
    <row r="3974" ht="21" spans="1:3">
      <c r="A3974">
        <v>3973</v>
      </c>
      <c r="B3974" s="25" t="s">
        <v>16892</v>
      </c>
      <c r="C3974" s="26"/>
    </row>
    <row r="3975" ht="21" spans="1:3">
      <c r="A3975">
        <v>3974</v>
      </c>
      <c r="B3975" s="25" t="s">
        <v>16892</v>
      </c>
      <c r="C3975" s="26"/>
    </row>
    <row r="3976" ht="21" spans="1:3">
      <c r="A3976">
        <v>3975</v>
      </c>
      <c r="B3976" s="25" t="s">
        <v>16892</v>
      </c>
      <c r="C3976" s="26"/>
    </row>
    <row r="3977" ht="21" spans="1:3">
      <c r="A3977">
        <v>3976</v>
      </c>
      <c r="B3977" s="27" t="s">
        <v>16892</v>
      </c>
      <c r="C3977" s="26"/>
    </row>
    <row r="3978" ht="21" spans="1:3">
      <c r="A3978">
        <v>3977</v>
      </c>
      <c r="B3978" s="25" t="s">
        <v>16892</v>
      </c>
      <c r="C3978" s="26"/>
    </row>
    <row r="3979" ht="21" spans="1:3">
      <c r="A3979">
        <v>3978</v>
      </c>
      <c r="B3979" s="25" t="s">
        <v>16892</v>
      </c>
      <c r="C3979" s="26"/>
    </row>
    <row r="3980" ht="15.75" spans="1:3">
      <c r="A3980">
        <v>3979</v>
      </c>
      <c r="B3980" s="26"/>
      <c r="C3980" s="26"/>
    </row>
    <row r="3981" ht="15.75" spans="1:3">
      <c r="A3981">
        <v>3980</v>
      </c>
      <c r="B3981" s="26"/>
      <c r="C3981" s="26"/>
    </row>
    <row r="3982" ht="21" spans="1:3">
      <c r="A3982">
        <v>3981</v>
      </c>
      <c r="B3982" s="27" t="s">
        <v>16892</v>
      </c>
      <c r="C3982" s="26"/>
    </row>
    <row r="3983" ht="21" spans="1:3">
      <c r="A3983">
        <v>3982</v>
      </c>
      <c r="B3983" s="25" t="s">
        <v>16892</v>
      </c>
      <c r="C3983" s="26"/>
    </row>
    <row r="3984" ht="21" spans="1:3">
      <c r="A3984">
        <v>3983</v>
      </c>
      <c r="B3984" s="25" t="s">
        <v>16892</v>
      </c>
      <c r="C3984" s="26"/>
    </row>
    <row r="3985" ht="15.75" spans="1:3">
      <c r="A3985">
        <v>3984</v>
      </c>
      <c r="B3985" s="26"/>
      <c r="C3985" s="26"/>
    </row>
    <row r="3986" ht="21" spans="1:3">
      <c r="A3986">
        <v>3985</v>
      </c>
      <c r="B3986" s="27" t="s">
        <v>16892</v>
      </c>
      <c r="C3986" s="26"/>
    </row>
    <row r="3987" ht="21" spans="1:3">
      <c r="A3987">
        <v>3986</v>
      </c>
      <c r="B3987" s="27" t="s">
        <v>16892</v>
      </c>
      <c r="C3987" s="26"/>
    </row>
    <row r="3988" ht="15.75" spans="1:3">
      <c r="A3988">
        <v>3987</v>
      </c>
      <c r="B3988" s="26"/>
      <c r="C3988" s="26"/>
    </row>
    <row r="3989" ht="21" spans="1:3">
      <c r="A3989">
        <v>3988</v>
      </c>
      <c r="B3989" s="25" t="s">
        <v>16892</v>
      </c>
      <c r="C3989" s="26"/>
    </row>
    <row r="3990" ht="21" spans="1:3">
      <c r="A3990">
        <v>3989</v>
      </c>
      <c r="B3990" s="25" t="s">
        <v>16892</v>
      </c>
      <c r="C3990" s="26"/>
    </row>
    <row r="3991" ht="21" spans="1:3">
      <c r="A3991">
        <v>3990</v>
      </c>
      <c r="B3991" s="25" t="s">
        <v>16892</v>
      </c>
      <c r="C3991" s="26"/>
    </row>
    <row r="3992" ht="21" spans="1:3">
      <c r="A3992">
        <v>3991</v>
      </c>
      <c r="B3992" s="25" t="s">
        <v>16892</v>
      </c>
      <c r="C3992" s="26"/>
    </row>
    <row r="3993" ht="15.75" spans="1:3">
      <c r="A3993">
        <v>3992</v>
      </c>
      <c r="B3993" s="26"/>
      <c r="C3993" s="26"/>
    </row>
    <row r="3994" ht="15.75" spans="1:3">
      <c r="A3994">
        <v>3993</v>
      </c>
      <c r="B3994" s="26"/>
      <c r="C3994" s="26"/>
    </row>
    <row r="3995" ht="21" spans="1:3">
      <c r="A3995">
        <v>3994</v>
      </c>
      <c r="B3995" s="25" t="s">
        <v>16892</v>
      </c>
      <c r="C3995" s="26"/>
    </row>
    <row r="3996" ht="21" spans="1:3">
      <c r="A3996">
        <v>3995</v>
      </c>
      <c r="B3996" s="27" t="s">
        <v>16892</v>
      </c>
      <c r="C3996" s="26"/>
    </row>
    <row r="3997" ht="21" spans="1:3">
      <c r="A3997">
        <v>3996</v>
      </c>
      <c r="B3997" s="27" t="s">
        <v>16892</v>
      </c>
      <c r="C3997" s="26"/>
    </row>
    <row r="3998" ht="15.75" spans="1:3">
      <c r="A3998">
        <v>3997</v>
      </c>
      <c r="B3998" s="26"/>
      <c r="C3998" s="26"/>
    </row>
    <row r="3999" ht="15.75" spans="1:3">
      <c r="A3999">
        <v>3998</v>
      </c>
      <c r="B3999" s="26"/>
      <c r="C3999" s="26"/>
    </row>
    <row r="4000" ht="15.75" spans="1:3">
      <c r="A4000">
        <v>3999</v>
      </c>
      <c r="B4000" s="26"/>
      <c r="C4000" s="26"/>
    </row>
    <row r="4001" ht="21" spans="1:3">
      <c r="A4001">
        <v>4000</v>
      </c>
      <c r="B4001" s="27" t="s">
        <v>16892</v>
      </c>
      <c r="C4001" s="26"/>
    </row>
    <row r="4002" ht="21" spans="1:3">
      <c r="A4002">
        <v>4001</v>
      </c>
      <c r="B4002" s="27" t="s">
        <v>16892</v>
      </c>
      <c r="C4002" s="26"/>
    </row>
    <row r="4003" ht="21" spans="1:3">
      <c r="A4003">
        <v>4002</v>
      </c>
      <c r="B4003" s="27" t="s">
        <v>16892</v>
      </c>
      <c r="C4003" s="26"/>
    </row>
    <row r="4004" ht="21" spans="1:3">
      <c r="A4004">
        <v>4003</v>
      </c>
      <c r="B4004" s="25" t="s">
        <v>16892</v>
      </c>
      <c r="C4004" s="26"/>
    </row>
    <row r="4005" ht="18" spans="1:3">
      <c r="A4005">
        <v>4004</v>
      </c>
      <c r="B4005" s="31" t="str">
        <f>IFERROR(__xludf.DUMMYFUNCTION("""COMPUTED_VALUE"""),"Asenake Michael")</f>
        <v>Asenake Michael</v>
      </c>
      <c r="C4005" s="31">
        <v>912818182</v>
      </c>
    </row>
    <row r="4006" ht="21" spans="1:3">
      <c r="A4006">
        <v>4005</v>
      </c>
      <c r="B4006" s="25" t="s">
        <v>16892</v>
      </c>
      <c r="C4006" s="26"/>
    </row>
    <row r="4007" ht="21" spans="1:3">
      <c r="A4007">
        <v>4006</v>
      </c>
      <c r="B4007" s="27" t="s">
        <v>16892</v>
      </c>
      <c r="C4007" s="26"/>
    </row>
    <row r="4008" ht="21" spans="1:3">
      <c r="A4008">
        <v>4007</v>
      </c>
      <c r="B4008" s="25" t="s">
        <v>16892</v>
      </c>
      <c r="C4008" s="26"/>
    </row>
    <row r="4009" ht="21" spans="1:3">
      <c r="A4009">
        <v>4008</v>
      </c>
      <c r="B4009" s="27" t="s">
        <v>16892</v>
      </c>
      <c r="C4009" s="26"/>
    </row>
    <row r="4010" ht="21" spans="1:3">
      <c r="A4010">
        <v>4009</v>
      </c>
      <c r="B4010" s="27" t="s">
        <v>16892</v>
      </c>
      <c r="C4010" s="26"/>
    </row>
    <row r="4011" ht="21" spans="1:3">
      <c r="A4011">
        <v>4010</v>
      </c>
      <c r="B4011" s="25" t="s">
        <v>16892</v>
      </c>
      <c r="C4011" s="26"/>
    </row>
    <row r="4012" ht="21" spans="1:3">
      <c r="A4012">
        <v>4011</v>
      </c>
      <c r="B4012" s="27" t="s">
        <v>16892</v>
      </c>
      <c r="C4012" s="26"/>
    </row>
    <row r="4013" ht="15.75" spans="1:3">
      <c r="A4013">
        <v>4012</v>
      </c>
      <c r="B4013" s="26"/>
      <c r="C4013" s="26"/>
    </row>
    <row r="4014" ht="21" spans="1:3">
      <c r="A4014">
        <v>4013</v>
      </c>
      <c r="B4014" s="25" t="s">
        <v>16892</v>
      </c>
      <c r="C4014" s="26"/>
    </row>
    <row r="4015" ht="21" spans="1:3">
      <c r="A4015">
        <v>4014</v>
      </c>
      <c r="B4015" s="25" t="s">
        <v>16892</v>
      </c>
      <c r="C4015" s="26"/>
    </row>
    <row r="4016" ht="21" spans="1:3">
      <c r="A4016">
        <v>4015</v>
      </c>
      <c r="B4016" s="25" t="s">
        <v>16892</v>
      </c>
      <c r="C4016" s="26"/>
    </row>
    <row r="4017" ht="21" spans="1:3">
      <c r="A4017">
        <v>4016</v>
      </c>
      <c r="B4017" s="27" t="s">
        <v>16892</v>
      </c>
      <c r="C4017" s="26"/>
    </row>
    <row r="4018" ht="21" spans="1:3">
      <c r="A4018">
        <v>4017</v>
      </c>
      <c r="B4018" s="25" t="s">
        <v>16892</v>
      </c>
      <c r="C4018" s="26"/>
    </row>
    <row r="4019" ht="21" spans="1:3">
      <c r="A4019">
        <v>4018</v>
      </c>
      <c r="B4019" s="27" t="s">
        <v>16892</v>
      </c>
      <c r="C4019" s="26"/>
    </row>
    <row r="4020" ht="21" spans="1:3">
      <c r="A4020">
        <v>4019</v>
      </c>
      <c r="B4020" s="25" t="s">
        <v>16892</v>
      </c>
      <c r="C4020" s="26"/>
    </row>
    <row r="4021" ht="21" spans="1:3">
      <c r="A4021">
        <v>4020</v>
      </c>
      <c r="B4021" s="25" t="s">
        <v>16892</v>
      </c>
      <c r="C4021" s="26"/>
    </row>
    <row r="4022" ht="21" spans="1:3">
      <c r="A4022">
        <v>4021</v>
      </c>
      <c r="B4022" s="27" t="s">
        <v>16892</v>
      </c>
      <c r="C4022" s="26"/>
    </row>
    <row r="4023" ht="21" spans="1:3">
      <c r="A4023">
        <v>4022</v>
      </c>
      <c r="B4023" s="27" t="s">
        <v>16892</v>
      </c>
      <c r="C4023" s="26"/>
    </row>
    <row r="4024" ht="21" spans="1:3">
      <c r="A4024">
        <v>4023</v>
      </c>
      <c r="B4024" s="27" t="s">
        <v>16892</v>
      </c>
      <c r="C4024" s="26"/>
    </row>
    <row r="4025" ht="21" spans="1:3">
      <c r="A4025">
        <v>4024</v>
      </c>
      <c r="B4025" s="25" t="s">
        <v>16892</v>
      </c>
      <c r="C4025" s="26"/>
    </row>
    <row r="4026" ht="15.75" spans="1:3">
      <c r="A4026">
        <v>4025</v>
      </c>
      <c r="B4026" s="26"/>
      <c r="C4026" s="26"/>
    </row>
    <row r="4027" ht="21" spans="1:3">
      <c r="A4027">
        <v>4026</v>
      </c>
      <c r="B4027" s="27" t="s">
        <v>16892</v>
      </c>
      <c r="C4027" s="26"/>
    </row>
    <row r="4028" ht="21" spans="1:3">
      <c r="A4028">
        <v>4027</v>
      </c>
      <c r="B4028" s="27" t="s">
        <v>16892</v>
      </c>
      <c r="C4028" s="26"/>
    </row>
    <row r="4029" ht="15.75" spans="1:3">
      <c r="A4029">
        <v>4028</v>
      </c>
      <c r="B4029" s="26"/>
      <c r="C4029" s="26"/>
    </row>
    <row r="4030" ht="21" spans="1:3">
      <c r="A4030">
        <v>4029</v>
      </c>
      <c r="B4030" s="27" t="s">
        <v>16892</v>
      </c>
      <c r="C4030" s="26"/>
    </row>
    <row r="4031" ht="21" spans="1:3">
      <c r="A4031">
        <v>4030</v>
      </c>
      <c r="B4031" s="25" t="s">
        <v>16892</v>
      </c>
      <c r="C4031" s="26"/>
    </row>
    <row r="4032" ht="21" spans="1:3">
      <c r="A4032">
        <v>4031</v>
      </c>
      <c r="B4032" s="25" t="s">
        <v>16892</v>
      </c>
      <c r="C4032" s="26"/>
    </row>
    <row r="4033" ht="21" spans="1:3">
      <c r="A4033">
        <v>4032</v>
      </c>
      <c r="B4033" s="27" t="s">
        <v>16892</v>
      </c>
      <c r="C4033" s="26"/>
    </row>
    <row r="4034" ht="21" spans="1:3">
      <c r="A4034">
        <v>4033</v>
      </c>
      <c r="B4034" s="27" t="s">
        <v>16892</v>
      </c>
      <c r="C4034" s="26"/>
    </row>
    <row r="4035" ht="21" spans="1:3">
      <c r="A4035">
        <v>4034</v>
      </c>
      <c r="B4035" s="27" t="s">
        <v>16892</v>
      </c>
      <c r="C4035" s="26"/>
    </row>
    <row r="4036" ht="15.75" spans="1:3">
      <c r="A4036">
        <v>4035</v>
      </c>
      <c r="B4036" s="26"/>
      <c r="C4036" s="26"/>
    </row>
    <row r="4037" ht="21" spans="1:3">
      <c r="A4037">
        <v>4036</v>
      </c>
      <c r="B4037" s="25" t="s">
        <v>16892</v>
      </c>
      <c r="C4037" s="26"/>
    </row>
    <row r="4038" ht="21" spans="1:3">
      <c r="A4038">
        <v>4037</v>
      </c>
      <c r="B4038" s="25" t="s">
        <v>16892</v>
      </c>
      <c r="C4038" s="26"/>
    </row>
    <row r="4039" ht="21" spans="1:3">
      <c r="A4039">
        <v>4038</v>
      </c>
      <c r="B4039" s="25" t="s">
        <v>16892</v>
      </c>
      <c r="C4039" s="26"/>
    </row>
    <row r="4040" ht="21" spans="1:3">
      <c r="A4040">
        <v>4039</v>
      </c>
      <c r="B4040" s="27" t="s">
        <v>16892</v>
      </c>
      <c r="C4040" s="26"/>
    </row>
    <row r="4041" ht="21" spans="1:3">
      <c r="A4041">
        <v>4040</v>
      </c>
      <c r="B4041" s="25" t="s">
        <v>16892</v>
      </c>
      <c r="C4041" s="26"/>
    </row>
    <row r="4042" ht="21" spans="1:3">
      <c r="A4042">
        <v>4041</v>
      </c>
      <c r="B4042" s="27" t="s">
        <v>16892</v>
      </c>
      <c r="C4042" s="26"/>
    </row>
    <row r="4043" ht="21" spans="1:3">
      <c r="A4043">
        <v>4042</v>
      </c>
      <c r="B4043" s="27" t="s">
        <v>16892</v>
      </c>
      <c r="C4043" s="26"/>
    </row>
    <row r="4044" ht="18" spans="1:3">
      <c r="A4044">
        <v>4043</v>
      </c>
      <c r="B4044" s="31" t="str">
        <f>IFERROR(__xludf.DUMMYFUNCTION("""COMPUTED_VALUE"""),"yitbarek haile")</f>
        <v>yitbarek haile</v>
      </c>
      <c r="C4044" s="31">
        <v>911600139</v>
      </c>
    </row>
    <row r="4045" ht="15.75" spans="1:3">
      <c r="A4045">
        <v>4044</v>
      </c>
      <c r="B4045" s="26"/>
      <c r="C4045" s="26"/>
    </row>
    <row r="4046" ht="21" spans="1:3">
      <c r="A4046">
        <v>4045</v>
      </c>
      <c r="B4046" s="27" t="s">
        <v>16892</v>
      </c>
      <c r="C4046" s="26"/>
    </row>
    <row r="4047" ht="15.75" spans="1:3">
      <c r="A4047">
        <v>4046</v>
      </c>
      <c r="B4047" s="26"/>
      <c r="C4047" s="26"/>
    </row>
    <row r="4048" ht="21" spans="1:3">
      <c r="A4048">
        <v>4047</v>
      </c>
      <c r="B4048" s="25" t="s">
        <v>16892</v>
      </c>
      <c r="C4048" s="26"/>
    </row>
    <row r="4049" ht="15.75" spans="1:3">
      <c r="A4049">
        <v>4048</v>
      </c>
      <c r="B4049" s="26"/>
      <c r="C4049" s="26"/>
    </row>
    <row r="4050" ht="21" spans="1:3">
      <c r="A4050">
        <v>4049</v>
      </c>
      <c r="B4050" s="25" t="s">
        <v>16892</v>
      </c>
      <c r="C4050" s="26"/>
    </row>
    <row r="4051" ht="21" spans="1:3">
      <c r="A4051">
        <v>4050</v>
      </c>
      <c r="B4051" s="27" t="s">
        <v>16892</v>
      </c>
      <c r="C4051" s="26"/>
    </row>
    <row r="4052" ht="21" spans="1:3">
      <c r="A4052">
        <v>4051</v>
      </c>
      <c r="B4052" s="25" t="s">
        <v>16892</v>
      </c>
      <c r="C4052" s="26"/>
    </row>
    <row r="4053" ht="15.75" spans="1:3">
      <c r="A4053">
        <v>4052</v>
      </c>
      <c r="B4053" s="26"/>
      <c r="C4053" s="26"/>
    </row>
    <row r="4054" ht="21" spans="1:3">
      <c r="A4054">
        <v>4053</v>
      </c>
      <c r="B4054" s="25" t="s">
        <v>16892</v>
      </c>
      <c r="C4054" s="26"/>
    </row>
    <row r="4055" ht="15.75" spans="1:3">
      <c r="A4055">
        <v>4054</v>
      </c>
      <c r="B4055" s="26"/>
      <c r="C4055" s="26"/>
    </row>
    <row r="4056" ht="21" spans="1:3">
      <c r="A4056">
        <v>4055</v>
      </c>
      <c r="B4056" s="27" t="s">
        <v>16892</v>
      </c>
      <c r="C4056" s="26"/>
    </row>
    <row r="4057" ht="15.75" spans="1:3">
      <c r="A4057">
        <v>4056</v>
      </c>
      <c r="B4057" s="26"/>
      <c r="C4057" s="26"/>
    </row>
    <row r="4058" ht="15.75" spans="1:3">
      <c r="A4058">
        <v>4057</v>
      </c>
      <c r="B4058" s="26"/>
      <c r="C4058" s="26"/>
    </row>
    <row r="4059" ht="15.75" spans="1:3">
      <c r="A4059">
        <v>4058</v>
      </c>
      <c r="B4059" s="26"/>
      <c r="C4059" s="26"/>
    </row>
    <row r="4060" ht="15.75" spans="1:3">
      <c r="A4060">
        <v>4059</v>
      </c>
      <c r="B4060" s="26"/>
      <c r="C4060" s="26"/>
    </row>
    <row r="4061" ht="15.75" spans="1:3">
      <c r="A4061">
        <v>4060</v>
      </c>
      <c r="B4061" s="26"/>
      <c r="C4061" s="26"/>
    </row>
    <row r="4062" ht="21" spans="1:3">
      <c r="A4062">
        <v>4061</v>
      </c>
      <c r="B4062" s="25" t="s">
        <v>16892</v>
      </c>
      <c r="C4062" s="26"/>
    </row>
    <row r="4063" ht="15.75" spans="1:3">
      <c r="A4063">
        <v>4062</v>
      </c>
      <c r="B4063" s="26"/>
      <c r="C4063" s="26"/>
    </row>
    <row r="4064" ht="15.75" spans="1:3">
      <c r="A4064">
        <v>4063</v>
      </c>
      <c r="B4064" s="26"/>
      <c r="C4064" s="26"/>
    </row>
    <row r="4065" ht="15.75" spans="1:3">
      <c r="A4065">
        <v>4064</v>
      </c>
      <c r="B4065" s="26"/>
      <c r="C4065" s="26"/>
    </row>
    <row r="4066" ht="15.75" spans="1:3">
      <c r="A4066">
        <v>4065</v>
      </c>
      <c r="B4066" s="26"/>
      <c r="C4066" s="26"/>
    </row>
    <row r="4067" ht="15.75" spans="1:3">
      <c r="A4067">
        <v>4066</v>
      </c>
      <c r="B4067" s="26"/>
      <c r="C4067" s="26"/>
    </row>
    <row r="4068" ht="15.75" spans="1:3">
      <c r="A4068">
        <v>4067</v>
      </c>
      <c r="B4068" s="26"/>
      <c r="C4068" s="26"/>
    </row>
    <row r="4069" ht="15.75" spans="1:3">
      <c r="A4069">
        <v>4068</v>
      </c>
      <c r="B4069" s="26"/>
      <c r="C4069" s="26"/>
    </row>
    <row r="4070" ht="15.75" spans="1:3">
      <c r="A4070">
        <v>4069</v>
      </c>
      <c r="B4070" s="26"/>
      <c r="C4070" s="26"/>
    </row>
    <row r="4071" ht="21" spans="1:3">
      <c r="A4071">
        <v>4070</v>
      </c>
      <c r="B4071" s="25" t="s">
        <v>16892</v>
      </c>
      <c r="C4071" s="26"/>
    </row>
    <row r="4072" ht="21" spans="1:3">
      <c r="A4072">
        <v>4071</v>
      </c>
      <c r="B4072" s="25" t="s">
        <v>16892</v>
      </c>
      <c r="C4072" s="26"/>
    </row>
    <row r="4073" ht="21" spans="1:3">
      <c r="A4073">
        <v>4072</v>
      </c>
      <c r="B4073" s="27" t="s">
        <v>16892</v>
      </c>
      <c r="C4073" s="26"/>
    </row>
    <row r="4074" ht="21" spans="1:3">
      <c r="A4074">
        <v>4073</v>
      </c>
      <c r="B4074" s="27" t="s">
        <v>16892</v>
      </c>
      <c r="C4074" s="26"/>
    </row>
    <row r="4075" ht="21" spans="1:3">
      <c r="A4075">
        <v>4074</v>
      </c>
      <c r="B4075" s="27" t="s">
        <v>16892</v>
      </c>
      <c r="C4075" s="26"/>
    </row>
    <row r="4076" ht="21" spans="1:3">
      <c r="A4076">
        <v>4075</v>
      </c>
      <c r="B4076" s="25" t="s">
        <v>16892</v>
      </c>
      <c r="C4076" s="26"/>
    </row>
    <row r="4077" ht="21" spans="1:3">
      <c r="A4077">
        <v>4076</v>
      </c>
      <c r="B4077" s="27" t="s">
        <v>16892</v>
      </c>
      <c r="C4077" s="26"/>
    </row>
    <row r="4078" ht="21" spans="1:3">
      <c r="A4078">
        <v>4077</v>
      </c>
      <c r="B4078" s="25" t="s">
        <v>16892</v>
      </c>
      <c r="C4078" s="26"/>
    </row>
    <row r="4079" ht="21" spans="1:3">
      <c r="A4079">
        <v>4078</v>
      </c>
      <c r="B4079" s="27" t="s">
        <v>16892</v>
      </c>
      <c r="C4079" s="26"/>
    </row>
    <row r="4080" ht="21" spans="1:3">
      <c r="A4080">
        <v>4079</v>
      </c>
      <c r="B4080" s="27" t="s">
        <v>16892</v>
      </c>
      <c r="C4080" s="26"/>
    </row>
    <row r="4081" ht="21" spans="1:3">
      <c r="A4081">
        <v>4080</v>
      </c>
      <c r="B4081" s="27" t="s">
        <v>16892</v>
      </c>
      <c r="C4081" s="26"/>
    </row>
    <row r="4082" ht="21" spans="1:3">
      <c r="A4082">
        <v>4081</v>
      </c>
      <c r="B4082" s="27" t="s">
        <v>16892</v>
      </c>
      <c r="C4082" s="26"/>
    </row>
    <row r="4083" ht="21" spans="1:3">
      <c r="A4083">
        <v>4082</v>
      </c>
      <c r="B4083" s="27" t="s">
        <v>16892</v>
      </c>
      <c r="C4083" s="26"/>
    </row>
    <row r="4084" ht="21" spans="1:3">
      <c r="A4084">
        <v>4083</v>
      </c>
      <c r="B4084" s="25" t="s">
        <v>16892</v>
      </c>
      <c r="C4084" s="26"/>
    </row>
    <row r="4085" ht="21" spans="1:3">
      <c r="A4085">
        <v>4084</v>
      </c>
      <c r="B4085" s="25" t="s">
        <v>16892</v>
      </c>
      <c r="C4085" s="26"/>
    </row>
    <row r="4086" ht="21" spans="1:3">
      <c r="A4086">
        <v>4085</v>
      </c>
      <c r="B4086" s="25" t="s">
        <v>16892</v>
      </c>
      <c r="C4086" s="26"/>
    </row>
    <row r="4087" ht="21" spans="1:3">
      <c r="A4087">
        <v>4086</v>
      </c>
      <c r="B4087" s="25" t="s">
        <v>16892</v>
      </c>
      <c r="C4087" s="26"/>
    </row>
    <row r="4088" ht="21" spans="1:3">
      <c r="A4088">
        <v>4087</v>
      </c>
      <c r="B4088" s="25" t="s">
        <v>16892</v>
      </c>
      <c r="C4088" s="26"/>
    </row>
    <row r="4089" ht="21" spans="1:3">
      <c r="A4089">
        <v>4088</v>
      </c>
      <c r="B4089" s="27" t="s">
        <v>16892</v>
      </c>
      <c r="C4089" s="26"/>
    </row>
    <row r="4090" ht="21" spans="1:3">
      <c r="A4090">
        <v>4089</v>
      </c>
      <c r="B4090" s="25" t="s">
        <v>16892</v>
      </c>
      <c r="C4090" s="26"/>
    </row>
    <row r="4091" ht="21" spans="1:3">
      <c r="A4091">
        <v>4090</v>
      </c>
      <c r="B4091" s="27" t="s">
        <v>16892</v>
      </c>
      <c r="C4091" s="26"/>
    </row>
    <row r="4092" ht="21" spans="1:3">
      <c r="A4092">
        <v>4091</v>
      </c>
      <c r="B4092" s="25" t="s">
        <v>16892</v>
      </c>
      <c r="C4092" s="26"/>
    </row>
    <row r="4093" ht="21" spans="1:3">
      <c r="A4093">
        <v>4092</v>
      </c>
      <c r="B4093" s="27" t="s">
        <v>16892</v>
      </c>
      <c r="C4093" s="26"/>
    </row>
    <row r="4094" ht="21" spans="1:3">
      <c r="A4094">
        <v>4093</v>
      </c>
      <c r="B4094" s="27" t="s">
        <v>16892</v>
      </c>
      <c r="C4094" s="26"/>
    </row>
    <row r="4095" ht="21" spans="1:3">
      <c r="A4095">
        <v>4094</v>
      </c>
      <c r="B4095" s="27" t="s">
        <v>16892</v>
      </c>
      <c r="C4095" s="26"/>
    </row>
    <row r="4096" ht="21" spans="1:3">
      <c r="A4096">
        <v>4095</v>
      </c>
      <c r="B4096" s="25" t="s">
        <v>16892</v>
      </c>
      <c r="C4096" s="26"/>
    </row>
    <row r="4097" ht="15.75" spans="1:3">
      <c r="A4097">
        <v>4096</v>
      </c>
      <c r="B4097" s="41"/>
      <c r="C4097" s="41"/>
    </row>
    <row r="4098" ht="21" spans="1:3">
      <c r="A4098">
        <v>4097</v>
      </c>
      <c r="B4098" s="25" t="s">
        <v>16892</v>
      </c>
      <c r="C4098" s="26"/>
    </row>
    <row r="4099" ht="21" spans="1:3">
      <c r="A4099">
        <v>4098</v>
      </c>
      <c r="B4099" s="25" t="s">
        <v>16892</v>
      </c>
      <c r="C4099" s="26"/>
    </row>
    <row r="4100" ht="15.75" spans="1:3">
      <c r="A4100">
        <v>4099</v>
      </c>
      <c r="B4100" s="26"/>
      <c r="C4100" s="26"/>
    </row>
    <row r="4101" ht="15.75" spans="1:3">
      <c r="A4101">
        <v>4100</v>
      </c>
      <c r="B4101" s="26"/>
      <c r="C4101" s="26"/>
    </row>
    <row r="4102" ht="21" spans="1:3">
      <c r="A4102">
        <v>4101</v>
      </c>
      <c r="B4102" s="25" t="s">
        <v>16892</v>
      </c>
      <c r="C4102" s="26"/>
    </row>
    <row r="4103" ht="21" spans="1:3">
      <c r="A4103">
        <v>4102</v>
      </c>
      <c r="B4103" s="27" t="s">
        <v>16892</v>
      </c>
      <c r="C4103" s="26"/>
    </row>
    <row r="4104" ht="21" spans="1:3">
      <c r="A4104">
        <v>4103</v>
      </c>
      <c r="B4104" s="27" t="s">
        <v>16892</v>
      </c>
      <c r="C4104" s="26"/>
    </row>
    <row r="4105" ht="15.75" spans="1:3">
      <c r="A4105">
        <v>4104</v>
      </c>
      <c r="B4105" s="26"/>
      <c r="C4105" s="26"/>
    </row>
    <row r="4106" ht="18.75" spans="1:3">
      <c r="A4106">
        <v>4105</v>
      </c>
      <c r="B4106" s="31" t="str">
        <f>IFERROR(__xludf.DUMMYFUNCTION("""COMPUTED_VALUE"""),"ብርሃኑ ወልዴ")</f>
        <v>ብርሃኑ ወልዴ</v>
      </c>
      <c r="C4106" s="30">
        <v>911584834</v>
      </c>
    </row>
    <row r="4107" ht="15.75" spans="1:3">
      <c r="A4107">
        <v>4106</v>
      </c>
      <c r="B4107" s="26"/>
      <c r="C4107" s="26"/>
    </row>
    <row r="4108" ht="15.75" spans="1:3">
      <c r="A4108">
        <v>4107</v>
      </c>
      <c r="B4108" s="26"/>
      <c r="C4108" s="26"/>
    </row>
    <row r="4109" ht="15.75" spans="1:3">
      <c r="A4109">
        <v>4108</v>
      </c>
      <c r="B4109" s="26"/>
      <c r="C4109" s="26"/>
    </row>
    <row r="4110" ht="21" spans="1:3">
      <c r="A4110">
        <v>4109</v>
      </c>
      <c r="B4110" s="27" t="s">
        <v>16892</v>
      </c>
      <c r="C4110" s="26"/>
    </row>
    <row r="4111" ht="21" spans="1:3">
      <c r="A4111">
        <v>4110</v>
      </c>
      <c r="B4111" s="27" t="s">
        <v>16892</v>
      </c>
      <c r="C4111" s="26"/>
    </row>
    <row r="4112" ht="21" spans="1:3">
      <c r="A4112">
        <v>4111</v>
      </c>
      <c r="B4112" s="25" t="s">
        <v>16892</v>
      </c>
      <c r="C4112" s="26"/>
    </row>
    <row r="4113" ht="15.75" spans="1:3">
      <c r="A4113">
        <v>4112</v>
      </c>
      <c r="B4113" s="26"/>
      <c r="C4113" s="26"/>
    </row>
    <row r="4114" ht="21" spans="1:3">
      <c r="A4114">
        <v>4113</v>
      </c>
      <c r="B4114" s="25" t="s">
        <v>16892</v>
      </c>
      <c r="C4114" s="26"/>
    </row>
    <row r="4115" ht="15.75" spans="1:3">
      <c r="A4115">
        <v>4114</v>
      </c>
      <c r="B4115" s="26"/>
      <c r="C4115" s="26"/>
    </row>
    <row r="4116" ht="15.75" spans="1:3">
      <c r="A4116">
        <v>4115</v>
      </c>
      <c r="B4116" s="26"/>
      <c r="C4116" s="26"/>
    </row>
    <row r="4117" ht="21" spans="1:3">
      <c r="A4117">
        <v>4116</v>
      </c>
      <c r="B4117" s="27" t="s">
        <v>16892</v>
      </c>
      <c r="C4117" s="26"/>
    </row>
    <row r="4118" ht="21" spans="1:3">
      <c r="A4118">
        <v>4117</v>
      </c>
      <c r="B4118" s="25" t="s">
        <v>16892</v>
      </c>
      <c r="C4118" s="26"/>
    </row>
    <row r="4119" ht="15.75" spans="1:3">
      <c r="A4119">
        <v>4118</v>
      </c>
      <c r="B4119" s="26"/>
      <c r="C4119" s="26"/>
    </row>
    <row r="4120" ht="21" spans="1:3">
      <c r="A4120">
        <v>4119</v>
      </c>
      <c r="B4120" s="25" t="s">
        <v>16892</v>
      </c>
      <c r="C4120" s="26"/>
    </row>
    <row r="4121" ht="21" spans="1:3">
      <c r="A4121">
        <v>4120</v>
      </c>
      <c r="B4121" s="25" t="s">
        <v>16892</v>
      </c>
      <c r="C4121" s="26"/>
    </row>
    <row r="4122" ht="21" spans="1:3">
      <c r="A4122">
        <v>4121</v>
      </c>
      <c r="B4122" s="27" t="s">
        <v>16892</v>
      </c>
      <c r="C4122" s="26"/>
    </row>
    <row r="4123" ht="21" spans="1:3">
      <c r="A4123">
        <v>4122</v>
      </c>
      <c r="B4123" s="27" t="s">
        <v>16892</v>
      </c>
      <c r="C4123" s="26"/>
    </row>
    <row r="4124" ht="21" spans="1:3">
      <c r="A4124">
        <v>4123</v>
      </c>
      <c r="B4124" s="27" t="s">
        <v>16892</v>
      </c>
      <c r="C4124" s="26"/>
    </row>
    <row r="4125" ht="21" spans="1:3">
      <c r="A4125">
        <v>4124</v>
      </c>
      <c r="B4125" s="27" t="s">
        <v>16892</v>
      </c>
      <c r="C4125" s="26"/>
    </row>
    <row r="4126" ht="21" spans="1:3">
      <c r="A4126">
        <v>4125</v>
      </c>
      <c r="B4126" s="27" t="s">
        <v>16892</v>
      </c>
      <c r="C4126" s="26"/>
    </row>
    <row r="4127" ht="15.75" spans="1:3">
      <c r="A4127">
        <v>4126</v>
      </c>
      <c r="B4127" s="26"/>
      <c r="C4127" s="26"/>
    </row>
    <row r="4128" ht="15.75" spans="1:3">
      <c r="A4128">
        <v>4127</v>
      </c>
      <c r="B4128" s="26"/>
      <c r="C4128" s="26"/>
    </row>
    <row r="4129" ht="15.75" spans="1:3">
      <c r="A4129">
        <v>4128</v>
      </c>
      <c r="B4129" s="26"/>
      <c r="C4129" s="26"/>
    </row>
    <row r="4130" ht="15.75" spans="1:3">
      <c r="A4130">
        <v>4129</v>
      </c>
      <c r="B4130" s="29"/>
      <c r="C4130" s="29"/>
    </row>
    <row r="4131" ht="15.75" spans="1:3">
      <c r="A4131">
        <v>4130</v>
      </c>
      <c r="B4131" s="29"/>
      <c r="C4131" s="29"/>
    </row>
    <row r="4132" ht="15.75" spans="1:3">
      <c r="A4132">
        <v>4131</v>
      </c>
      <c r="B4132" s="29"/>
      <c r="C4132" s="29"/>
    </row>
    <row r="4133" ht="18" spans="1:3">
      <c r="A4133">
        <v>4132</v>
      </c>
      <c r="B4133" s="39" t="str">
        <f>IFERROR(__xludf.DUMMYFUNCTION("""COMPUTED_VALUE"""),"tefera Hailu")</f>
        <v>tefera Hailu</v>
      </c>
      <c r="C4133" s="39">
        <v>991189184</v>
      </c>
    </row>
    <row r="4134" ht="21" spans="1:3">
      <c r="A4134">
        <v>4133</v>
      </c>
      <c r="B4134" s="27" t="s">
        <v>16892</v>
      </c>
      <c r="C4134" s="26"/>
    </row>
    <row r="4135" ht="15.75" spans="1:3">
      <c r="A4135">
        <v>4134</v>
      </c>
      <c r="B4135" s="26"/>
      <c r="C4135" s="26"/>
    </row>
    <row r="4136" ht="18.75" spans="1:3">
      <c r="A4136">
        <v>4135</v>
      </c>
      <c r="B4136" s="31" t="str">
        <f>IFERROR(__xludf.DUMMYFUNCTION("""COMPUTED_VALUE"""),"ቤዛዬ ንጉሴ")</f>
        <v>ቤዛዬ ንጉሴ</v>
      </c>
      <c r="C4136" s="30">
        <v>948746103</v>
      </c>
    </row>
    <row r="4137" ht="18.75" spans="1:3">
      <c r="A4137">
        <v>4136</v>
      </c>
      <c r="B4137" s="31" t="str">
        <f>IFERROR(__xludf.DUMMYFUNCTION("""COMPUTED_VALUE"""),"ቤዛዬ ንጉሴ")</f>
        <v>ቤዛዬ ንጉሴ</v>
      </c>
      <c r="C4137" s="30">
        <v>948746103</v>
      </c>
    </row>
    <row r="4138" ht="21" spans="1:3">
      <c r="A4138">
        <v>4137</v>
      </c>
      <c r="B4138" s="25" t="s">
        <v>16892</v>
      </c>
      <c r="C4138" s="26"/>
    </row>
    <row r="4139" ht="21" spans="1:3">
      <c r="A4139">
        <v>4138</v>
      </c>
      <c r="B4139" s="27" t="s">
        <v>16892</v>
      </c>
      <c r="C4139" s="26"/>
    </row>
    <row r="4140" ht="15.75" spans="1:3">
      <c r="A4140">
        <v>4139</v>
      </c>
      <c r="B4140" s="26"/>
      <c r="C4140" s="26"/>
    </row>
    <row r="4141" ht="21" spans="1:3">
      <c r="A4141">
        <v>4140</v>
      </c>
      <c r="B4141" s="27" t="s">
        <v>16892</v>
      </c>
      <c r="C4141" s="26"/>
    </row>
    <row r="4142" ht="21" spans="1:3">
      <c r="A4142">
        <v>4141</v>
      </c>
      <c r="B4142" s="25" t="s">
        <v>16892</v>
      </c>
      <c r="C4142" s="26"/>
    </row>
    <row r="4143" ht="21" spans="1:3">
      <c r="A4143">
        <v>4142</v>
      </c>
      <c r="B4143" s="27" t="s">
        <v>16892</v>
      </c>
      <c r="C4143" s="26"/>
    </row>
    <row r="4144" ht="21" spans="1:3">
      <c r="A4144">
        <v>4143</v>
      </c>
      <c r="B4144" s="27" t="s">
        <v>16892</v>
      </c>
      <c r="C4144" s="26"/>
    </row>
    <row r="4145" ht="21" spans="1:3">
      <c r="A4145">
        <v>4144</v>
      </c>
      <c r="B4145" s="25" t="s">
        <v>16892</v>
      </c>
      <c r="C4145" s="26"/>
    </row>
    <row r="4146" ht="21" spans="1:3">
      <c r="A4146">
        <v>4145</v>
      </c>
      <c r="B4146" s="27" t="s">
        <v>16892</v>
      </c>
      <c r="C4146" s="26"/>
    </row>
    <row r="4147" ht="21" spans="1:3">
      <c r="A4147">
        <v>4146</v>
      </c>
      <c r="B4147" s="27" t="s">
        <v>16892</v>
      </c>
      <c r="C4147" s="26"/>
    </row>
    <row r="4148" ht="21" spans="1:3">
      <c r="A4148">
        <v>4147</v>
      </c>
      <c r="B4148" s="25" t="s">
        <v>16892</v>
      </c>
      <c r="C4148" s="26"/>
    </row>
    <row r="4149" ht="21" spans="1:3">
      <c r="A4149">
        <v>4148</v>
      </c>
      <c r="B4149" s="25" t="s">
        <v>16892</v>
      </c>
      <c r="C4149" s="26"/>
    </row>
    <row r="4150" ht="21" spans="1:3">
      <c r="A4150">
        <v>4149</v>
      </c>
      <c r="B4150" s="27" t="s">
        <v>16892</v>
      </c>
      <c r="C4150" s="26"/>
    </row>
    <row r="4151" ht="21" spans="1:3">
      <c r="A4151">
        <v>4150</v>
      </c>
      <c r="B4151" s="25" t="s">
        <v>16892</v>
      </c>
      <c r="C4151" s="26"/>
    </row>
    <row r="4152" ht="21" spans="1:3">
      <c r="A4152">
        <v>4151</v>
      </c>
      <c r="B4152" s="25" t="s">
        <v>16892</v>
      </c>
      <c r="C4152" s="26"/>
    </row>
    <row r="4153" ht="15.75" spans="1:3">
      <c r="A4153">
        <v>4152</v>
      </c>
      <c r="B4153" s="26"/>
      <c r="C4153" s="26"/>
    </row>
    <row r="4154" ht="21" spans="1:3">
      <c r="A4154">
        <v>4153</v>
      </c>
      <c r="B4154" s="27" t="s">
        <v>16892</v>
      </c>
      <c r="C4154" s="26"/>
    </row>
    <row r="4155" ht="21" spans="1:3">
      <c r="A4155">
        <v>4154</v>
      </c>
      <c r="B4155" s="25" t="s">
        <v>16892</v>
      </c>
      <c r="C4155" s="26"/>
    </row>
    <row r="4156" ht="15.75" spans="1:3">
      <c r="A4156">
        <v>4155</v>
      </c>
      <c r="B4156" s="26"/>
      <c r="C4156" s="26"/>
    </row>
    <row r="4157" ht="15.75" spans="1:3">
      <c r="A4157">
        <v>4156</v>
      </c>
      <c r="B4157" s="26"/>
      <c r="C4157" s="26"/>
    </row>
    <row r="4158" ht="15.75" spans="1:3">
      <c r="A4158">
        <v>4157</v>
      </c>
      <c r="B4158" s="29"/>
      <c r="C4158" s="29"/>
    </row>
    <row r="4159" ht="15.75" spans="1:3">
      <c r="A4159">
        <v>4158</v>
      </c>
      <c r="B4159" s="29"/>
      <c r="C4159" s="29"/>
    </row>
    <row r="4160" ht="21" spans="1:3">
      <c r="A4160">
        <v>4159</v>
      </c>
      <c r="B4160" s="27" t="s">
        <v>16892</v>
      </c>
      <c r="C4160" s="26"/>
    </row>
    <row r="4161" ht="21" spans="1:3">
      <c r="A4161">
        <v>4160</v>
      </c>
      <c r="B4161" s="25" t="s">
        <v>16892</v>
      </c>
      <c r="C4161" s="26"/>
    </row>
    <row r="4162" ht="21" spans="1:3">
      <c r="A4162">
        <v>4161</v>
      </c>
      <c r="B4162" s="27" t="s">
        <v>16892</v>
      </c>
      <c r="C4162" s="26"/>
    </row>
    <row r="4163" ht="18.75" spans="1:3">
      <c r="A4163">
        <v>4162</v>
      </c>
      <c r="B4163" s="31" t="str">
        <f>IFERROR(__xludf.DUMMYFUNCTION("""COMPUTED_VALUE"""),"ashenafi chanyalew")</f>
        <v>ashenafi chanyalew</v>
      </c>
      <c r="C4163" s="30">
        <v>9109452550</v>
      </c>
    </row>
    <row r="4164" ht="15.75" spans="1:3">
      <c r="A4164">
        <v>4163</v>
      </c>
      <c r="B4164" s="29"/>
      <c r="C4164" s="29"/>
    </row>
    <row r="4165" ht="15.75" spans="1:3">
      <c r="A4165">
        <v>4164</v>
      </c>
      <c r="B4165" s="29"/>
      <c r="C4165" s="29"/>
    </row>
    <row r="4166" ht="18.75" spans="1:3">
      <c r="A4166">
        <v>4165</v>
      </c>
      <c r="B4166" s="39" t="str">
        <f>IFERROR(__xludf.DUMMYFUNCTION("""COMPUTED_VALUE"""),"amanuel melese and 
terefe feyisa")</f>
        <v>amanuel melese and 
terefe feyisa</v>
      </c>
      <c r="C4166" s="34">
        <v>935088015</v>
      </c>
    </row>
    <row r="4167" ht="15.75" spans="1:3">
      <c r="A4167">
        <v>4166</v>
      </c>
      <c r="B4167" s="26"/>
      <c r="C4167" s="26"/>
    </row>
    <row r="4168" ht="18.75" spans="1:3">
      <c r="A4168">
        <v>4167</v>
      </c>
      <c r="B4168" s="31" t="str">
        <f>IFERROR(__xludf.DUMMYFUNCTION("""COMPUTED_VALUE"""),"ሰላማዊት አሸናፊ")</f>
        <v>ሰላማዊት አሸናፊ</v>
      </c>
      <c r="C4168" s="30">
        <v>921504828</v>
      </c>
    </row>
    <row r="4169" ht="15.75" spans="1:3">
      <c r="A4169">
        <v>4168</v>
      </c>
      <c r="B4169" s="26"/>
      <c r="C4169" s="26"/>
    </row>
    <row r="4170" ht="21" spans="1:3">
      <c r="A4170">
        <v>4169</v>
      </c>
      <c r="B4170" s="27" t="s">
        <v>16892</v>
      </c>
      <c r="C4170" s="26"/>
    </row>
    <row r="4171" ht="15.75" spans="1:3">
      <c r="A4171">
        <v>4170</v>
      </c>
      <c r="B4171" s="26"/>
      <c r="C4171" s="26"/>
    </row>
    <row r="4172" ht="21" spans="1:3">
      <c r="A4172">
        <v>4171</v>
      </c>
      <c r="B4172" s="25" t="s">
        <v>16892</v>
      </c>
      <c r="C4172" s="26"/>
    </row>
    <row r="4173" ht="15.75" spans="1:3">
      <c r="A4173">
        <v>4172</v>
      </c>
      <c r="B4173" s="26"/>
      <c r="C4173" s="26"/>
    </row>
    <row r="4174" ht="15.75" spans="1:3">
      <c r="A4174">
        <v>4173</v>
      </c>
      <c r="B4174" s="29"/>
      <c r="C4174" s="29"/>
    </row>
    <row r="4175" ht="15.75" spans="1:3">
      <c r="A4175">
        <v>4174</v>
      </c>
      <c r="B4175" s="29"/>
      <c r="C4175" s="29"/>
    </row>
    <row r="4176" ht="15.75" spans="1:3">
      <c r="A4176">
        <v>4175</v>
      </c>
      <c r="B4176" s="29"/>
      <c r="C4176" s="29"/>
    </row>
    <row r="4177" ht="15.75" spans="1:3">
      <c r="A4177">
        <v>4176</v>
      </c>
      <c r="B4177" s="29"/>
      <c r="C4177" s="29"/>
    </row>
    <row r="4178" ht="18.75" spans="1:3">
      <c r="A4178">
        <v>4177</v>
      </c>
      <c r="B4178" s="31" t="str">
        <f>IFERROR(__xludf.DUMMYFUNCTION("""COMPUTED_VALUE"""),"mesay tadese tekle")</f>
        <v>mesay tadese tekle</v>
      </c>
      <c r="C4178" s="30" t="s">
        <v>16930</v>
      </c>
    </row>
    <row r="4179" ht="15.75" spans="1:3">
      <c r="A4179">
        <v>4178</v>
      </c>
      <c r="B4179" s="26"/>
      <c r="C4179" s="26"/>
    </row>
    <row r="4180" ht="15.75" spans="1:3">
      <c r="A4180">
        <v>4179</v>
      </c>
      <c r="B4180" s="26"/>
      <c r="C4180" s="26"/>
    </row>
    <row r="4181" ht="15.75" spans="1:3">
      <c r="A4181">
        <v>4180</v>
      </c>
      <c r="B4181" s="26"/>
      <c r="C4181" s="26"/>
    </row>
    <row r="4182" ht="15.75" spans="1:3">
      <c r="A4182">
        <v>4181</v>
      </c>
      <c r="B4182" s="26"/>
      <c r="C4182" s="26"/>
    </row>
    <row r="4183" ht="21" spans="1:3">
      <c r="A4183">
        <v>4182</v>
      </c>
      <c r="B4183" s="25" t="s">
        <v>16892</v>
      </c>
      <c r="C4183" s="26"/>
    </row>
    <row r="4184" ht="21" spans="1:3">
      <c r="A4184">
        <v>4183</v>
      </c>
      <c r="B4184" s="25" t="s">
        <v>16892</v>
      </c>
      <c r="C4184" s="26"/>
    </row>
    <row r="4185" ht="21" spans="1:3">
      <c r="A4185">
        <v>4184</v>
      </c>
      <c r="B4185" s="25" t="s">
        <v>16892</v>
      </c>
      <c r="C4185" s="26"/>
    </row>
    <row r="4186" ht="21" spans="1:3">
      <c r="A4186">
        <v>4185</v>
      </c>
      <c r="B4186" s="27" t="s">
        <v>16892</v>
      </c>
      <c r="C4186" s="26"/>
    </row>
    <row r="4187" ht="21" spans="1:3">
      <c r="A4187">
        <v>4186</v>
      </c>
      <c r="B4187" s="25" t="s">
        <v>16892</v>
      </c>
      <c r="C4187" s="26"/>
    </row>
    <row r="4188" ht="21" spans="1:3">
      <c r="A4188">
        <v>4187</v>
      </c>
      <c r="B4188" s="27" t="s">
        <v>16892</v>
      </c>
      <c r="C4188" s="26"/>
    </row>
    <row r="4189" ht="21" spans="1:3">
      <c r="A4189">
        <v>4188</v>
      </c>
      <c r="B4189" s="25" t="s">
        <v>16892</v>
      </c>
      <c r="C4189" s="26"/>
    </row>
    <row r="4190" ht="21" spans="1:3">
      <c r="A4190">
        <v>4189</v>
      </c>
      <c r="B4190" s="25" t="s">
        <v>16902</v>
      </c>
      <c r="C4190" s="26"/>
    </row>
    <row r="4191" ht="21" spans="1:3">
      <c r="A4191">
        <v>4190</v>
      </c>
      <c r="B4191" s="25" t="s">
        <v>16892</v>
      </c>
      <c r="C4191" s="26"/>
    </row>
    <row r="4192" ht="21" spans="1:3">
      <c r="A4192">
        <v>4191</v>
      </c>
      <c r="B4192" s="27" t="s">
        <v>16892</v>
      </c>
      <c r="C4192" s="26"/>
    </row>
    <row r="4193" ht="21" spans="1:3">
      <c r="A4193">
        <v>4192</v>
      </c>
      <c r="B4193" s="25" t="s">
        <v>16892</v>
      </c>
      <c r="C4193" s="26"/>
    </row>
    <row r="4194" ht="15.75" spans="1:3">
      <c r="A4194">
        <v>4193</v>
      </c>
      <c r="B4194" s="26"/>
      <c r="C4194" s="26"/>
    </row>
    <row r="4195" ht="21" spans="1:3">
      <c r="A4195">
        <v>4194</v>
      </c>
      <c r="B4195" s="25" t="s">
        <v>16892</v>
      </c>
      <c r="C4195" s="26"/>
    </row>
    <row r="4196" spans="1:3">
      <c r="A4196">
        <v>4195</v>
      </c>
      <c r="B4196" s="37" t="s">
        <v>16931</v>
      </c>
      <c r="C4196" s="38" t="s">
        <v>16932</v>
      </c>
    </row>
    <row r="4197" spans="1:3">
      <c r="A4197">
        <v>4196</v>
      </c>
      <c r="B4197" s="37" t="s">
        <v>16931</v>
      </c>
      <c r="C4197" s="38" t="s">
        <v>16932</v>
      </c>
    </row>
    <row r="4198" ht="21" spans="1:3">
      <c r="A4198">
        <v>4197</v>
      </c>
      <c r="B4198" s="27" t="s">
        <v>16892</v>
      </c>
      <c r="C4198" s="26"/>
    </row>
    <row r="4199" ht="15.75" spans="1:3">
      <c r="A4199">
        <v>4198</v>
      </c>
      <c r="B4199" s="29"/>
      <c r="C4199" s="29"/>
    </row>
    <row r="4200" ht="15.75" spans="1:3">
      <c r="A4200">
        <v>4199</v>
      </c>
      <c r="B4200" s="29"/>
      <c r="C4200" s="29"/>
    </row>
    <row r="4201" ht="15.75" spans="1:3">
      <c r="A4201">
        <v>4200</v>
      </c>
      <c r="B4201" s="26"/>
      <c r="C4201" s="26"/>
    </row>
    <row r="4202" ht="21" spans="1:3">
      <c r="A4202">
        <v>4201</v>
      </c>
      <c r="B4202" s="27" t="s">
        <v>16892</v>
      </c>
      <c r="C4202" s="26"/>
    </row>
    <row r="4203" ht="21" spans="1:3">
      <c r="A4203">
        <v>4202</v>
      </c>
      <c r="B4203" s="27" t="s">
        <v>16892</v>
      </c>
      <c r="C4203" s="26"/>
    </row>
    <row r="4204" ht="15.75" spans="1:3">
      <c r="A4204">
        <v>4203</v>
      </c>
      <c r="B4204" s="26"/>
      <c r="C4204" s="26"/>
    </row>
    <row r="4205" ht="15.75" spans="1:3">
      <c r="A4205">
        <v>4204</v>
      </c>
      <c r="B4205" s="26"/>
      <c r="C4205" s="26"/>
    </row>
    <row r="4206" ht="15.75" spans="1:3">
      <c r="A4206">
        <v>4205</v>
      </c>
      <c r="B4206" s="26"/>
      <c r="C4206" s="26"/>
    </row>
    <row r="4207" ht="15.75" spans="1:3">
      <c r="A4207">
        <v>4206</v>
      </c>
      <c r="B4207" s="26"/>
      <c r="C4207" s="26"/>
    </row>
    <row r="4208" ht="30" spans="1:3">
      <c r="A4208">
        <v>4207</v>
      </c>
      <c r="B4208" s="43" t="s">
        <v>16933</v>
      </c>
      <c r="C4208" s="36">
        <v>908270696</v>
      </c>
    </row>
    <row r="4209" ht="15.75" spans="1:3">
      <c r="A4209">
        <v>4208</v>
      </c>
      <c r="B4209" s="26"/>
      <c r="C4209" s="26"/>
    </row>
    <row r="4210" ht="15.75" spans="1:3">
      <c r="A4210">
        <v>4209</v>
      </c>
      <c r="B4210" s="26"/>
      <c r="C4210" s="26"/>
    </row>
    <row r="4211" ht="15.75" spans="1:3">
      <c r="A4211">
        <v>4210</v>
      </c>
      <c r="B4211" s="26"/>
      <c r="C4211" s="26"/>
    </row>
    <row r="4212" ht="15.75" spans="1:3">
      <c r="A4212">
        <v>4211</v>
      </c>
      <c r="B4212" s="26"/>
      <c r="C4212" s="26"/>
    </row>
    <row r="4213" ht="15.75" spans="1:3">
      <c r="A4213">
        <v>4212</v>
      </c>
      <c r="B4213" s="26"/>
      <c r="C4213" s="26"/>
    </row>
    <row r="4214" ht="15.75" spans="1:3">
      <c r="A4214">
        <v>4213</v>
      </c>
      <c r="B4214" s="26"/>
      <c r="C4214" s="26"/>
    </row>
    <row r="4215" ht="21" spans="1:3">
      <c r="A4215">
        <v>4214</v>
      </c>
      <c r="B4215" s="27" t="s">
        <v>16892</v>
      </c>
      <c r="C4215" s="26"/>
    </row>
    <row r="4216" ht="15.75" spans="1:3">
      <c r="A4216">
        <v>4215</v>
      </c>
      <c r="B4216" s="26"/>
      <c r="C4216" s="26"/>
    </row>
    <row r="4217" ht="15.75" spans="1:3">
      <c r="A4217">
        <v>4216</v>
      </c>
      <c r="B4217" s="26"/>
      <c r="C4217" s="26"/>
    </row>
    <row r="4218" ht="15.75" spans="1:3">
      <c r="A4218">
        <v>4217</v>
      </c>
      <c r="B4218" s="26"/>
      <c r="C4218" s="26"/>
    </row>
    <row r="4219" ht="15.75" spans="1:3">
      <c r="A4219">
        <v>4218</v>
      </c>
      <c r="B4219" s="26"/>
      <c r="C4219" s="26"/>
    </row>
    <row r="4220" ht="15.75" spans="1:3">
      <c r="A4220">
        <v>4219</v>
      </c>
      <c r="B4220" s="26"/>
      <c r="C4220" s="26"/>
    </row>
    <row r="4221" ht="15.75" spans="1:3">
      <c r="A4221">
        <v>4220</v>
      </c>
      <c r="B4221" s="26"/>
      <c r="C4221" s="26"/>
    </row>
    <row r="4222" ht="15.75" spans="1:3">
      <c r="A4222">
        <v>4221</v>
      </c>
      <c r="B4222" s="26"/>
      <c r="C4222" s="26"/>
    </row>
    <row r="4223" ht="15.75" spans="1:3">
      <c r="A4223">
        <v>4222</v>
      </c>
      <c r="B4223" s="29"/>
      <c r="C4223" s="29"/>
    </row>
    <row r="4224" ht="15.75" spans="1:3">
      <c r="A4224">
        <v>4223</v>
      </c>
      <c r="B4224" s="29"/>
      <c r="C4224" s="29"/>
    </row>
    <row r="4225" ht="15.75" spans="1:3">
      <c r="A4225">
        <v>4224</v>
      </c>
      <c r="B4225" s="26"/>
      <c r="C4225" s="26"/>
    </row>
    <row r="4226" ht="15.75" spans="1:3">
      <c r="A4226">
        <v>4225</v>
      </c>
      <c r="B4226" s="26"/>
      <c r="C4226" s="26"/>
    </row>
    <row r="4227" ht="15.75" spans="1:3">
      <c r="A4227">
        <v>4226</v>
      </c>
      <c r="B4227" s="26"/>
      <c r="C4227" s="26"/>
    </row>
    <row r="4228" ht="15.75" spans="1:3">
      <c r="A4228">
        <v>4227</v>
      </c>
      <c r="B4228" s="29"/>
      <c r="C4228" s="29"/>
    </row>
    <row r="4229" ht="15.75" spans="1:3">
      <c r="A4229">
        <v>4228</v>
      </c>
      <c r="B4229" s="29"/>
      <c r="C4229" s="29"/>
    </row>
    <row r="4230" ht="15.75" spans="1:3">
      <c r="A4230">
        <v>4229</v>
      </c>
      <c r="B4230" s="26"/>
      <c r="C4230" s="26"/>
    </row>
    <row r="4231" ht="15.75" spans="1:3">
      <c r="A4231">
        <v>4230</v>
      </c>
      <c r="B4231" s="26"/>
      <c r="C4231" s="26"/>
    </row>
    <row r="4232" ht="15.75" spans="1:3">
      <c r="A4232">
        <v>4231</v>
      </c>
      <c r="B4232" s="26"/>
      <c r="C4232" s="26"/>
    </row>
    <row r="4233" ht="21" spans="1:3">
      <c r="A4233">
        <v>4232</v>
      </c>
      <c r="B4233" s="27" t="s">
        <v>16892</v>
      </c>
      <c r="C4233" s="26"/>
    </row>
    <row r="4234" ht="15.75" spans="1:3">
      <c r="A4234">
        <v>4233</v>
      </c>
      <c r="B4234" s="26"/>
      <c r="C4234" s="26"/>
    </row>
    <row r="4235" ht="15.75" spans="1:3">
      <c r="A4235">
        <v>4234</v>
      </c>
      <c r="B4235" s="26"/>
      <c r="C4235" s="26"/>
    </row>
    <row r="4236" ht="21" spans="1:3">
      <c r="A4236">
        <v>4235</v>
      </c>
      <c r="B4236" s="25" t="s">
        <v>16892</v>
      </c>
      <c r="C4236" s="26"/>
    </row>
    <row r="4237" ht="15.75" spans="1:3">
      <c r="A4237">
        <v>4236</v>
      </c>
      <c r="B4237" s="26"/>
      <c r="C4237" s="26"/>
    </row>
    <row r="4238" ht="15.75" spans="1:3">
      <c r="A4238">
        <v>4237</v>
      </c>
      <c r="B4238" s="26"/>
      <c r="C4238" s="26"/>
    </row>
    <row r="4239" ht="18" spans="1:3">
      <c r="A4239">
        <v>4238</v>
      </c>
      <c r="B4239" s="47" t="s">
        <v>16918</v>
      </c>
      <c r="C4239" s="31">
        <v>924445408</v>
      </c>
    </row>
    <row r="4240" ht="15.75" spans="1:3">
      <c r="A4240">
        <v>4239</v>
      </c>
      <c r="B4240" s="29"/>
      <c r="C4240" s="29"/>
    </row>
    <row r="4241" ht="15.75" spans="1:3">
      <c r="A4241">
        <v>4240</v>
      </c>
      <c r="B4241" s="29"/>
      <c r="C4241" s="29"/>
    </row>
    <row r="4242" ht="18.75" spans="1:3">
      <c r="A4242">
        <v>4241</v>
      </c>
      <c r="B4242" s="39" t="str">
        <f>IFERROR(__xludf.DUMMYFUNCTION("""COMPUTED_VALUE"""),"Selamawit Ashinafi")</f>
        <v>Selamawit Ashinafi</v>
      </c>
      <c r="C4242" s="34">
        <v>921504828</v>
      </c>
    </row>
    <row r="4243" ht="21" spans="1:3">
      <c r="A4243">
        <v>4242</v>
      </c>
      <c r="B4243" s="27" t="s">
        <v>16892</v>
      </c>
      <c r="C4243" s="26"/>
    </row>
    <row r="4244" ht="21" spans="1:3">
      <c r="A4244">
        <v>4243</v>
      </c>
      <c r="B4244" s="27" t="s">
        <v>16892</v>
      </c>
      <c r="C4244" s="26"/>
    </row>
    <row r="4245" ht="21" spans="1:3">
      <c r="A4245">
        <v>4244</v>
      </c>
      <c r="B4245" s="27" t="s">
        <v>16892</v>
      </c>
      <c r="C4245" s="26"/>
    </row>
    <row r="4246" ht="21" spans="1:3">
      <c r="A4246">
        <v>4245</v>
      </c>
      <c r="B4246" s="25" t="s">
        <v>16892</v>
      </c>
      <c r="C4246" s="26"/>
    </row>
    <row r="4247" ht="21" spans="1:3">
      <c r="A4247">
        <v>4246</v>
      </c>
      <c r="B4247" s="27" t="s">
        <v>16892</v>
      </c>
      <c r="C4247" s="26"/>
    </row>
    <row r="4248" ht="21" spans="1:3">
      <c r="A4248">
        <v>4247</v>
      </c>
      <c r="B4248" s="25" t="s">
        <v>16892</v>
      </c>
      <c r="C4248" s="26"/>
    </row>
    <row r="4249" ht="21" spans="1:3">
      <c r="A4249">
        <v>4248</v>
      </c>
      <c r="B4249" s="25" t="s">
        <v>16892</v>
      </c>
      <c r="C4249" s="26"/>
    </row>
    <row r="4250" ht="21" spans="1:3">
      <c r="A4250">
        <v>4249</v>
      </c>
      <c r="B4250" s="27" t="s">
        <v>16892</v>
      </c>
      <c r="C4250" s="26"/>
    </row>
    <row r="4251" ht="18.75" spans="1:3">
      <c r="A4251">
        <v>4250</v>
      </c>
      <c r="B4251" s="31" t="str">
        <f>IFERROR(__xludf.DUMMYFUNCTION("""COMPUTED_VALUE"""),"ምስራቅ በፍቃዱ")</f>
        <v>ምስራቅ በፍቃዱ</v>
      </c>
      <c r="C4251" s="30">
        <v>913823896</v>
      </c>
    </row>
    <row r="4252" ht="21" spans="1:3">
      <c r="A4252">
        <v>4251</v>
      </c>
      <c r="B4252" s="25" t="s">
        <v>16892</v>
      </c>
      <c r="C4252" s="26"/>
    </row>
    <row r="4253" ht="15.75" spans="1:3">
      <c r="A4253">
        <v>4252</v>
      </c>
      <c r="B4253" s="26"/>
      <c r="C4253" s="26"/>
    </row>
    <row r="4254" ht="15.75" spans="1:3">
      <c r="A4254">
        <v>4253</v>
      </c>
      <c r="B4254" s="29"/>
      <c r="C4254" s="29"/>
    </row>
    <row r="4255" ht="15.75" spans="1:3">
      <c r="A4255">
        <v>4254</v>
      </c>
      <c r="B4255" s="29"/>
      <c r="C4255" s="29"/>
    </row>
    <row r="4256" ht="21" spans="1:3">
      <c r="A4256">
        <v>4255</v>
      </c>
      <c r="B4256" s="25" t="s">
        <v>16892</v>
      </c>
      <c r="C4256" s="26"/>
    </row>
    <row r="4257" ht="15.75" spans="1:3">
      <c r="A4257">
        <v>4256</v>
      </c>
      <c r="B4257" s="26"/>
      <c r="C4257" s="26"/>
    </row>
    <row r="4258" ht="15.75" spans="1:3">
      <c r="A4258">
        <v>4257</v>
      </c>
      <c r="B4258" s="26"/>
      <c r="C4258" s="26"/>
    </row>
    <row r="4259" ht="21" spans="1:3">
      <c r="A4259">
        <v>4258</v>
      </c>
      <c r="B4259" s="25" t="s">
        <v>16892</v>
      </c>
      <c r="C4259" s="26"/>
    </row>
    <row r="4260" ht="15.75" spans="1:3">
      <c r="A4260">
        <v>4259</v>
      </c>
      <c r="B4260" s="26"/>
      <c r="C4260" s="26"/>
    </row>
    <row r="4261" ht="15.75" spans="1:3">
      <c r="A4261">
        <v>4260</v>
      </c>
      <c r="B4261" s="26"/>
      <c r="C4261" s="26"/>
    </row>
    <row r="4262" ht="15.75" spans="1:3">
      <c r="A4262">
        <v>4261</v>
      </c>
      <c r="B4262" s="26"/>
      <c r="C4262" s="26"/>
    </row>
    <row r="4263" ht="15.75" spans="1:3">
      <c r="A4263">
        <v>4262</v>
      </c>
      <c r="B4263" s="26"/>
      <c r="C4263" s="26"/>
    </row>
    <row r="4264" ht="15.75" spans="1:3">
      <c r="A4264">
        <v>4263</v>
      </c>
      <c r="B4264" s="26"/>
      <c r="C4264" s="26"/>
    </row>
    <row r="4265" ht="15.75" spans="1:3">
      <c r="A4265">
        <v>4264</v>
      </c>
      <c r="B4265" s="26"/>
      <c r="C4265" s="26"/>
    </row>
    <row r="4266" ht="21" spans="1:3">
      <c r="A4266">
        <v>4265</v>
      </c>
      <c r="B4266" s="27" t="s">
        <v>16892</v>
      </c>
      <c r="C4266" s="26"/>
    </row>
    <row r="4267" ht="21" spans="1:3">
      <c r="A4267">
        <v>4266</v>
      </c>
      <c r="B4267" s="27" t="s">
        <v>16892</v>
      </c>
      <c r="C4267" s="26"/>
    </row>
    <row r="4268" ht="21" spans="1:3">
      <c r="A4268">
        <v>4267</v>
      </c>
      <c r="B4268" s="27" t="s">
        <v>16892</v>
      </c>
      <c r="C4268" s="26"/>
    </row>
    <row r="4269" ht="21" spans="1:3">
      <c r="A4269">
        <v>4268</v>
      </c>
      <c r="B4269" s="25" t="s">
        <v>16892</v>
      </c>
      <c r="C4269" s="26"/>
    </row>
    <row r="4270" ht="15.75" spans="1:3">
      <c r="A4270">
        <v>4269</v>
      </c>
      <c r="B4270" s="26"/>
      <c r="C4270" s="26"/>
    </row>
    <row r="4271" ht="21" spans="1:3">
      <c r="A4271">
        <v>4270</v>
      </c>
      <c r="B4271" s="25" t="s">
        <v>16892</v>
      </c>
      <c r="C4271" s="26"/>
    </row>
    <row r="4272" ht="21" spans="1:3">
      <c r="A4272">
        <v>4271</v>
      </c>
      <c r="B4272" s="25" t="s">
        <v>16892</v>
      </c>
      <c r="C4272" s="26"/>
    </row>
    <row r="4273" ht="21" spans="1:3">
      <c r="A4273">
        <v>4272</v>
      </c>
      <c r="B4273" s="25" t="s">
        <v>16892</v>
      </c>
      <c r="C4273" s="26"/>
    </row>
    <row r="4274" ht="21" spans="1:3">
      <c r="A4274">
        <v>4273</v>
      </c>
      <c r="B4274" s="27" t="s">
        <v>16892</v>
      </c>
      <c r="C4274" s="26"/>
    </row>
    <row r="4275" ht="21" spans="1:3">
      <c r="A4275">
        <v>4274</v>
      </c>
      <c r="B4275" s="27" t="s">
        <v>16892</v>
      </c>
      <c r="C4275" s="26"/>
    </row>
    <row r="4276" ht="21" spans="1:3">
      <c r="A4276">
        <v>4275</v>
      </c>
      <c r="B4276" s="27" t="s">
        <v>16892</v>
      </c>
      <c r="C4276" s="26"/>
    </row>
    <row r="4277" ht="15.75" spans="1:3">
      <c r="A4277">
        <v>4276</v>
      </c>
      <c r="B4277" s="26"/>
      <c r="C4277" s="26"/>
    </row>
    <row r="4278" ht="15.75" spans="1:3">
      <c r="A4278">
        <v>4277</v>
      </c>
      <c r="B4278" s="29"/>
      <c r="C4278" s="29"/>
    </row>
    <row r="4279" ht="15.75" spans="1:3">
      <c r="A4279">
        <v>4278</v>
      </c>
      <c r="B4279" s="29"/>
      <c r="C4279" s="29"/>
    </row>
    <row r="4280" ht="15.75" spans="1:3">
      <c r="A4280">
        <v>4279</v>
      </c>
      <c r="B4280" s="26"/>
      <c r="C4280" s="26"/>
    </row>
    <row r="4281" ht="21" spans="1:3">
      <c r="A4281">
        <v>4280</v>
      </c>
      <c r="B4281" s="25" t="s">
        <v>16892</v>
      </c>
      <c r="C4281" s="26"/>
    </row>
    <row r="4282" spans="1:3">
      <c r="A4282">
        <v>4281</v>
      </c>
      <c r="B4282" s="37" t="s">
        <v>16934</v>
      </c>
      <c r="C4282" s="38" t="s">
        <v>16935</v>
      </c>
    </row>
    <row r="4283" spans="1:3">
      <c r="A4283">
        <v>4282</v>
      </c>
      <c r="B4283" s="37" t="s">
        <v>16936</v>
      </c>
      <c r="C4283" s="38" t="s">
        <v>16937</v>
      </c>
    </row>
    <row r="4284" ht="15.75" spans="1:3">
      <c r="A4284">
        <v>4283</v>
      </c>
      <c r="B4284" s="26"/>
      <c r="C4284" s="26"/>
    </row>
    <row r="4285" ht="21" spans="1:3">
      <c r="A4285">
        <v>4284</v>
      </c>
      <c r="B4285" s="27" t="s">
        <v>16892</v>
      </c>
      <c r="C4285" s="26"/>
    </row>
    <row r="4286" ht="15.75" spans="1:3">
      <c r="A4286">
        <v>4285</v>
      </c>
      <c r="B4286" s="26"/>
      <c r="C4286" s="26"/>
    </row>
    <row r="4287" ht="15.75" spans="1:3">
      <c r="A4287">
        <v>4286</v>
      </c>
      <c r="B4287" s="26"/>
      <c r="C4287" s="26"/>
    </row>
    <row r="4288" ht="21" spans="1:3">
      <c r="A4288">
        <v>4287</v>
      </c>
      <c r="B4288" s="25" t="s">
        <v>16892</v>
      </c>
      <c r="C4288" s="26"/>
    </row>
    <row r="4289" ht="18.75" spans="1:3">
      <c r="A4289">
        <v>4288</v>
      </c>
      <c r="B4289" s="31" t="str">
        <f>IFERROR(__xludf.DUMMYFUNCTION("""COMPUTED_VALUE"""),"Birhan Siyum")</f>
        <v>Birhan Siyum</v>
      </c>
      <c r="C4289" s="30">
        <v>935341154</v>
      </c>
    </row>
    <row r="4290" ht="15.75" spans="1:3">
      <c r="A4290">
        <v>4289</v>
      </c>
      <c r="B4290" s="29"/>
      <c r="C4290" s="29"/>
    </row>
    <row r="4291" ht="15.75" spans="1:3">
      <c r="A4291">
        <v>4290</v>
      </c>
      <c r="B4291" s="29"/>
      <c r="C4291" s="29"/>
    </row>
    <row r="4292" ht="15.75" spans="1:3">
      <c r="A4292">
        <v>4291</v>
      </c>
      <c r="B4292" s="26"/>
      <c r="C4292" s="26"/>
    </row>
    <row r="4293" ht="21" spans="1:3">
      <c r="A4293">
        <v>4292</v>
      </c>
      <c r="B4293" s="27" t="s">
        <v>16892</v>
      </c>
      <c r="C4293" s="26"/>
    </row>
    <row r="4294" ht="15.75" spans="1:3">
      <c r="A4294">
        <v>4293</v>
      </c>
      <c r="B4294" s="26"/>
      <c r="C4294" s="26"/>
    </row>
    <row r="4295" ht="15.75" spans="1:3">
      <c r="A4295">
        <v>4294</v>
      </c>
      <c r="B4295" s="26"/>
      <c r="C4295" s="26"/>
    </row>
    <row r="4296" ht="15.75" spans="1:3">
      <c r="A4296">
        <v>4295</v>
      </c>
      <c r="B4296" s="29"/>
      <c r="C4296" s="29"/>
    </row>
    <row r="4297" ht="18.75" spans="1:3">
      <c r="A4297">
        <v>4296</v>
      </c>
      <c r="B4297" s="39" t="str">
        <f>IFERROR(__xludf.DUMMYFUNCTION("""COMPUTED_VALUE"""),"አማኑኤል መለሰ")</f>
        <v>አማኑኤል መለሰ</v>
      </c>
      <c r="C4297" s="34">
        <v>935088015</v>
      </c>
    </row>
    <row r="4298" ht="15.75" spans="1:3">
      <c r="A4298">
        <v>4297</v>
      </c>
      <c r="B4298" s="26"/>
      <c r="C4298" s="26"/>
    </row>
    <row r="4299" ht="15.75" spans="1:3">
      <c r="A4299">
        <v>4298</v>
      </c>
      <c r="B4299" s="26"/>
      <c r="C4299" s="26"/>
    </row>
    <row r="4300" ht="15.75" spans="1:3">
      <c r="A4300">
        <v>4299</v>
      </c>
      <c r="B4300" s="26"/>
      <c r="C4300" s="26"/>
    </row>
    <row r="4301" ht="15.75" spans="1:3">
      <c r="A4301">
        <v>4300</v>
      </c>
      <c r="B4301" s="26"/>
      <c r="C4301" s="26"/>
    </row>
    <row r="4302" ht="15.75" spans="1:3">
      <c r="A4302">
        <v>4301</v>
      </c>
      <c r="B4302" s="26"/>
      <c r="C4302" s="26"/>
    </row>
    <row r="4303" ht="15.75" spans="1:3">
      <c r="A4303">
        <v>4302</v>
      </c>
      <c r="B4303" s="26"/>
      <c r="C4303" s="26"/>
    </row>
    <row r="4304" ht="15.75" spans="1:3">
      <c r="A4304">
        <v>4303</v>
      </c>
      <c r="B4304" s="26"/>
      <c r="C4304" s="26"/>
    </row>
    <row r="4305" ht="15.75" spans="1:3">
      <c r="A4305">
        <v>4304</v>
      </c>
      <c r="B4305" s="26"/>
      <c r="C4305" s="26"/>
    </row>
    <row r="4306" ht="21" spans="1:3">
      <c r="A4306">
        <v>4305</v>
      </c>
      <c r="B4306" s="27" t="s">
        <v>16892</v>
      </c>
      <c r="C4306" s="26"/>
    </row>
    <row r="4307" ht="21" spans="1:3">
      <c r="A4307">
        <v>4306</v>
      </c>
      <c r="B4307" s="27" t="s">
        <v>16892</v>
      </c>
      <c r="C4307" s="26"/>
    </row>
    <row r="4308" ht="21" spans="1:3">
      <c r="A4308">
        <v>4307</v>
      </c>
      <c r="B4308" s="27" t="s">
        <v>16892</v>
      </c>
      <c r="C4308" s="26"/>
    </row>
    <row r="4309" ht="21" spans="1:3">
      <c r="A4309">
        <v>4308</v>
      </c>
      <c r="B4309" s="25" t="s">
        <v>16892</v>
      </c>
      <c r="C4309" s="26"/>
    </row>
    <row r="4310" ht="21" spans="1:3">
      <c r="A4310">
        <v>4309</v>
      </c>
      <c r="B4310" s="27" t="s">
        <v>16892</v>
      </c>
      <c r="C4310" s="26"/>
    </row>
    <row r="4311" ht="18.75" spans="1:3">
      <c r="A4311">
        <v>4310</v>
      </c>
      <c r="B4311" s="31" t="str">
        <f>IFERROR(__xludf.DUMMYFUNCTION("""COMPUTED_VALUE"""),"ሕይወት ሰለሞን")</f>
        <v>ሕይወት ሰለሞን</v>
      </c>
      <c r="C4311" s="30">
        <v>986569386</v>
      </c>
    </row>
    <row r="4312" ht="21" spans="1:3">
      <c r="A4312">
        <v>4311</v>
      </c>
      <c r="B4312" s="25" t="s">
        <v>16892</v>
      </c>
      <c r="C4312" s="26"/>
    </row>
    <row r="4313" ht="21" spans="1:3">
      <c r="A4313">
        <v>4312</v>
      </c>
      <c r="B4313" s="27" t="s">
        <v>16892</v>
      </c>
      <c r="C4313" s="26"/>
    </row>
    <row r="4314" ht="18.75" spans="1:3">
      <c r="A4314">
        <v>4313</v>
      </c>
      <c r="B4314" s="31" t="str">
        <f>IFERROR(__xludf.DUMMYFUNCTION("""COMPUTED_VALUE"""),"ሕይወት ሰለሞን")</f>
        <v>ሕይወት ሰለሞን</v>
      </c>
      <c r="C4314" s="30">
        <v>986569386</v>
      </c>
    </row>
    <row r="4315" ht="21" spans="1:3">
      <c r="A4315">
        <v>4314</v>
      </c>
      <c r="B4315" s="27" t="s">
        <v>16892</v>
      </c>
      <c r="C4315" s="26"/>
    </row>
    <row r="4316" ht="21" spans="1:3">
      <c r="A4316">
        <v>4315</v>
      </c>
      <c r="B4316" s="25" t="s">
        <v>16892</v>
      </c>
      <c r="C4316" s="26"/>
    </row>
    <row r="4317" ht="21" spans="1:3">
      <c r="A4317">
        <v>4316</v>
      </c>
      <c r="B4317" s="25" t="s">
        <v>16892</v>
      </c>
      <c r="C4317" s="26"/>
    </row>
    <row r="4318" ht="15.75" spans="1:3">
      <c r="A4318">
        <v>4317</v>
      </c>
      <c r="B4318" s="26"/>
      <c r="C4318" s="26"/>
    </row>
    <row r="4319" ht="21" spans="1:3">
      <c r="A4319">
        <v>4318</v>
      </c>
      <c r="B4319" s="27" t="s">
        <v>16892</v>
      </c>
      <c r="C4319" s="26"/>
    </row>
    <row r="4320" ht="21" spans="1:3">
      <c r="A4320">
        <v>4319</v>
      </c>
      <c r="B4320" s="25" t="s">
        <v>16892</v>
      </c>
      <c r="C4320" s="26"/>
    </row>
    <row r="4321" ht="21" spans="1:3">
      <c r="A4321">
        <v>4320</v>
      </c>
      <c r="B4321" s="27" t="s">
        <v>16892</v>
      </c>
      <c r="C4321" s="26"/>
    </row>
    <row r="4322" ht="21" spans="1:3">
      <c r="A4322">
        <v>4321</v>
      </c>
      <c r="B4322" s="25" t="s">
        <v>16892</v>
      </c>
      <c r="C4322" s="26"/>
    </row>
    <row r="4323" ht="30" spans="1:3">
      <c r="A4323">
        <v>4322</v>
      </c>
      <c r="B4323" s="51" t="s">
        <v>16938</v>
      </c>
      <c r="C4323" s="36">
        <v>923271622</v>
      </c>
    </row>
    <row r="4324" ht="21" spans="1:3">
      <c r="A4324">
        <v>4323</v>
      </c>
      <c r="B4324" s="27" t="s">
        <v>16892</v>
      </c>
      <c r="C4324" s="26"/>
    </row>
    <row r="4325" ht="15.75" spans="1:3">
      <c r="A4325">
        <v>4324</v>
      </c>
      <c r="B4325" s="26"/>
      <c r="C4325" s="26"/>
    </row>
    <row r="4326" ht="15.75" spans="1:3">
      <c r="A4326">
        <v>4325</v>
      </c>
      <c r="B4326" s="26"/>
      <c r="C4326" s="26"/>
    </row>
    <row r="4327" ht="15.75" spans="1:3">
      <c r="A4327">
        <v>4326</v>
      </c>
      <c r="B4327" s="26"/>
      <c r="C4327" s="26"/>
    </row>
    <row r="4328" ht="15.75" spans="1:3">
      <c r="A4328">
        <v>4327</v>
      </c>
      <c r="B4328" s="26"/>
      <c r="C4328" s="26"/>
    </row>
    <row r="4329" ht="15.75" spans="1:3">
      <c r="A4329">
        <v>4328</v>
      </c>
      <c r="B4329" s="26"/>
      <c r="C4329" s="26"/>
    </row>
    <row r="4330" ht="18" spans="1:3">
      <c r="A4330">
        <v>4329</v>
      </c>
      <c r="B4330" s="39" t="str">
        <f>IFERROR(__xludf.DUMMYFUNCTION("""COMPUTED_VALUE"""),"Messay Taddess &amp; Dr. Ermiyas Berhanu")</f>
        <v>Messay Taddess &amp; Dr. Ermiyas Berhanu</v>
      </c>
      <c r="C4330" s="39">
        <v>911901815</v>
      </c>
    </row>
    <row r="4331" ht="15.75" spans="1:3">
      <c r="A4331">
        <v>4330</v>
      </c>
      <c r="B4331" s="29"/>
      <c r="C4331" s="29"/>
    </row>
    <row r="4332" ht="21" spans="1:3">
      <c r="A4332">
        <v>4331</v>
      </c>
      <c r="B4332" s="27" t="s">
        <v>16892</v>
      </c>
      <c r="C4332" s="26"/>
    </row>
    <row r="4333" ht="15.75" spans="1:3">
      <c r="A4333">
        <v>4332</v>
      </c>
      <c r="B4333" s="29"/>
      <c r="C4333" s="29"/>
    </row>
    <row r="4334" ht="15.75" spans="1:3">
      <c r="A4334">
        <v>4333</v>
      </c>
      <c r="B4334" s="29"/>
      <c r="C4334" s="29"/>
    </row>
    <row r="4335" ht="15.75" spans="1:3">
      <c r="A4335">
        <v>4334</v>
      </c>
      <c r="B4335" s="26"/>
      <c r="C4335" s="26"/>
    </row>
    <row r="4336" ht="15.75" spans="1:3">
      <c r="A4336">
        <v>4335</v>
      </c>
      <c r="B4336" s="26"/>
      <c r="C4336" s="26"/>
    </row>
    <row r="4337" ht="21" spans="1:3">
      <c r="A4337">
        <v>4336</v>
      </c>
      <c r="B4337" s="27" t="s">
        <v>16892</v>
      </c>
      <c r="C4337" s="26"/>
    </row>
    <row r="4338" ht="15.75" spans="1:3">
      <c r="A4338">
        <v>4337</v>
      </c>
      <c r="B4338" s="26"/>
      <c r="C4338" s="26"/>
    </row>
    <row r="4339" ht="21" spans="1:3">
      <c r="A4339">
        <v>4338</v>
      </c>
      <c r="B4339" s="25" t="s">
        <v>16892</v>
      </c>
      <c r="C4339" s="26"/>
    </row>
    <row r="4340" ht="15.75" spans="1:3">
      <c r="A4340">
        <v>4339</v>
      </c>
      <c r="B4340" s="26"/>
      <c r="C4340" s="26"/>
    </row>
    <row r="4341" ht="21" spans="1:3">
      <c r="A4341">
        <v>4340</v>
      </c>
      <c r="B4341" s="27" t="s">
        <v>16892</v>
      </c>
      <c r="C4341" s="26"/>
    </row>
    <row r="4342" ht="21" spans="1:3">
      <c r="A4342">
        <v>4341</v>
      </c>
      <c r="B4342" s="25" t="s">
        <v>16892</v>
      </c>
      <c r="C4342" s="26"/>
    </row>
    <row r="4343" ht="21" spans="1:3">
      <c r="A4343">
        <v>4342</v>
      </c>
      <c r="B4343" s="25" t="s">
        <v>16892</v>
      </c>
      <c r="C4343" s="26"/>
    </row>
    <row r="4344" ht="18.75" spans="1:3">
      <c r="A4344">
        <v>4343</v>
      </c>
      <c r="B4344" s="31" t="str">
        <f>IFERROR(__xludf.DUMMYFUNCTION("""COMPUTED_VALUE"""),"hilina digafu")</f>
        <v>hilina digafu</v>
      </c>
      <c r="C4344" s="30" t="s">
        <v>16939</v>
      </c>
    </row>
    <row r="4345" ht="15.75" spans="1:3">
      <c r="A4345">
        <v>4344</v>
      </c>
      <c r="B4345" s="29"/>
      <c r="C4345" s="29"/>
    </row>
    <row r="4346" ht="15.75" spans="1:3">
      <c r="A4346">
        <v>4345</v>
      </c>
      <c r="B4346" s="29"/>
      <c r="C4346" s="29"/>
    </row>
    <row r="4347" ht="21" spans="1:3">
      <c r="A4347">
        <v>4346</v>
      </c>
      <c r="B4347" s="27" t="s">
        <v>16892</v>
      </c>
      <c r="C4347" s="26"/>
    </row>
    <row r="4348" ht="15.75" spans="1:3">
      <c r="A4348">
        <v>4347</v>
      </c>
      <c r="B4348" s="26"/>
      <c r="C4348" s="26"/>
    </row>
    <row r="4349" ht="15.75" spans="1:3">
      <c r="A4349">
        <v>4348</v>
      </c>
      <c r="B4349" s="26"/>
      <c r="C4349" s="26"/>
    </row>
    <row r="4350" ht="15.75" spans="1:3">
      <c r="A4350">
        <v>4349</v>
      </c>
      <c r="B4350" s="26"/>
      <c r="C4350" s="26"/>
    </row>
    <row r="4351" ht="15.75" spans="1:3">
      <c r="A4351">
        <v>4350</v>
      </c>
      <c r="B4351" s="26"/>
      <c r="C4351" s="26"/>
    </row>
    <row r="4352" ht="15.75" spans="1:3">
      <c r="A4352">
        <v>4351</v>
      </c>
      <c r="B4352" s="26"/>
      <c r="C4352" s="26"/>
    </row>
    <row r="4353" ht="15.75" spans="1:3">
      <c r="A4353">
        <v>4352</v>
      </c>
      <c r="B4353" s="26"/>
      <c r="C4353" s="26"/>
    </row>
    <row r="4354" ht="21" spans="1:3">
      <c r="A4354">
        <v>4353</v>
      </c>
      <c r="B4354" s="25" t="s">
        <v>16892</v>
      </c>
      <c r="C4354" s="26"/>
    </row>
    <row r="4355" ht="15.75" spans="1:3">
      <c r="A4355">
        <v>4354</v>
      </c>
      <c r="B4355" s="26"/>
      <c r="C4355" s="26"/>
    </row>
    <row r="4356" ht="15.75" spans="1:3">
      <c r="A4356">
        <v>4355</v>
      </c>
      <c r="B4356" s="26"/>
      <c r="C4356" s="26"/>
    </row>
    <row r="4357" ht="15.75" spans="1:3">
      <c r="A4357">
        <v>4356</v>
      </c>
      <c r="B4357" s="26"/>
      <c r="C4357" s="26"/>
    </row>
    <row r="4358" ht="15.75" spans="1:3">
      <c r="A4358">
        <v>4357</v>
      </c>
      <c r="B4358" s="26"/>
      <c r="C4358" s="26"/>
    </row>
    <row r="4359" ht="15.75" spans="1:3">
      <c r="A4359">
        <v>4358</v>
      </c>
      <c r="B4359" s="26"/>
      <c r="C4359" s="26"/>
    </row>
    <row r="4360" ht="15.75" spans="1:3">
      <c r="A4360">
        <v>4359</v>
      </c>
      <c r="B4360" s="26"/>
      <c r="C4360" s="26"/>
    </row>
    <row r="4361" ht="15.75" spans="1:3">
      <c r="A4361">
        <v>4360</v>
      </c>
      <c r="B4361" s="26"/>
      <c r="C4361" s="26"/>
    </row>
    <row r="4362" ht="15.75" spans="1:3">
      <c r="A4362">
        <v>4361</v>
      </c>
      <c r="B4362" s="26"/>
      <c r="C4362" s="26"/>
    </row>
    <row r="4363" ht="15.75" spans="1:3">
      <c r="A4363">
        <v>4362</v>
      </c>
      <c r="B4363" s="26"/>
      <c r="C4363" s="26"/>
    </row>
    <row r="4364" ht="15.75" spans="1:3">
      <c r="A4364">
        <v>4363</v>
      </c>
      <c r="B4364" s="26"/>
      <c r="C4364" s="26"/>
    </row>
    <row r="4365" ht="15.75" spans="1:3">
      <c r="A4365">
        <v>4364</v>
      </c>
      <c r="B4365" s="26"/>
      <c r="C4365" s="26"/>
    </row>
    <row r="4366" ht="15.75" spans="1:3">
      <c r="A4366">
        <v>4365</v>
      </c>
      <c r="B4366" s="26"/>
      <c r="C4366" s="26"/>
    </row>
    <row r="4367" ht="15.75" spans="1:3">
      <c r="A4367">
        <v>4366</v>
      </c>
      <c r="B4367" s="26"/>
      <c r="C4367" s="26"/>
    </row>
    <row r="4368" ht="15.75" spans="1:3">
      <c r="A4368">
        <v>4367</v>
      </c>
      <c r="B4368" s="26"/>
      <c r="C4368" s="26"/>
    </row>
    <row r="4369" ht="15.75" spans="1:3">
      <c r="A4369">
        <v>4368</v>
      </c>
      <c r="B4369" s="26"/>
      <c r="C4369" s="26"/>
    </row>
    <row r="4370" ht="15.75" spans="1:3">
      <c r="A4370">
        <v>4369</v>
      </c>
      <c r="B4370" s="26"/>
      <c r="C4370" s="26"/>
    </row>
    <row r="4371" ht="15.75" spans="1:3">
      <c r="A4371">
        <v>4370</v>
      </c>
      <c r="B4371" s="26"/>
      <c r="C4371" s="26"/>
    </row>
    <row r="4372" ht="15.75" spans="1:3">
      <c r="A4372">
        <v>4371</v>
      </c>
      <c r="B4372" s="26"/>
      <c r="C4372" s="26"/>
    </row>
    <row r="4373" ht="15.75" spans="1:3">
      <c r="A4373">
        <v>4372</v>
      </c>
      <c r="B4373" s="26"/>
      <c r="C4373" s="26"/>
    </row>
    <row r="4374" ht="18.75" spans="1:3">
      <c r="A4374">
        <v>4373</v>
      </c>
      <c r="B4374" s="31" t="str">
        <f>IFERROR(__xludf.DUMMYFUNCTION("""COMPUTED_VALUE"""),"yosef tadesse")</f>
        <v>yosef tadesse</v>
      </c>
      <c r="C4374" s="30">
        <v>910026377</v>
      </c>
    </row>
    <row r="4375" ht="15.75" spans="1:3">
      <c r="A4375">
        <v>4374</v>
      </c>
      <c r="B4375" s="26"/>
      <c r="C4375" s="26"/>
    </row>
    <row r="4376" ht="15.75" spans="1:3">
      <c r="A4376">
        <v>4375</v>
      </c>
      <c r="B4376" s="26"/>
      <c r="C4376" s="26"/>
    </row>
    <row r="4377" ht="15.75" spans="1:3">
      <c r="A4377">
        <v>4376</v>
      </c>
      <c r="B4377" s="26"/>
      <c r="C4377" s="26"/>
    </row>
    <row r="4378" ht="15.75" spans="1:3">
      <c r="A4378">
        <v>4377</v>
      </c>
      <c r="B4378" s="26"/>
      <c r="C4378" s="26"/>
    </row>
    <row r="4379" ht="15.75" spans="1:3">
      <c r="A4379">
        <v>4378</v>
      </c>
      <c r="B4379" s="26"/>
      <c r="C4379" s="26"/>
    </row>
    <row r="4380" ht="15.75" spans="1:3">
      <c r="A4380">
        <v>4379</v>
      </c>
      <c r="B4380" s="26"/>
      <c r="C4380" s="26"/>
    </row>
    <row r="4381" ht="15.75" spans="1:3">
      <c r="A4381">
        <v>4380</v>
      </c>
      <c r="B4381" s="26"/>
      <c r="C4381" s="26"/>
    </row>
    <row r="4382" ht="15.75" spans="1:3">
      <c r="A4382">
        <v>4381</v>
      </c>
      <c r="B4382" s="26"/>
      <c r="C4382" s="26"/>
    </row>
    <row r="4383" ht="18.75" spans="1:3">
      <c r="A4383">
        <v>4382</v>
      </c>
      <c r="B4383" s="54" t="str">
        <f>IFERROR(__xludf.DUMMYFUNCTION("""COMPUTED_VALUE"""),"አስፓዬር ግሪንላንድ ኢትዮጵያ
 (የአብፀጋ አበራ)")</f>
        <v>አስፓዬር ግሪንላንድ ኢትዮጵያ
 (የአብፀጋ አበራ)</v>
      </c>
      <c r="C4383" s="55">
        <v>937858589</v>
      </c>
    </row>
    <row r="4384" ht="18.75" spans="1:3">
      <c r="A4384">
        <v>4383</v>
      </c>
      <c r="B4384" s="56" t="str">
        <f>IFERROR(__xludf.DUMMYFUNCTION("""COMPUTED_VALUE"""),"አስፓዬር ግሪንላንድ ኢትየጵያ
 (የአብፀጋ አበራ)")</f>
        <v>አስፓዬር ግሪንላንድ ኢትየጵያ
 (የአብፀጋ አበራ)</v>
      </c>
      <c r="C4384" s="55">
        <v>937858589</v>
      </c>
    </row>
    <row r="4385" ht="15.75" spans="1:3">
      <c r="A4385">
        <v>4384</v>
      </c>
      <c r="B4385" s="26"/>
      <c r="C4385" s="26"/>
    </row>
    <row r="4386" ht="15.75" spans="1:3">
      <c r="A4386">
        <v>4385</v>
      </c>
      <c r="B4386" s="26"/>
      <c r="C4386" s="26"/>
    </row>
    <row r="4387" ht="15.75" spans="1:3">
      <c r="A4387">
        <v>4386</v>
      </c>
      <c r="B4387" s="26"/>
      <c r="C4387" s="26"/>
    </row>
    <row r="4388" ht="15.75" spans="1:3">
      <c r="A4388">
        <v>4387</v>
      </c>
      <c r="B4388" s="26"/>
      <c r="C4388" s="26"/>
    </row>
    <row r="4389" ht="15.75" spans="1:3">
      <c r="A4389">
        <v>4388</v>
      </c>
      <c r="B4389" s="26"/>
      <c r="C4389" s="26"/>
    </row>
    <row r="4390" ht="15.75" spans="1:3">
      <c r="A4390">
        <v>4389</v>
      </c>
      <c r="B4390" s="26"/>
      <c r="C4390" s="26"/>
    </row>
    <row r="4391" ht="15.75" spans="1:3">
      <c r="A4391">
        <v>4390</v>
      </c>
      <c r="B4391" s="26"/>
      <c r="C4391" s="26"/>
    </row>
    <row r="4392" ht="15.75" spans="1:3">
      <c r="A4392">
        <v>4391</v>
      </c>
      <c r="B4392" s="26"/>
      <c r="C4392" s="26"/>
    </row>
    <row r="4393" ht="15.75" spans="1:3">
      <c r="A4393">
        <v>4392</v>
      </c>
      <c r="B4393" s="26"/>
      <c r="C4393" s="26"/>
    </row>
    <row r="4394" ht="15.75" spans="1:3">
      <c r="A4394">
        <v>4393</v>
      </c>
      <c r="B4394" s="26"/>
      <c r="C4394" s="26"/>
    </row>
    <row r="4395" ht="15.75" spans="1:3">
      <c r="A4395">
        <v>4394</v>
      </c>
      <c r="B4395" s="26"/>
      <c r="C4395" s="26"/>
    </row>
    <row r="4396" ht="15.75" spans="1:3">
      <c r="A4396">
        <v>4395</v>
      </c>
      <c r="B4396" s="26"/>
      <c r="C4396" s="26"/>
    </row>
    <row r="4397" ht="15.75" spans="1:3">
      <c r="A4397">
        <v>4396</v>
      </c>
      <c r="B4397" s="26"/>
      <c r="C4397" s="26"/>
    </row>
    <row r="4398" ht="15.75" spans="1:3">
      <c r="A4398">
        <v>4397</v>
      </c>
      <c r="B4398" s="26"/>
      <c r="C4398" s="26"/>
    </row>
    <row r="4399" ht="15.75" spans="1:3">
      <c r="A4399">
        <v>4398</v>
      </c>
      <c r="B4399" s="26"/>
      <c r="C4399" s="26"/>
    </row>
    <row r="4400" ht="15.75" spans="1:3">
      <c r="A4400">
        <v>4399</v>
      </c>
      <c r="B4400" s="26"/>
      <c r="C4400" s="26"/>
    </row>
    <row r="4401" ht="15.75" spans="1:3">
      <c r="A4401">
        <v>4400</v>
      </c>
      <c r="B4401" s="26"/>
      <c r="C4401" s="26"/>
    </row>
    <row r="4402" ht="15.75" spans="1:3">
      <c r="A4402">
        <v>4401</v>
      </c>
      <c r="B4402" s="26"/>
      <c r="C4402" s="26"/>
    </row>
    <row r="4403" ht="21" spans="1:3">
      <c r="A4403">
        <v>4402</v>
      </c>
      <c r="B4403" s="25" t="s">
        <v>16892</v>
      </c>
      <c r="C4403" s="26"/>
    </row>
    <row r="4404" ht="18" spans="1:3">
      <c r="A4404">
        <v>4403</v>
      </c>
      <c r="B4404" s="31" t="str">
        <f>IFERROR(__xludf.DUMMYFUNCTION("""COMPUTED_VALUE"""),"mikael werku")</f>
        <v>mikael werku</v>
      </c>
      <c r="C4404" s="31">
        <v>913446494</v>
      </c>
    </row>
    <row r="4405" ht="15.75" spans="1:3">
      <c r="A4405">
        <v>4404</v>
      </c>
      <c r="B4405" s="26"/>
      <c r="C4405" s="26"/>
    </row>
    <row r="4406" ht="15.75" spans="1:3">
      <c r="A4406">
        <v>4405</v>
      </c>
      <c r="B4406" s="26"/>
      <c r="C4406" s="26"/>
    </row>
    <row r="4407" ht="21" spans="1:3">
      <c r="A4407">
        <v>4406</v>
      </c>
      <c r="B4407" s="25" t="s">
        <v>16892</v>
      </c>
      <c r="C4407" s="26"/>
    </row>
    <row r="4408" ht="15.75" spans="1:3">
      <c r="A4408">
        <v>4407</v>
      </c>
      <c r="B4408" s="26"/>
      <c r="C4408" s="26"/>
    </row>
    <row r="4409" ht="15.75" spans="1:3">
      <c r="A4409">
        <v>4408</v>
      </c>
      <c r="B4409" s="29"/>
      <c r="C4409" s="29"/>
    </row>
    <row r="4410" ht="15.75" spans="1:3">
      <c r="A4410">
        <v>4409</v>
      </c>
      <c r="B4410" s="29"/>
      <c r="C4410" s="29"/>
    </row>
    <row r="4411" ht="21" spans="1:3">
      <c r="A4411">
        <v>4410</v>
      </c>
      <c r="B4411" s="25" t="s">
        <v>16892</v>
      </c>
      <c r="C4411" s="26"/>
    </row>
    <row r="4412" ht="21" spans="1:3">
      <c r="A4412">
        <v>4411</v>
      </c>
      <c r="B4412" s="27" t="s">
        <v>16892</v>
      </c>
      <c r="C4412" s="26"/>
    </row>
    <row r="4413" ht="15.75" spans="1:3">
      <c r="A4413">
        <v>4412</v>
      </c>
      <c r="B4413" s="26"/>
      <c r="C4413" s="26"/>
    </row>
    <row r="4414" ht="15.75" spans="1:3">
      <c r="A4414">
        <v>4413</v>
      </c>
      <c r="B4414" s="26"/>
      <c r="C4414" s="26"/>
    </row>
    <row r="4415" ht="15.75" spans="1:3">
      <c r="A4415">
        <v>4414</v>
      </c>
      <c r="B4415" s="26"/>
      <c r="C4415" s="26"/>
    </row>
    <row r="4416" ht="15.75" spans="1:3">
      <c r="A4416">
        <v>4415</v>
      </c>
      <c r="B4416" s="26"/>
      <c r="C4416" s="26"/>
    </row>
    <row r="4417" ht="15.75" spans="1:3">
      <c r="A4417">
        <v>4416</v>
      </c>
      <c r="B4417" s="26"/>
      <c r="C4417" s="26"/>
    </row>
    <row r="4418" ht="15.75" spans="1:3">
      <c r="A4418">
        <v>4417</v>
      </c>
      <c r="B4418" s="26"/>
      <c r="C4418" s="26"/>
    </row>
    <row r="4419" ht="15.75" spans="1:3">
      <c r="A4419">
        <v>4418</v>
      </c>
      <c r="B4419" s="26"/>
      <c r="C4419" s="26"/>
    </row>
    <row r="4420" ht="15.75" spans="1:3">
      <c r="A4420">
        <v>4419</v>
      </c>
      <c r="B4420" s="26"/>
      <c r="C4420" s="26"/>
    </row>
    <row r="4421" ht="15.75" spans="1:3">
      <c r="A4421">
        <v>4420</v>
      </c>
      <c r="B4421" s="26"/>
      <c r="C4421" s="26"/>
    </row>
    <row r="4422" ht="15.75" spans="1:3">
      <c r="A4422">
        <v>4421</v>
      </c>
      <c r="B4422" s="26"/>
      <c r="C4422" s="26"/>
    </row>
    <row r="4423" ht="15.75" spans="1:3">
      <c r="A4423">
        <v>4422</v>
      </c>
      <c r="B4423" s="26"/>
      <c r="C4423" s="26"/>
    </row>
    <row r="4424" ht="15.75" spans="1:3">
      <c r="A4424">
        <v>4423</v>
      </c>
      <c r="B4424" s="29"/>
      <c r="C4424" s="29"/>
    </row>
    <row r="4425" ht="15.75" spans="1:3">
      <c r="A4425">
        <v>4424</v>
      </c>
      <c r="B4425" s="29"/>
      <c r="C4425" s="29"/>
    </row>
    <row r="4426" ht="15.75" spans="1:3">
      <c r="A4426">
        <v>4425</v>
      </c>
      <c r="B4426" s="26"/>
      <c r="C4426" s="26"/>
    </row>
    <row r="4427" ht="15.75" spans="1:3">
      <c r="A4427">
        <v>4426</v>
      </c>
      <c r="B4427" s="26"/>
      <c r="C4427" s="26"/>
    </row>
    <row r="4428" ht="15.75" spans="1:3">
      <c r="A4428">
        <v>4427</v>
      </c>
      <c r="B4428" s="26"/>
      <c r="C4428" s="26"/>
    </row>
    <row r="4429" ht="15.75" spans="1:3">
      <c r="A4429">
        <v>4428</v>
      </c>
      <c r="B4429" s="26"/>
      <c r="C4429" s="26"/>
    </row>
    <row r="4430" ht="15.75" spans="1:3">
      <c r="A4430">
        <v>4429</v>
      </c>
      <c r="B4430" s="26"/>
      <c r="C4430" s="26"/>
    </row>
    <row r="4431" ht="15.75" spans="1:3">
      <c r="A4431">
        <v>4430</v>
      </c>
      <c r="B4431" s="26"/>
      <c r="C4431" s="26"/>
    </row>
    <row r="4432" ht="15.75" spans="1:3">
      <c r="A4432">
        <v>4431</v>
      </c>
      <c r="B4432" s="26"/>
      <c r="C4432" s="26"/>
    </row>
    <row r="4433" ht="15.75" spans="1:3">
      <c r="A4433">
        <v>4432</v>
      </c>
      <c r="B4433" s="26"/>
      <c r="C4433" s="26"/>
    </row>
    <row r="4434" ht="15.75" spans="1:3">
      <c r="A4434">
        <v>4433</v>
      </c>
      <c r="B4434" s="26"/>
      <c r="C4434" s="26"/>
    </row>
    <row r="4435" ht="15.75" spans="1:3">
      <c r="A4435">
        <v>4434</v>
      </c>
      <c r="B4435" s="26"/>
      <c r="C4435" s="26"/>
    </row>
    <row r="4436" ht="15.75" spans="1:3">
      <c r="A4436">
        <v>4435</v>
      </c>
      <c r="B4436" s="26"/>
      <c r="C4436" s="26"/>
    </row>
    <row r="4437" ht="15.75" spans="1:3">
      <c r="A4437">
        <v>4436</v>
      </c>
      <c r="B4437" s="26"/>
      <c r="C4437" s="26"/>
    </row>
    <row r="4438" ht="15.75" spans="1:3">
      <c r="A4438">
        <v>4437</v>
      </c>
      <c r="B4438" s="26"/>
      <c r="C4438" s="26"/>
    </row>
    <row r="4439" ht="15.75" spans="1:3">
      <c r="A4439">
        <v>4438</v>
      </c>
      <c r="B4439" s="26"/>
      <c r="C4439" s="26"/>
    </row>
    <row r="4440" ht="15.75" spans="1:3">
      <c r="A4440">
        <v>4439</v>
      </c>
      <c r="B4440" s="26"/>
      <c r="C4440" s="26"/>
    </row>
    <row r="4441" ht="15.75" spans="1:3">
      <c r="A4441">
        <v>4440</v>
      </c>
      <c r="B4441" s="26"/>
      <c r="C4441" s="26"/>
    </row>
    <row r="4442" ht="15.75" spans="1:3">
      <c r="A4442">
        <v>4441</v>
      </c>
      <c r="B4442" s="26"/>
      <c r="C4442" s="26"/>
    </row>
    <row r="4443" ht="15.75" spans="1:3">
      <c r="A4443">
        <v>4442</v>
      </c>
      <c r="B4443" s="26"/>
      <c r="C4443" s="26"/>
    </row>
    <row r="4444" ht="15.75" spans="1:3">
      <c r="A4444">
        <v>4443</v>
      </c>
      <c r="B4444" s="26"/>
      <c r="C4444" s="26"/>
    </row>
    <row r="4445" ht="21" spans="1:3">
      <c r="A4445">
        <v>4444</v>
      </c>
      <c r="B4445" s="27" t="s">
        <v>16892</v>
      </c>
      <c r="C4445" s="26"/>
    </row>
    <row r="4446" ht="15.75" spans="1:3">
      <c r="A4446">
        <v>4445</v>
      </c>
      <c r="B4446" s="26"/>
      <c r="C4446" s="26"/>
    </row>
    <row r="4447" ht="15.75" spans="1:3">
      <c r="A4447">
        <v>4446</v>
      </c>
      <c r="B4447" s="26"/>
      <c r="C4447" s="26"/>
    </row>
    <row r="4448" ht="15.75" spans="1:3">
      <c r="A4448">
        <v>4447</v>
      </c>
      <c r="B4448" s="26"/>
      <c r="C4448" s="26"/>
    </row>
    <row r="4449" ht="15.75" spans="1:3">
      <c r="A4449">
        <v>4448</v>
      </c>
      <c r="B4449" s="26"/>
      <c r="C4449" s="26"/>
    </row>
    <row r="4450" ht="15.75" spans="1:3">
      <c r="A4450">
        <v>4449</v>
      </c>
      <c r="B4450" s="26"/>
      <c r="C4450" s="26"/>
    </row>
    <row r="4451" ht="21" spans="1:3">
      <c r="A4451">
        <v>4450</v>
      </c>
      <c r="B4451" s="25" t="s">
        <v>16892</v>
      </c>
      <c r="C4451" s="26"/>
    </row>
    <row r="4452" ht="18" spans="1:3">
      <c r="A4452">
        <v>4451</v>
      </c>
      <c r="B4452" s="31" t="str">
        <f>IFERROR(__xludf.DUMMYFUNCTION("""COMPUTED_VALUE"""),"Tigist Mulatu")</f>
        <v>Tigist Mulatu</v>
      </c>
      <c r="C4452" s="31">
        <v>919850338</v>
      </c>
    </row>
    <row r="4453" ht="15.75" spans="1:3">
      <c r="A4453">
        <v>4452</v>
      </c>
      <c r="B4453" s="26"/>
      <c r="C4453" s="26"/>
    </row>
    <row r="4454" ht="15.75" spans="1:3">
      <c r="A4454">
        <v>4453</v>
      </c>
      <c r="B4454" s="26"/>
      <c r="C4454" s="26"/>
    </row>
    <row r="4455" ht="21" spans="1:3">
      <c r="A4455">
        <v>4454</v>
      </c>
      <c r="B4455" s="25" t="s">
        <v>16892</v>
      </c>
      <c r="C4455" s="26"/>
    </row>
    <row r="4456" ht="18.75" spans="1:3">
      <c r="A4456">
        <v>4455</v>
      </c>
      <c r="B4456" s="31" t="str">
        <f>IFERROR(__xludf.DUMMYFUNCTION("""COMPUTED_VALUE"""),"Elsabet Belayneh")</f>
        <v>Elsabet Belayneh</v>
      </c>
      <c r="C4456" s="30">
        <v>900024530</v>
      </c>
    </row>
    <row r="4457" ht="15.75" spans="1:3">
      <c r="A4457">
        <v>4456</v>
      </c>
      <c r="B4457" s="26"/>
      <c r="C4457" s="26"/>
    </row>
    <row r="4458" ht="15.75" spans="1:3">
      <c r="A4458">
        <v>4457</v>
      </c>
      <c r="B4458" s="26"/>
      <c r="C4458" s="26"/>
    </row>
    <row r="4459" ht="21" spans="1:3">
      <c r="A4459">
        <v>4458</v>
      </c>
      <c r="B4459" s="27" t="s">
        <v>16892</v>
      </c>
      <c r="C4459" s="26"/>
    </row>
    <row r="4460" ht="15.75" spans="1:3">
      <c r="A4460">
        <v>4459</v>
      </c>
      <c r="B4460" s="26"/>
      <c r="C4460" s="26"/>
    </row>
    <row r="4461" ht="18.75" spans="1:3">
      <c r="A4461">
        <v>4460</v>
      </c>
      <c r="B4461" s="39" t="str">
        <f>IFERROR(__xludf.DUMMYFUNCTION("""COMPUTED_VALUE"""),"Tadele Seyfu")</f>
        <v>Tadele Seyfu</v>
      </c>
      <c r="C4461" s="34">
        <v>947476565</v>
      </c>
    </row>
    <row r="4462" ht="18.75" spans="1:3">
      <c r="A4462">
        <v>4461</v>
      </c>
      <c r="B4462" s="39" t="str">
        <f>IFERROR(__xludf.DUMMYFUNCTION("""COMPUTED_VALUE"""),"Tadele Seyfu")</f>
        <v>Tadele Seyfu</v>
      </c>
      <c r="C4462" s="34">
        <v>947476565</v>
      </c>
    </row>
    <row r="4463" ht="21" spans="1:3">
      <c r="A4463">
        <v>4462</v>
      </c>
      <c r="B4463" s="25" t="s">
        <v>16892</v>
      </c>
      <c r="C4463" s="26"/>
    </row>
    <row r="4464" ht="21" spans="1:3">
      <c r="A4464">
        <v>4463</v>
      </c>
      <c r="B4464" s="27" t="s">
        <v>16892</v>
      </c>
      <c r="C4464" s="26"/>
    </row>
    <row r="4465" ht="21" spans="1:3">
      <c r="A4465">
        <v>4464</v>
      </c>
      <c r="B4465" s="27" t="s">
        <v>16892</v>
      </c>
      <c r="C4465" s="26"/>
    </row>
    <row r="4466" ht="21" spans="1:3">
      <c r="A4466">
        <v>4465</v>
      </c>
      <c r="B4466" s="27" t="s">
        <v>16892</v>
      </c>
      <c r="C4466" s="26"/>
    </row>
    <row r="4467" ht="21" spans="1:3">
      <c r="A4467">
        <v>4466</v>
      </c>
      <c r="B4467" s="27" t="s">
        <v>16892</v>
      </c>
      <c r="C4467" s="26"/>
    </row>
    <row r="4468" ht="21" spans="1:3">
      <c r="A4468">
        <v>4467</v>
      </c>
      <c r="B4468" s="25" t="s">
        <v>16892</v>
      </c>
      <c r="C4468" s="26"/>
    </row>
    <row r="4469" ht="15.75" spans="1:3">
      <c r="A4469">
        <v>4468</v>
      </c>
      <c r="B4469" s="29"/>
      <c r="C4469" s="29"/>
    </row>
    <row r="4470" ht="15.75" spans="1:3">
      <c r="A4470">
        <v>4469</v>
      </c>
      <c r="B4470" s="29"/>
      <c r="C4470" s="29"/>
    </row>
    <row r="4471" ht="21" spans="1:3">
      <c r="A4471">
        <v>4470</v>
      </c>
      <c r="B4471" s="25" t="s">
        <v>16892</v>
      </c>
      <c r="C4471" s="26"/>
    </row>
    <row r="4472" ht="15.75" spans="1:3">
      <c r="A4472">
        <v>4471</v>
      </c>
      <c r="B4472" s="26"/>
      <c r="C4472" s="26"/>
    </row>
    <row r="4473" ht="21" spans="1:3">
      <c r="A4473">
        <v>4472</v>
      </c>
      <c r="B4473" s="25" t="s">
        <v>16892</v>
      </c>
      <c r="C4473" s="26"/>
    </row>
    <row r="4474" ht="21" spans="1:3">
      <c r="A4474">
        <v>4473</v>
      </c>
      <c r="B4474" s="25" t="s">
        <v>16892</v>
      </c>
      <c r="C4474" s="26"/>
    </row>
    <row r="4475" ht="21" spans="1:3">
      <c r="A4475">
        <v>4474</v>
      </c>
      <c r="B4475" s="25" t="s">
        <v>16892</v>
      </c>
      <c r="C4475" s="26"/>
    </row>
    <row r="4476" ht="21" spans="1:3">
      <c r="A4476">
        <v>4475</v>
      </c>
      <c r="B4476" s="27" t="s">
        <v>16892</v>
      </c>
      <c r="C4476" s="26"/>
    </row>
    <row r="4477" ht="15.75" spans="1:3">
      <c r="A4477">
        <v>4476</v>
      </c>
      <c r="B4477" s="26"/>
      <c r="C4477" s="26"/>
    </row>
    <row r="4478" ht="15.75" spans="1:3">
      <c r="A4478">
        <v>4477</v>
      </c>
      <c r="B4478" s="26"/>
      <c r="C4478" s="26"/>
    </row>
    <row r="4479" ht="21" spans="1:3">
      <c r="A4479">
        <v>4478</v>
      </c>
      <c r="B4479" s="25" t="s">
        <v>16892</v>
      </c>
      <c r="C4479" s="26"/>
    </row>
    <row r="4480" ht="21" spans="1:3">
      <c r="A4480">
        <v>4479</v>
      </c>
      <c r="B4480" s="25" t="s">
        <v>16892</v>
      </c>
      <c r="C4480" s="26"/>
    </row>
    <row r="4481" ht="21" spans="1:3">
      <c r="A4481">
        <v>4480</v>
      </c>
      <c r="B4481" s="25" t="s">
        <v>16892</v>
      </c>
      <c r="C4481" s="26"/>
    </row>
    <row r="4482" ht="21" spans="1:3">
      <c r="A4482">
        <v>4481</v>
      </c>
      <c r="B4482" s="27" t="s">
        <v>16892</v>
      </c>
      <c r="C4482" s="26"/>
    </row>
    <row r="4483" ht="21" spans="1:3">
      <c r="A4483">
        <v>4482</v>
      </c>
      <c r="B4483" s="25" t="s">
        <v>16892</v>
      </c>
      <c r="C4483" s="26"/>
    </row>
    <row r="4484" ht="21" spans="1:3">
      <c r="A4484">
        <v>4483</v>
      </c>
      <c r="B4484" s="27" t="s">
        <v>16892</v>
      </c>
      <c r="C4484" s="26"/>
    </row>
    <row r="4485" ht="21" spans="1:3">
      <c r="A4485">
        <v>4484</v>
      </c>
      <c r="B4485" s="25" t="s">
        <v>16892</v>
      </c>
      <c r="C4485" s="26"/>
    </row>
    <row r="4486" ht="21" spans="1:3">
      <c r="A4486">
        <v>4485</v>
      </c>
      <c r="B4486" s="25" t="s">
        <v>16892</v>
      </c>
      <c r="C4486" s="26"/>
    </row>
    <row r="4487" ht="21" spans="1:3">
      <c r="A4487">
        <v>4486</v>
      </c>
      <c r="B4487" s="27" t="s">
        <v>16892</v>
      </c>
      <c r="C4487" s="26"/>
    </row>
    <row r="4488" ht="21" spans="1:3">
      <c r="A4488">
        <v>4487</v>
      </c>
      <c r="B4488" s="25" t="s">
        <v>16892</v>
      </c>
      <c r="C4488" s="26"/>
    </row>
    <row r="4489" ht="21" spans="1:3">
      <c r="A4489">
        <v>4488</v>
      </c>
      <c r="B4489" s="27" t="s">
        <v>16892</v>
      </c>
      <c r="C4489" s="26"/>
    </row>
    <row r="4490" ht="21" spans="1:3">
      <c r="A4490">
        <v>4489</v>
      </c>
      <c r="B4490" s="25" t="s">
        <v>16892</v>
      </c>
      <c r="C4490" s="26"/>
    </row>
    <row r="4491" ht="15.75" spans="1:3">
      <c r="A4491">
        <v>4490</v>
      </c>
      <c r="B4491" s="26"/>
      <c r="C4491" s="26"/>
    </row>
    <row r="4492" ht="21" spans="1:3">
      <c r="A4492">
        <v>4491</v>
      </c>
      <c r="B4492" s="27" t="s">
        <v>16892</v>
      </c>
      <c r="C4492" s="26"/>
    </row>
    <row r="4493" ht="15.75" spans="1:3">
      <c r="A4493">
        <v>4492</v>
      </c>
      <c r="B4493" s="26"/>
      <c r="C4493" s="26"/>
    </row>
    <row r="4494" ht="21" spans="1:3">
      <c r="A4494">
        <v>4493</v>
      </c>
      <c r="B4494" s="27" t="s">
        <v>16892</v>
      </c>
      <c r="C4494" s="26"/>
    </row>
    <row r="4495" ht="21" spans="1:3">
      <c r="A4495">
        <v>4494</v>
      </c>
      <c r="B4495" s="27" t="s">
        <v>16892</v>
      </c>
      <c r="C4495" s="26"/>
    </row>
    <row r="4496" ht="21" spans="1:3">
      <c r="A4496">
        <v>4495</v>
      </c>
      <c r="B4496" s="25" t="s">
        <v>16892</v>
      </c>
      <c r="C4496" s="26"/>
    </row>
    <row r="4497" ht="21" spans="1:3">
      <c r="A4497">
        <v>4496</v>
      </c>
      <c r="B4497" s="25" t="s">
        <v>16892</v>
      </c>
      <c r="C4497" s="26"/>
    </row>
    <row r="4498" ht="21" spans="1:3">
      <c r="A4498">
        <v>4497</v>
      </c>
      <c r="B4498" s="27" t="s">
        <v>16892</v>
      </c>
      <c r="C4498" s="26"/>
    </row>
    <row r="4499" ht="21" spans="1:3">
      <c r="A4499">
        <v>4498</v>
      </c>
      <c r="B4499" s="25" t="s">
        <v>16892</v>
      </c>
      <c r="C4499" s="26"/>
    </row>
    <row r="4500" ht="21" spans="1:3">
      <c r="A4500">
        <v>4499</v>
      </c>
      <c r="B4500" s="27" t="s">
        <v>16892</v>
      </c>
      <c r="C4500" s="26"/>
    </row>
    <row r="4501" ht="21" spans="1:3">
      <c r="A4501">
        <v>4500</v>
      </c>
      <c r="B4501" s="27" t="s">
        <v>16892</v>
      </c>
      <c r="C4501" s="26"/>
    </row>
    <row r="4502" ht="15.75" spans="1:3">
      <c r="A4502">
        <v>4501</v>
      </c>
      <c r="B4502" s="26"/>
      <c r="C4502" s="26"/>
    </row>
    <row r="4503" ht="21" spans="1:3">
      <c r="A4503">
        <v>4502</v>
      </c>
      <c r="B4503" s="27" t="s">
        <v>16892</v>
      </c>
      <c r="C4503" s="26"/>
    </row>
    <row r="4504" ht="21" spans="1:3">
      <c r="A4504">
        <v>4503</v>
      </c>
      <c r="B4504" s="27" t="s">
        <v>16892</v>
      </c>
      <c r="C4504" s="26"/>
    </row>
    <row r="4505" ht="21" spans="1:3">
      <c r="A4505">
        <v>4504</v>
      </c>
      <c r="B4505" s="27" t="s">
        <v>16892</v>
      </c>
      <c r="C4505" s="26"/>
    </row>
    <row r="4506" ht="15.75" spans="1:3">
      <c r="A4506">
        <v>4505</v>
      </c>
      <c r="B4506" s="26"/>
      <c r="C4506" s="26"/>
    </row>
    <row r="4507" ht="21" spans="1:3">
      <c r="A4507">
        <v>4506</v>
      </c>
      <c r="B4507" s="27" t="s">
        <v>16892</v>
      </c>
      <c r="C4507" s="26"/>
    </row>
    <row r="4508" ht="15.75" spans="1:3">
      <c r="A4508">
        <v>4507</v>
      </c>
      <c r="B4508" s="26"/>
      <c r="C4508" s="26"/>
    </row>
    <row r="4509" ht="15.75" spans="1:3">
      <c r="A4509">
        <v>4508</v>
      </c>
      <c r="B4509" s="26"/>
      <c r="C4509" s="26"/>
    </row>
    <row r="4510" spans="1:3">
      <c r="A4510">
        <v>4509</v>
      </c>
      <c r="B4510" s="45" t="s">
        <v>16905</v>
      </c>
      <c r="C4510" s="36" t="s">
        <v>16940</v>
      </c>
    </row>
    <row r="4511" ht="15.75" spans="1:3">
      <c r="A4511">
        <v>4510</v>
      </c>
      <c r="B4511" s="29"/>
      <c r="C4511" s="29"/>
    </row>
    <row r="4512" ht="15.75" spans="1:3">
      <c r="A4512">
        <v>4511</v>
      </c>
      <c r="B4512" s="29"/>
      <c r="C4512" s="29"/>
    </row>
    <row r="4513" ht="15.75" spans="1:3">
      <c r="A4513">
        <v>4512</v>
      </c>
      <c r="B4513" s="26"/>
      <c r="C4513" s="26"/>
    </row>
    <row r="4514" ht="21" spans="1:3">
      <c r="A4514">
        <v>4513</v>
      </c>
      <c r="B4514" s="25" t="s">
        <v>16892</v>
      </c>
      <c r="C4514" s="26"/>
    </row>
    <row r="4515" ht="21" spans="1:3">
      <c r="A4515">
        <v>4514</v>
      </c>
      <c r="B4515" s="25" t="s">
        <v>16892</v>
      </c>
      <c r="C4515" s="26"/>
    </row>
    <row r="4516" ht="21" spans="1:3">
      <c r="A4516">
        <v>4515</v>
      </c>
      <c r="B4516" s="27" t="s">
        <v>16892</v>
      </c>
      <c r="C4516" s="26"/>
    </row>
    <row r="4517" ht="15.75" spans="1:3">
      <c r="A4517">
        <v>4516</v>
      </c>
      <c r="B4517" s="26"/>
      <c r="C4517" s="26"/>
    </row>
    <row r="4518" ht="21" spans="1:3">
      <c r="A4518">
        <v>4517</v>
      </c>
      <c r="B4518" s="25" t="s">
        <v>16892</v>
      </c>
      <c r="C4518" s="26"/>
    </row>
    <row r="4519" ht="21" spans="1:3">
      <c r="A4519">
        <v>4518</v>
      </c>
      <c r="B4519" s="25" t="s">
        <v>16892</v>
      </c>
      <c r="C4519" s="26"/>
    </row>
    <row r="4520" ht="21" spans="1:3">
      <c r="A4520">
        <v>4519</v>
      </c>
      <c r="B4520" s="25" t="s">
        <v>16892</v>
      </c>
      <c r="C4520" s="26"/>
    </row>
    <row r="4521" ht="21" spans="1:3">
      <c r="A4521">
        <v>4520</v>
      </c>
      <c r="B4521" s="25" t="s">
        <v>16892</v>
      </c>
      <c r="C4521" s="26"/>
    </row>
    <row r="4522" ht="21" spans="1:3">
      <c r="A4522">
        <v>4521</v>
      </c>
      <c r="B4522" s="27" t="s">
        <v>16892</v>
      </c>
      <c r="C4522" s="26"/>
    </row>
    <row r="4523" ht="15.75" spans="1:3">
      <c r="A4523">
        <v>4522</v>
      </c>
      <c r="B4523" s="29"/>
      <c r="C4523" s="29"/>
    </row>
    <row r="4524" ht="15.75" spans="1:3">
      <c r="A4524">
        <v>4523</v>
      </c>
      <c r="B4524" s="29"/>
      <c r="C4524" s="29"/>
    </row>
    <row r="4525" ht="21" spans="1:3">
      <c r="A4525">
        <v>4524</v>
      </c>
      <c r="B4525" s="27" t="s">
        <v>16892</v>
      </c>
      <c r="C4525" s="26"/>
    </row>
    <row r="4526" ht="21" spans="1:3">
      <c r="A4526">
        <v>4525</v>
      </c>
      <c r="B4526" s="25" t="s">
        <v>16892</v>
      </c>
      <c r="C4526" s="26"/>
    </row>
    <row r="4527" ht="21" spans="1:3">
      <c r="A4527">
        <v>4526</v>
      </c>
      <c r="B4527" s="25" t="s">
        <v>16892</v>
      </c>
      <c r="C4527" s="26"/>
    </row>
    <row r="4528" ht="15.75" spans="1:3">
      <c r="A4528">
        <v>4527</v>
      </c>
      <c r="B4528" s="26"/>
      <c r="C4528" s="26"/>
    </row>
    <row r="4529" ht="15.75" spans="1:3">
      <c r="A4529">
        <v>4528</v>
      </c>
      <c r="B4529" s="26"/>
      <c r="C4529" s="26"/>
    </row>
    <row r="4530" ht="15.75" spans="1:3">
      <c r="A4530">
        <v>4529</v>
      </c>
      <c r="B4530" s="26"/>
      <c r="C4530" s="26"/>
    </row>
    <row r="4531" ht="15.75" spans="1:3">
      <c r="A4531">
        <v>4530</v>
      </c>
      <c r="B4531" s="26"/>
      <c r="C4531" s="26"/>
    </row>
    <row r="4532" ht="15.75" spans="1:3">
      <c r="A4532">
        <v>4531</v>
      </c>
      <c r="B4532" s="26"/>
      <c r="C4532" s="26"/>
    </row>
    <row r="4533" ht="21" spans="1:3">
      <c r="A4533">
        <v>4532</v>
      </c>
      <c r="B4533" s="25" t="s">
        <v>16892</v>
      </c>
      <c r="C4533" s="26"/>
    </row>
    <row r="4534" ht="21" spans="1:3">
      <c r="A4534">
        <v>4533</v>
      </c>
      <c r="B4534" s="25" t="s">
        <v>16892</v>
      </c>
      <c r="C4534" s="26"/>
    </row>
    <row r="4535" ht="15.75" spans="1:3">
      <c r="A4535">
        <v>4534</v>
      </c>
      <c r="B4535" s="26"/>
      <c r="C4535" s="26"/>
    </row>
    <row r="4536" ht="15.75" spans="1:3">
      <c r="A4536">
        <v>4535</v>
      </c>
      <c r="B4536" s="26"/>
      <c r="C4536" s="26"/>
    </row>
    <row r="4537" ht="21" spans="1:3">
      <c r="A4537">
        <v>4536</v>
      </c>
      <c r="B4537" s="27" t="s">
        <v>16892</v>
      </c>
      <c r="C4537" s="26"/>
    </row>
    <row r="4538" ht="18" spans="1:3">
      <c r="A4538">
        <v>4537</v>
      </c>
      <c r="B4538" s="31" t="str">
        <f>IFERROR(__xludf.DUMMYFUNCTION("""COMPUTED_VALUE"""),"ኤደን ደነቀ")</f>
        <v>ኤደን ደነቀ</v>
      </c>
      <c r="C4538" s="31">
        <v>910827933</v>
      </c>
    </row>
    <row r="4539" ht="15.75" spans="1:3">
      <c r="A4539">
        <v>4538</v>
      </c>
      <c r="B4539" s="26"/>
      <c r="C4539" s="26"/>
    </row>
    <row r="4540" ht="15.75" spans="1:3">
      <c r="A4540">
        <v>4539</v>
      </c>
      <c r="B4540" s="26"/>
      <c r="C4540" s="26"/>
    </row>
    <row r="4541" ht="15.75" spans="1:3">
      <c r="A4541">
        <v>4540</v>
      </c>
      <c r="B4541" s="26"/>
      <c r="C4541" s="26"/>
    </row>
    <row r="4542" ht="15.75" spans="1:3">
      <c r="A4542">
        <v>4541</v>
      </c>
      <c r="B4542" s="26"/>
      <c r="C4542" s="26"/>
    </row>
    <row r="4543" ht="15.75" spans="1:3">
      <c r="A4543">
        <v>4542</v>
      </c>
      <c r="B4543" s="26"/>
      <c r="C4543" s="26"/>
    </row>
    <row r="4544" ht="15.75" spans="1:3">
      <c r="A4544">
        <v>4543</v>
      </c>
      <c r="B4544" s="26"/>
      <c r="C4544" s="26"/>
    </row>
    <row r="4545" ht="15.75" spans="1:3">
      <c r="A4545">
        <v>4544</v>
      </c>
      <c r="B4545" s="26"/>
      <c r="C4545" s="26"/>
    </row>
    <row r="4546" ht="15.75" spans="1:3">
      <c r="A4546">
        <v>4545</v>
      </c>
      <c r="B4546" s="26"/>
      <c r="C4546" s="26"/>
    </row>
    <row r="4547" ht="15.75" spans="1:3">
      <c r="A4547">
        <v>4546</v>
      </c>
      <c r="B4547" s="26"/>
      <c r="C4547" s="26"/>
    </row>
    <row r="4548" ht="15.75" spans="1:3">
      <c r="A4548">
        <v>4547</v>
      </c>
      <c r="B4548" s="26"/>
      <c r="C4548" s="26"/>
    </row>
    <row r="4549" ht="15.75" spans="1:3">
      <c r="A4549">
        <v>4548</v>
      </c>
      <c r="B4549" s="29"/>
      <c r="C4549" s="29"/>
    </row>
    <row r="4550" ht="15.75" spans="1:3">
      <c r="A4550">
        <v>4549</v>
      </c>
      <c r="B4550" s="29"/>
      <c r="C4550" s="29"/>
    </row>
    <row r="4551" ht="15.75" spans="1:3">
      <c r="A4551">
        <v>4550</v>
      </c>
      <c r="B4551" s="26"/>
      <c r="C4551" s="26"/>
    </row>
    <row r="4552" ht="18.75" spans="1:3">
      <c r="A4552">
        <v>4551</v>
      </c>
      <c r="B4552" s="30" t="str">
        <f>IFERROR(__xludf.DUMMYFUNCTION("""COMPUTED_VALUE"""),"Erben Erven")</f>
        <v>Erben Erven</v>
      </c>
      <c r="C4552" s="30">
        <v>912984294</v>
      </c>
    </row>
    <row r="4553" ht="15.75" spans="1:3">
      <c r="A4553">
        <v>4552</v>
      </c>
      <c r="B4553" s="26"/>
      <c r="C4553" s="26"/>
    </row>
    <row r="4554" ht="15.75" spans="1:3">
      <c r="A4554">
        <v>4553</v>
      </c>
      <c r="B4554" s="26"/>
      <c r="C4554" s="26"/>
    </row>
    <row r="4555" ht="15.75" spans="1:3">
      <c r="A4555">
        <v>4554</v>
      </c>
      <c r="B4555" s="26"/>
      <c r="C4555" s="26"/>
    </row>
    <row r="4556" ht="15.75" spans="1:3">
      <c r="A4556">
        <v>4555</v>
      </c>
      <c r="B4556" s="26"/>
      <c r="C4556" s="26"/>
    </row>
    <row r="4557" ht="15.75" spans="1:3">
      <c r="A4557">
        <v>4556</v>
      </c>
      <c r="B4557" s="26"/>
      <c r="C4557" s="26"/>
    </row>
    <row r="4558" ht="15.75" spans="1:3">
      <c r="A4558">
        <v>4557</v>
      </c>
      <c r="B4558" s="26"/>
      <c r="C4558" s="26"/>
    </row>
    <row r="4559" ht="15.75" spans="1:3">
      <c r="A4559">
        <v>4558</v>
      </c>
      <c r="B4559" s="26"/>
      <c r="C4559" s="26"/>
    </row>
    <row r="4560" ht="15.75" spans="1:3">
      <c r="A4560">
        <v>4559</v>
      </c>
      <c r="B4560" s="26"/>
      <c r="C4560" s="26"/>
    </row>
    <row r="4561" ht="15.75" spans="1:3">
      <c r="A4561">
        <v>4560</v>
      </c>
      <c r="B4561" s="29"/>
      <c r="C4561" s="29"/>
    </row>
    <row r="4562" ht="15.75" spans="1:3">
      <c r="A4562">
        <v>4561</v>
      </c>
      <c r="B4562" s="29"/>
      <c r="C4562" s="29"/>
    </row>
    <row r="4563" ht="18.75" spans="1:3">
      <c r="A4563">
        <v>4562</v>
      </c>
      <c r="B4563" s="30" t="str">
        <f>IFERROR(__xludf.DUMMYFUNCTION("""COMPUTED_VALUE"""),"ብርሃኑ ዋዳ")</f>
        <v>ብርሃኑ ዋዳ</v>
      </c>
      <c r="C4563" s="30">
        <v>924445406</v>
      </c>
    </row>
    <row r="4564" ht="21" spans="1:3">
      <c r="A4564">
        <v>4563</v>
      </c>
      <c r="B4564" s="25" t="s">
        <v>16892</v>
      </c>
      <c r="C4564" s="26"/>
    </row>
    <row r="4565" ht="21" spans="1:3">
      <c r="A4565">
        <v>4564</v>
      </c>
      <c r="B4565" s="27" t="s">
        <v>16892</v>
      </c>
      <c r="C4565" s="26"/>
    </row>
    <row r="4566" ht="21" spans="1:3">
      <c r="A4566">
        <v>4565</v>
      </c>
      <c r="B4566" s="27" t="s">
        <v>16892</v>
      </c>
      <c r="C4566" s="26"/>
    </row>
    <row r="4567" ht="21" spans="1:3">
      <c r="A4567">
        <v>4566</v>
      </c>
      <c r="B4567" s="27" t="s">
        <v>16892</v>
      </c>
      <c r="C4567" s="26"/>
    </row>
    <row r="4568" ht="15.75" spans="1:3">
      <c r="A4568">
        <v>4567</v>
      </c>
      <c r="B4568" s="26"/>
      <c r="C4568" s="26"/>
    </row>
    <row r="4569" ht="21" spans="1:3">
      <c r="A4569">
        <v>4568</v>
      </c>
      <c r="B4569" s="27" t="s">
        <v>16892</v>
      </c>
      <c r="C4569" s="26"/>
    </row>
    <row r="4570" ht="15.75" spans="1:3">
      <c r="A4570">
        <v>4569</v>
      </c>
      <c r="B4570" s="26"/>
      <c r="C4570" s="26"/>
    </row>
    <row r="4571" ht="15.75" spans="1:3">
      <c r="A4571">
        <v>4570</v>
      </c>
      <c r="B4571" s="26"/>
      <c r="C4571" s="26"/>
    </row>
    <row r="4572" ht="21" spans="1:3">
      <c r="A4572">
        <v>4571</v>
      </c>
      <c r="B4572" s="27" t="s">
        <v>16892</v>
      </c>
      <c r="C4572" s="26"/>
    </row>
    <row r="4573" ht="15.75" spans="1:3">
      <c r="A4573">
        <v>4572</v>
      </c>
      <c r="B4573" s="26"/>
      <c r="C4573" s="26"/>
    </row>
    <row r="4574" ht="18.75" spans="1:3">
      <c r="A4574">
        <v>4573</v>
      </c>
      <c r="B4574" s="31" t="str">
        <f>IFERROR(__xludf.DUMMYFUNCTION("""COMPUTED_VALUE"""),"hiwot solomon")</f>
        <v>hiwot solomon</v>
      </c>
      <c r="C4574" s="30">
        <v>986569386</v>
      </c>
    </row>
    <row r="4575" ht="21" spans="1:3">
      <c r="A4575">
        <v>4574</v>
      </c>
      <c r="B4575" s="27" t="s">
        <v>16892</v>
      </c>
      <c r="C4575" s="26"/>
    </row>
    <row r="4576" ht="21" spans="1:3">
      <c r="A4576">
        <v>4575</v>
      </c>
      <c r="B4576" s="25" t="s">
        <v>16892</v>
      </c>
      <c r="C4576" s="26"/>
    </row>
    <row r="4577" ht="15.75" spans="1:3">
      <c r="A4577">
        <v>4576</v>
      </c>
      <c r="B4577" s="26"/>
      <c r="C4577" s="26"/>
    </row>
    <row r="4578" ht="15.75" spans="1:3">
      <c r="A4578">
        <v>4577</v>
      </c>
      <c r="B4578" s="26"/>
      <c r="C4578" s="26"/>
    </row>
    <row r="4579" ht="21" spans="1:3">
      <c r="A4579">
        <v>4578</v>
      </c>
      <c r="B4579" s="25" t="s">
        <v>16892</v>
      </c>
      <c r="C4579" s="26"/>
    </row>
    <row r="4580" ht="21" spans="1:3">
      <c r="A4580">
        <v>4579</v>
      </c>
      <c r="B4580" s="27" t="s">
        <v>16892</v>
      </c>
      <c r="C4580" s="26"/>
    </row>
    <row r="4581" ht="21" spans="1:3">
      <c r="A4581">
        <v>4580</v>
      </c>
      <c r="B4581" s="27" t="s">
        <v>16892</v>
      </c>
      <c r="C4581" s="26"/>
    </row>
    <row r="4582" ht="21" spans="1:3">
      <c r="A4582">
        <v>4581</v>
      </c>
      <c r="B4582" s="27" t="s">
        <v>16892</v>
      </c>
      <c r="C4582" s="26"/>
    </row>
    <row r="4583" ht="21" spans="1:3">
      <c r="A4583">
        <v>4582</v>
      </c>
      <c r="B4583" s="25" t="s">
        <v>16892</v>
      </c>
      <c r="C4583" s="26"/>
    </row>
    <row r="4584" ht="21" spans="1:3">
      <c r="A4584">
        <v>4583</v>
      </c>
      <c r="B4584" s="27" t="s">
        <v>16892</v>
      </c>
      <c r="C4584" s="26"/>
    </row>
    <row r="4585" ht="21" spans="1:3">
      <c r="A4585">
        <v>4584</v>
      </c>
      <c r="B4585" s="25" t="s">
        <v>16892</v>
      </c>
      <c r="C4585" s="26"/>
    </row>
    <row r="4586" ht="21" spans="1:3">
      <c r="A4586">
        <v>4585</v>
      </c>
      <c r="B4586" s="27" t="s">
        <v>16892</v>
      </c>
      <c r="C4586" s="26"/>
    </row>
    <row r="4587" ht="21" spans="1:3">
      <c r="A4587">
        <v>4586</v>
      </c>
      <c r="B4587" s="25" t="s">
        <v>16892</v>
      </c>
      <c r="C4587" s="26"/>
    </row>
    <row r="4588" ht="21" spans="1:3">
      <c r="A4588">
        <v>4587</v>
      </c>
      <c r="B4588" s="25" t="s">
        <v>16892</v>
      </c>
      <c r="C4588" s="26"/>
    </row>
    <row r="4589" ht="21" spans="1:3">
      <c r="A4589">
        <v>4588</v>
      </c>
      <c r="B4589" s="27" t="s">
        <v>16892</v>
      </c>
      <c r="C4589" s="26"/>
    </row>
    <row r="4590" ht="21" spans="1:3">
      <c r="A4590">
        <v>4589</v>
      </c>
      <c r="B4590" s="25" t="s">
        <v>16892</v>
      </c>
      <c r="C4590" s="26"/>
    </row>
    <row r="4591" ht="21" spans="1:3">
      <c r="A4591">
        <v>4590</v>
      </c>
      <c r="B4591" s="25" t="s">
        <v>16892</v>
      </c>
      <c r="C4591" s="26"/>
    </row>
    <row r="4592" ht="21" spans="1:3">
      <c r="A4592">
        <v>4591</v>
      </c>
      <c r="B4592" s="27" t="s">
        <v>16892</v>
      </c>
      <c r="C4592" s="26"/>
    </row>
    <row r="4593" ht="21" spans="1:3">
      <c r="A4593">
        <v>4592</v>
      </c>
      <c r="B4593" s="27" t="s">
        <v>16892</v>
      </c>
      <c r="C4593" s="26"/>
    </row>
    <row r="4594" ht="15.75" spans="1:3">
      <c r="A4594">
        <v>4593</v>
      </c>
      <c r="B4594" s="26"/>
      <c r="C4594" s="26"/>
    </row>
    <row r="4595" ht="21" spans="1:3">
      <c r="A4595">
        <v>4594</v>
      </c>
      <c r="B4595" s="27" t="s">
        <v>16902</v>
      </c>
      <c r="C4595" s="26"/>
    </row>
    <row r="4596" ht="21" spans="1:3">
      <c r="A4596">
        <v>4595</v>
      </c>
      <c r="B4596" s="27" t="s">
        <v>16892</v>
      </c>
      <c r="C4596" s="26"/>
    </row>
    <row r="4597" ht="21" spans="1:3">
      <c r="A4597">
        <v>4596</v>
      </c>
      <c r="B4597" s="25" t="s">
        <v>16892</v>
      </c>
      <c r="C4597" s="26"/>
    </row>
    <row r="4598" ht="21" spans="1:3">
      <c r="A4598">
        <v>4597</v>
      </c>
      <c r="B4598" s="27" t="s">
        <v>16892</v>
      </c>
      <c r="C4598" s="26"/>
    </row>
    <row r="4599" ht="15.75" spans="1:3">
      <c r="A4599">
        <v>4598</v>
      </c>
      <c r="B4599" s="29"/>
      <c r="C4599" s="29"/>
    </row>
    <row r="4600" ht="15.75" spans="1:3">
      <c r="A4600">
        <v>4599</v>
      </c>
      <c r="B4600" s="29"/>
      <c r="C4600" s="29"/>
    </row>
    <row r="4601" ht="21" spans="1:3">
      <c r="A4601">
        <v>4600</v>
      </c>
      <c r="B4601" s="27" t="s">
        <v>16892</v>
      </c>
      <c r="C4601" s="26"/>
    </row>
    <row r="4602" ht="21" spans="1:3">
      <c r="A4602">
        <v>4601</v>
      </c>
      <c r="B4602" s="25" t="s">
        <v>16892</v>
      </c>
      <c r="C4602" s="26"/>
    </row>
    <row r="4603" ht="15.75" spans="1:3">
      <c r="A4603">
        <v>4602</v>
      </c>
      <c r="B4603" s="26"/>
      <c r="C4603" s="26"/>
    </row>
    <row r="4604" ht="15.75" spans="1:3">
      <c r="A4604">
        <v>4603</v>
      </c>
      <c r="B4604" s="26"/>
      <c r="C4604" s="26"/>
    </row>
    <row r="4605" ht="18.75" spans="1:3">
      <c r="A4605">
        <v>4604</v>
      </c>
      <c r="B4605" s="31"/>
      <c r="C4605" s="30">
        <v>921123170</v>
      </c>
    </row>
    <row r="4606" ht="21" spans="1:3">
      <c r="A4606">
        <v>4605</v>
      </c>
      <c r="B4606" s="27" t="s">
        <v>16892</v>
      </c>
      <c r="C4606" s="26"/>
    </row>
    <row r="4607" ht="15.75" spans="1:3">
      <c r="A4607">
        <v>4606</v>
      </c>
      <c r="B4607" s="26"/>
      <c r="C4607" s="26"/>
    </row>
    <row r="4608" ht="15.75" spans="1:3">
      <c r="A4608">
        <v>4607</v>
      </c>
      <c r="B4608" s="26"/>
      <c r="C4608" s="26"/>
    </row>
    <row r="4609" ht="21" spans="1:3">
      <c r="A4609">
        <v>4608</v>
      </c>
      <c r="B4609" s="25" t="s">
        <v>16892</v>
      </c>
      <c r="C4609" s="26"/>
    </row>
    <row r="4610" ht="21" spans="1:3">
      <c r="A4610">
        <v>4609</v>
      </c>
      <c r="B4610" s="25" t="s">
        <v>16892</v>
      </c>
      <c r="C4610" s="26"/>
    </row>
    <row r="4611" ht="21" spans="1:3">
      <c r="A4611">
        <v>4610</v>
      </c>
      <c r="B4611" s="27" t="s">
        <v>16892</v>
      </c>
      <c r="C4611" s="26"/>
    </row>
    <row r="4612" ht="21" spans="1:3">
      <c r="A4612">
        <v>4611</v>
      </c>
      <c r="B4612" s="27" t="s">
        <v>16892</v>
      </c>
      <c r="C4612" s="26"/>
    </row>
    <row r="4613" ht="21" spans="1:3">
      <c r="A4613">
        <v>4612</v>
      </c>
      <c r="B4613" s="25" t="s">
        <v>16892</v>
      </c>
      <c r="C4613" s="26"/>
    </row>
    <row r="4614" ht="21" spans="1:3">
      <c r="A4614">
        <v>4613</v>
      </c>
      <c r="B4614" s="25" t="s">
        <v>16892</v>
      </c>
      <c r="C4614" s="26"/>
    </row>
    <row r="4615" ht="21" spans="1:3">
      <c r="A4615">
        <v>4614</v>
      </c>
      <c r="B4615" s="27" t="s">
        <v>16892</v>
      </c>
      <c r="C4615" s="26"/>
    </row>
    <row r="4616" ht="21" spans="1:3">
      <c r="A4616">
        <v>4615</v>
      </c>
      <c r="B4616" s="25" t="s">
        <v>16892</v>
      </c>
      <c r="C4616" s="26"/>
    </row>
    <row r="4617" ht="18.75" spans="1:3">
      <c r="A4617">
        <v>4616</v>
      </c>
      <c r="B4617" s="31" t="str">
        <f>IFERROR(__xludf.DUMMYFUNCTION("""COMPUTED_VALUE"""),"mahilet gashaw")</f>
        <v>mahilet gashaw</v>
      </c>
      <c r="C4617" s="30">
        <v>909323493</v>
      </c>
    </row>
    <row r="4618" ht="21" spans="1:3">
      <c r="A4618">
        <v>4617</v>
      </c>
      <c r="B4618" s="25" t="s">
        <v>16892</v>
      </c>
      <c r="C4618" s="26"/>
    </row>
    <row r="4619" ht="21" spans="1:3">
      <c r="A4619">
        <v>4618</v>
      </c>
      <c r="B4619" s="25" t="s">
        <v>16892</v>
      </c>
      <c r="C4619" s="26"/>
    </row>
    <row r="4620" ht="15.75" spans="1:3">
      <c r="A4620">
        <v>4619</v>
      </c>
      <c r="B4620" s="26"/>
      <c r="C4620" s="26"/>
    </row>
    <row r="4621" ht="15.75" spans="1:3">
      <c r="A4621">
        <v>4620</v>
      </c>
      <c r="B4621" s="26"/>
      <c r="C4621" s="26"/>
    </row>
    <row r="4622" ht="15.75" spans="1:3">
      <c r="A4622">
        <v>4621</v>
      </c>
      <c r="B4622" s="26"/>
      <c r="C4622" s="26"/>
    </row>
    <row r="4623" ht="15.75" spans="1:3">
      <c r="A4623">
        <v>4622</v>
      </c>
      <c r="B4623" s="26"/>
      <c r="C4623" s="26"/>
    </row>
    <row r="4624" ht="18.75" spans="1:3">
      <c r="A4624">
        <v>4623</v>
      </c>
      <c r="B4624" s="30" t="str">
        <f>IFERROR(__xludf.DUMMYFUNCTION("""COMPUTED_VALUE"""),"Hiwot Kelile")</f>
        <v>Hiwot Kelile</v>
      </c>
      <c r="C4624" s="30">
        <v>908270696</v>
      </c>
    </row>
    <row r="4625" ht="15.75" spans="1:3">
      <c r="A4625">
        <v>4624</v>
      </c>
      <c r="B4625" s="26"/>
      <c r="C4625" s="26"/>
    </row>
    <row r="4626" ht="15.75" spans="1:3">
      <c r="A4626">
        <v>4625</v>
      </c>
      <c r="B4626" s="26"/>
      <c r="C4626" s="26"/>
    </row>
    <row r="4627" ht="18" spans="1:3">
      <c r="A4627">
        <v>4626</v>
      </c>
      <c r="B4627" s="31" t="str">
        <f>IFERROR(__xludf.DUMMYFUNCTION("""COMPUTED_VALUE"""),"Kintebebe")</f>
        <v>Kintebebe</v>
      </c>
      <c r="C4627" s="31"/>
    </row>
    <row r="4628" ht="15.75" spans="1:3">
      <c r="A4628">
        <v>4627</v>
      </c>
      <c r="B4628" s="26"/>
      <c r="C4628" s="26"/>
    </row>
    <row r="4629" spans="1:3">
      <c r="A4629">
        <v>4628</v>
      </c>
      <c r="B4629" s="37" t="s">
        <v>16941</v>
      </c>
      <c r="C4629" s="38" t="s">
        <v>16942</v>
      </c>
    </row>
    <row r="4630" ht="15.75" spans="1:3">
      <c r="A4630">
        <v>4629</v>
      </c>
      <c r="B4630" s="29"/>
      <c r="C4630" s="29"/>
    </row>
    <row r="4631" ht="15.75" spans="1:3">
      <c r="A4631">
        <v>4630</v>
      </c>
      <c r="B4631" s="26"/>
      <c r="C4631" s="26"/>
    </row>
    <row r="4632" ht="15.75" spans="1:3">
      <c r="A4632">
        <v>4631</v>
      </c>
      <c r="B4632" s="26"/>
      <c r="C4632" s="26"/>
    </row>
    <row r="4633" ht="15.75" spans="1:3">
      <c r="A4633">
        <v>4632</v>
      </c>
      <c r="B4633" s="26"/>
      <c r="C4633" s="26"/>
    </row>
    <row r="4634" ht="15.75" spans="1:3">
      <c r="A4634">
        <v>4633</v>
      </c>
      <c r="B4634" s="26"/>
      <c r="C4634" s="26"/>
    </row>
    <row r="4635" ht="15.75" spans="1:3">
      <c r="A4635">
        <v>4634</v>
      </c>
      <c r="B4635" s="26"/>
      <c r="C4635" s="26"/>
    </row>
    <row r="4636" ht="15.75" spans="1:3">
      <c r="A4636">
        <v>4635</v>
      </c>
      <c r="B4636" s="26"/>
      <c r="C4636" s="26"/>
    </row>
    <row r="4637" ht="15.75" spans="1:3">
      <c r="A4637">
        <v>4636</v>
      </c>
      <c r="B4637" s="26"/>
      <c r="C4637" s="26"/>
    </row>
    <row r="4638" ht="15.75" spans="1:3">
      <c r="A4638">
        <v>4637</v>
      </c>
      <c r="B4638" s="26"/>
      <c r="C4638" s="26"/>
    </row>
    <row r="4639" ht="15.75" spans="1:3">
      <c r="A4639">
        <v>4638</v>
      </c>
      <c r="B4639" s="26"/>
      <c r="C4639" s="26"/>
    </row>
    <row r="4640" ht="15.75" spans="1:3">
      <c r="A4640">
        <v>4639</v>
      </c>
      <c r="B4640" s="26"/>
      <c r="C4640" s="26"/>
    </row>
    <row r="4641" ht="18" spans="1:3">
      <c r="A4641">
        <v>4640</v>
      </c>
      <c r="B4641" s="31" t="str">
        <f>IFERROR(__xludf.DUMMYFUNCTION("""COMPUTED_VALUE"""),"getahun aklilu")</f>
        <v>getahun aklilu</v>
      </c>
      <c r="C4641" s="31">
        <v>925283372</v>
      </c>
    </row>
    <row r="4642" ht="15.75" spans="1:3">
      <c r="A4642">
        <v>4641</v>
      </c>
      <c r="B4642" s="26"/>
      <c r="C4642" s="26"/>
    </row>
    <row r="4643" ht="15.75" spans="1:3">
      <c r="A4643">
        <v>4642</v>
      </c>
      <c r="B4643" s="26"/>
      <c r="C4643" s="26"/>
    </row>
    <row r="4644" ht="15.75" spans="1:3">
      <c r="A4644">
        <v>4643</v>
      </c>
      <c r="B4644" s="26"/>
      <c r="C4644" s="26"/>
    </row>
    <row r="4645" ht="15.75" spans="1:3">
      <c r="A4645">
        <v>4644</v>
      </c>
      <c r="B4645" s="26"/>
      <c r="C4645" s="26"/>
    </row>
    <row r="4646" ht="15.75" spans="1:3">
      <c r="A4646">
        <v>4645</v>
      </c>
      <c r="B4646" s="26"/>
      <c r="C4646" s="26"/>
    </row>
    <row r="4647" ht="15.75" spans="1:3">
      <c r="A4647">
        <v>4646</v>
      </c>
      <c r="B4647" s="29"/>
      <c r="C4647" s="29"/>
    </row>
    <row r="4648" ht="15.75" spans="1:3">
      <c r="A4648">
        <v>4647</v>
      </c>
      <c r="B4648" s="29"/>
      <c r="C4648" s="29"/>
    </row>
    <row r="4649" ht="18.75" spans="1:3">
      <c r="A4649">
        <v>4648</v>
      </c>
      <c r="B4649" s="31" t="str">
        <f>IFERROR(__xludf.DUMMYFUNCTION("""COMPUTED_VALUE"""),"mesgana asfaw")</f>
        <v>mesgana asfaw</v>
      </c>
      <c r="C4649" s="30">
        <v>921302374</v>
      </c>
    </row>
    <row r="4650" ht="18.75" spans="1:3">
      <c r="A4650">
        <v>4649</v>
      </c>
      <c r="B4650" s="39" t="str">
        <f>IFERROR(__xludf.DUMMYFUNCTION("""COMPUTED_VALUE"""),"Sofiya Negash")</f>
        <v>Sofiya Negash</v>
      </c>
      <c r="C4650" s="34">
        <v>973355594</v>
      </c>
    </row>
    <row r="4651" ht="18.75" spans="1:3">
      <c r="A4651">
        <v>4650</v>
      </c>
      <c r="B4651" s="39" t="str">
        <f>IFERROR(__xludf.DUMMYFUNCTION("""COMPUTED_VALUE"""),"Sofiya Negash")</f>
        <v>Sofiya Negash</v>
      </c>
      <c r="C4651" s="34">
        <v>973355594</v>
      </c>
    </row>
    <row r="4652" spans="1:3">
      <c r="A4652">
        <v>4651</v>
      </c>
      <c r="B4652" s="37" t="s">
        <v>16924</v>
      </c>
      <c r="C4652" s="38">
        <v>973355594</v>
      </c>
    </row>
    <row r="4653" ht="15.75" spans="1:3">
      <c r="A4653">
        <v>4652</v>
      </c>
      <c r="B4653" s="29"/>
      <c r="C4653" s="29"/>
    </row>
    <row r="4654" ht="15.75" spans="1:3">
      <c r="A4654">
        <v>4653</v>
      </c>
      <c r="B4654" s="26"/>
      <c r="C4654" s="26"/>
    </row>
    <row r="4655" ht="21" spans="1:3">
      <c r="A4655">
        <v>4654</v>
      </c>
      <c r="B4655" s="25" t="s">
        <v>16892</v>
      </c>
      <c r="C4655" s="26"/>
    </row>
    <row r="4656" ht="18" spans="1:3">
      <c r="A4656">
        <v>4655</v>
      </c>
      <c r="B4656" s="31" t="str">
        <f>IFERROR(__xludf.DUMMYFUNCTION("""COMPUTED_VALUE"""),"kinetebebu kelemwork")</f>
        <v>kinetebebu kelemwork</v>
      </c>
      <c r="C4656" s="31">
        <v>913750495</v>
      </c>
    </row>
    <row r="4657" ht="15.75" spans="1:3">
      <c r="A4657">
        <v>4656</v>
      </c>
      <c r="B4657" s="26"/>
      <c r="C4657" s="26"/>
    </row>
    <row r="4658" ht="15.75" spans="1:3">
      <c r="A4658">
        <v>4657</v>
      </c>
      <c r="B4658" s="26"/>
      <c r="C4658" s="26"/>
    </row>
    <row r="4659" ht="15.75" spans="1:3">
      <c r="A4659">
        <v>4658</v>
      </c>
      <c r="B4659" s="29"/>
      <c r="C4659" s="29"/>
    </row>
    <row r="4660" ht="15.75" spans="1:3">
      <c r="A4660">
        <v>4659</v>
      </c>
      <c r="B4660" s="29"/>
      <c r="C4660" s="29"/>
    </row>
    <row r="4661" ht="15.75" spans="1:3">
      <c r="A4661">
        <v>4660</v>
      </c>
      <c r="B4661" s="26"/>
      <c r="C4661" s="26"/>
    </row>
    <row r="4662" ht="21" spans="1:3">
      <c r="A4662">
        <v>4661</v>
      </c>
      <c r="B4662" s="27" t="s">
        <v>16892</v>
      </c>
      <c r="C4662" s="26"/>
    </row>
    <row r="4663" ht="15.75" spans="1:3">
      <c r="A4663">
        <v>4662</v>
      </c>
      <c r="B4663" s="26"/>
      <c r="C4663" s="26"/>
    </row>
    <row r="4664" ht="21" spans="1:3">
      <c r="A4664">
        <v>4663</v>
      </c>
      <c r="B4664" s="25" t="s">
        <v>16892</v>
      </c>
      <c r="C4664" s="26"/>
    </row>
    <row r="4665" ht="15.75" spans="1:3">
      <c r="A4665">
        <v>4664</v>
      </c>
      <c r="B4665" s="26"/>
      <c r="C4665" s="26"/>
    </row>
    <row r="4666" ht="15.75" spans="1:3">
      <c r="A4666">
        <v>4665</v>
      </c>
      <c r="B4666" s="26"/>
      <c r="C4666" s="26"/>
    </row>
    <row r="4667" ht="15.75" spans="1:3">
      <c r="A4667">
        <v>4666</v>
      </c>
      <c r="B4667" s="26"/>
      <c r="C4667" s="26"/>
    </row>
    <row r="4668" ht="15.75" spans="1:3">
      <c r="A4668">
        <v>4667</v>
      </c>
      <c r="B4668" s="26"/>
      <c r="C4668" s="26"/>
    </row>
    <row r="4669" ht="15.75" spans="1:3">
      <c r="A4669">
        <v>4668</v>
      </c>
      <c r="B4669" s="26"/>
      <c r="C4669" s="26"/>
    </row>
    <row r="4670" ht="15.75" spans="1:3">
      <c r="A4670">
        <v>4669</v>
      </c>
      <c r="B4670" s="26"/>
      <c r="C4670" s="26"/>
    </row>
    <row r="4671" ht="18.75" spans="1:3">
      <c r="A4671">
        <v>4670</v>
      </c>
      <c r="B4671" s="31" t="str">
        <f>IFERROR(__xludf.DUMMYFUNCTION("""COMPUTED_VALUE"""),"tefera haylu ")</f>
        <v>tefera haylu </v>
      </c>
      <c r="C4671" s="30">
        <v>991189180</v>
      </c>
    </row>
    <row r="4672" ht="15.75" spans="1:3">
      <c r="A4672">
        <v>4671</v>
      </c>
      <c r="B4672" s="26"/>
      <c r="C4672" s="26"/>
    </row>
    <row r="4673" ht="15.75" spans="1:3">
      <c r="A4673">
        <v>4672</v>
      </c>
      <c r="B4673" s="26"/>
      <c r="C4673" s="26"/>
    </row>
    <row r="4674" ht="15.75" spans="1:3">
      <c r="A4674">
        <v>4673</v>
      </c>
      <c r="B4674" s="26"/>
      <c r="C4674" s="26"/>
    </row>
    <row r="4675" ht="15.75" spans="1:3">
      <c r="A4675">
        <v>4674</v>
      </c>
      <c r="B4675" s="26"/>
      <c r="C4675" s="26"/>
    </row>
    <row r="4676" ht="21" spans="1:3">
      <c r="A4676">
        <v>4675</v>
      </c>
      <c r="B4676" s="27" t="s">
        <v>16892</v>
      </c>
      <c r="C4676" s="26"/>
    </row>
    <row r="4677" ht="15.75" spans="1:3">
      <c r="A4677">
        <v>4676</v>
      </c>
      <c r="B4677" s="26"/>
      <c r="C4677" s="26"/>
    </row>
    <row r="4678" ht="15.75" spans="1:3">
      <c r="A4678">
        <v>4677</v>
      </c>
      <c r="B4678" s="26"/>
      <c r="C4678" s="26"/>
    </row>
    <row r="4679" ht="21" spans="1:3">
      <c r="A4679">
        <v>4678</v>
      </c>
      <c r="B4679" s="27" t="s">
        <v>16892</v>
      </c>
      <c r="C4679" s="26"/>
    </row>
    <row r="4680" ht="15.75" spans="1:3">
      <c r="A4680">
        <v>4679</v>
      </c>
      <c r="B4680" s="26"/>
      <c r="C4680" s="26"/>
    </row>
    <row r="4681" ht="18.75" spans="1:3">
      <c r="A4681">
        <v>4680</v>
      </c>
      <c r="B4681" s="34" t="str">
        <f>IFERROR(__xludf.DUMMYFUNCTION("""COMPUTED_VALUE"""),"kalkidan asrat")</f>
        <v>kalkidan asrat</v>
      </c>
      <c r="C4681" s="34">
        <v>991689728</v>
      </c>
    </row>
    <row r="4682" ht="15.75" spans="1:3">
      <c r="A4682">
        <v>4681</v>
      </c>
      <c r="B4682" s="29"/>
      <c r="C4682" s="29"/>
    </row>
    <row r="4683" ht="15.75" spans="1:3">
      <c r="A4683">
        <v>4682</v>
      </c>
      <c r="B4683" s="26"/>
      <c r="C4683" s="26"/>
    </row>
    <row r="4684" ht="15.75" spans="1:3">
      <c r="A4684">
        <v>4683</v>
      </c>
      <c r="B4684" s="26"/>
      <c r="C4684" s="26"/>
    </row>
    <row r="4685" ht="15.75" spans="1:3">
      <c r="A4685">
        <v>4684</v>
      </c>
      <c r="B4685" s="26"/>
      <c r="C4685" s="26"/>
    </row>
    <row r="4686" ht="18.75" spans="1:3">
      <c r="A4686">
        <v>4685</v>
      </c>
      <c r="B4686" s="31" t="str">
        <f>IFERROR(__xludf.DUMMYFUNCTION("""COMPUTED_VALUE"""),"Shibeshi Zerihun")</f>
        <v>Shibeshi Zerihun</v>
      </c>
      <c r="C4686" s="30"/>
    </row>
    <row r="4687" ht="21" spans="1:3">
      <c r="A4687">
        <v>4686</v>
      </c>
      <c r="B4687" s="27" t="s">
        <v>16892</v>
      </c>
      <c r="C4687" s="26"/>
    </row>
    <row r="4688" ht="15.75" spans="1:3">
      <c r="A4688">
        <v>4687</v>
      </c>
      <c r="B4688" s="26"/>
      <c r="C4688" s="26"/>
    </row>
    <row r="4689" ht="15.75" spans="1:3">
      <c r="A4689">
        <v>4688</v>
      </c>
      <c r="B4689" s="26"/>
      <c r="C4689" s="26"/>
    </row>
    <row r="4690" ht="15.75" spans="1:3">
      <c r="A4690">
        <v>4689</v>
      </c>
      <c r="B4690" s="26"/>
      <c r="C4690" s="26"/>
    </row>
    <row r="4691" ht="15.75" spans="1:3">
      <c r="A4691">
        <v>4690</v>
      </c>
      <c r="B4691" s="26"/>
      <c r="C4691" s="26"/>
    </row>
    <row r="4692" ht="15.75" spans="1:3">
      <c r="A4692">
        <v>4691</v>
      </c>
      <c r="B4692" s="26"/>
      <c r="C4692" s="26"/>
    </row>
    <row r="4693" ht="15.75" spans="1:3">
      <c r="A4693">
        <v>4692</v>
      </c>
      <c r="B4693" s="26"/>
      <c r="C4693" s="26"/>
    </row>
    <row r="4694" ht="15.75" spans="1:3">
      <c r="A4694">
        <v>4693</v>
      </c>
      <c r="B4694" s="26"/>
      <c r="C4694" s="26"/>
    </row>
    <row r="4695" ht="15.75" spans="1:3">
      <c r="A4695">
        <v>4694</v>
      </c>
      <c r="B4695" s="26"/>
      <c r="C4695" s="26"/>
    </row>
    <row r="4696" ht="21" spans="1:3">
      <c r="A4696">
        <v>4695</v>
      </c>
      <c r="B4696" s="25" t="s">
        <v>16892</v>
      </c>
      <c r="C4696" s="26"/>
    </row>
    <row r="4697" ht="21" spans="1:3">
      <c r="A4697">
        <v>4696</v>
      </c>
      <c r="B4697" s="25" t="s">
        <v>16892</v>
      </c>
      <c r="C4697" s="26"/>
    </row>
    <row r="4698" ht="21" spans="1:3">
      <c r="A4698">
        <v>4697</v>
      </c>
      <c r="B4698" s="25" t="s">
        <v>16892</v>
      </c>
      <c r="C4698" s="26"/>
    </row>
    <row r="4699" ht="21" spans="1:3">
      <c r="A4699">
        <v>4698</v>
      </c>
      <c r="B4699" s="27" t="s">
        <v>16892</v>
      </c>
      <c r="C4699" s="26"/>
    </row>
    <row r="4700" ht="21" spans="1:3">
      <c r="A4700">
        <v>4699</v>
      </c>
      <c r="B4700" s="27" t="s">
        <v>16892</v>
      </c>
      <c r="C4700" s="26"/>
    </row>
    <row r="4701" ht="21" spans="1:3">
      <c r="A4701">
        <v>4700</v>
      </c>
      <c r="B4701" s="27" t="s">
        <v>16892</v>
      </c>
      <c r="C4701" s="26"/>
    </row>
    <row r="4702" ht="21" spans="1:3">
      <c r="A4702">
        <v>4701</v>
      </c>
      <c r="B4702" s="27" t="s">
        <v>16892</v>
      </c>
      <c r="C4702" s="26"/>
    </row>
    <row r="4703" ht="21" spans="1:3">
      <c r="A4703">
        <v>4702</v>
      </c>
      <c r="B4703" s="27" t="s">
        <v>16892</v>
      </c>
      <c r="C4703" s="26"/>
    </row>
    <row r="4704" ht="21" spans="1:3">
      <c r="A4704">
        <v>4703</v>
      </c>
      <c r="B4704" s="25" t="s">
        <v>16892</v>
      </c>
      <c r="C4704" s="26"/>
    </row>
    <row r="4705" ht="21" spans="1:3">
      <c r="A4705">
        <v>4704</v>
      </c>
      <c r="B4705" s="27" t="s">
        <v>16892</v>
      </c>
      <c r="C4705" s="26"/>
    </row>
    <row r="4706" ht="21" spans="1:3">
      <c r="A4706">
        <v>4705</v>
      </c>
      <c r="B4706" s="27" t="s">
        <v>16892</v>
      </c>
      <c r="C4706" s="26"/>
    </row>
    <row r="4707" ht="21" spans="1:3">
      <c r="A4707">
        <v>4706</v>
      </c>
      <c r="B4707" s="25" t="s">
        <v>16892</v>
      </c>
      <c r="C4707" s="26"/>
    </row>
    <row r="4708" ht="21" spans="1:3">
      <c r="A4708">
        <v>4707</v>
      </c>
      <c r="B4708" s="25" t="s">
        <v>16892</v>
      </c>
      <c r="C4708" s="26"/>
    </row>
    <row r="4709" ht="21" spans="1:3">
      <c r="A4709">
        <v>4708</v>
      </c>
      <c r="B4709" s="27" t="s">
        <v>16892</v>
      </c>
      <c r="C4709" s="26"/>
    </row>
    <row r="4710" ht="21" spans="1:3">
      <c r="A4710">
        <v>4709</v>
      </c>
      <c r="B4710" s="27" t="s">
        <v>16892</v>
      </c>
      <c r="C4710" s="26"/>
    </row>
    <row r="4711" ht="21" spans="1:3">
      <c r="A4711">
        <v>4710</v>
      </c>
      <c r="B4711" s="25" t="s">
        <v>16892</v>
      </c>
      <c r="C4711" s="26"/>
    </row>
    <row r="4712" ht="21" spans="1:3">
      <c r="A4712">
        <v>4711</v>
      </c>
      <c r="B4712" s="27" t="s">
        <v>16902</v>
      </c>
      <c r="C4712" s="26"/>
    </row>
    <row r="4713" ht="21" spans="1:3">
      <c r="A4713">
        <v>4712</v>
      </c>
      <c r="B4713" s="25" t="s">
        <v>16892</v>
      </c>
      <c r="C4713" s="26"/>
    </row>
    <row r="4714" ht="21" spans="1:3">
      <c r="A4714">
        <v>4713</v>
      </c>
      <c r="B4714" s="25" t="s">
        <v>16914</v>
      </c>
      <c r="C4714" s="26"/>
    </row>
    <row r="4715" ht="15.75" spans="1:3">
      <c r="A4715">
        <v>4714</v>
      </c>
      <c r="B4715" s="26"/>
      <c r="C4715" s="26"/>
    </row>
    <row r="4716" ht="21" spans="1:3">
      <c r="A4716">
        <v>4715</v>
      </c>
      <c r="B4716" s="27" t="s">
        <v>16892</v>
      </c>
      <c r="C4716" s="26"/>
    </row>
    <row r="4717" ht="21" spans="1:3">
      <c r="A4717">
        <v>4716</v>
      </c>
      <c r="B4717" s="27" t="s">
        <v>16892</v>
      </c>
      <c r="C4717" s="26"/>
    </row>
    <row r="4718" ht="21" spans="1:3">
      <c r="A4718">
        <v>4717</v>
      </c>
      <c r="B4718" s="27" t="s">
        <v>16892</v>
      </c>
      <c r="C4718" s="26"/>
    </row>
    <row r="4719" ht="21" spans="1:3">
      <c r="A4719">
        <v>4718</v>
      </c>
      <c r="B4719" s="25" t="s">
        <v>16892</v>
      </c>
      <c r="C4719" s="26"/>
    </row>
    <row r="4720" ht="15.75" spans="1:3">
      <c r="A4720">
        <v>4719</v>
      </c>
      <c r="B4720" s="26"/>
      <c r="C4720" s="26"/>
    </row>
    <row r="4721" ht="21" spans="1:3">
      <c r="A4721">
        <v>4720</v>
      </c>
      <c r="B4721" s="25" t="s">
        <v>16892</v>
      </c>
      <c r="C4721" s="26"/>
    </row>
    <row r="4722" ht="21" spans="1:3">
      <c r="A4722">
        <v>4721</v>
      </c>
      <c r="B4722" s="27" t="s">
        <v>16892</v>
      </c>
      <c r="C4722" s="26"/>
    </row>
    <row r="4723" ht="21" spans="1:3">
      <c r="A4723">
        <v>4722</v>
      </c>
      <c r="B4723" s="25" t="s">
        <v>16902</v>
      </c>
      <c r="C4723" s="26"/>
    </row>
    <row r="4724" ht="21" spans="1:3">
      <c r="A4724">
        <v>4723</v>
      </c>
      <c r="B4724" s="25" t="s">
        <v>16892</v>
      </c>
      <c r="C4724" s="26"/>
    </row>
    <row r="4725" ht="21" spans="1:3">
      <c r="A4725">
        <v>4724</v>
      </c>
      <c r="B4725" s="27" t="s">
        <v>16892</v>
      </c>
      <c r="C4725" s="26"/>
    </row>
    <row r="4726" ht="21" spans="1:3">
      <c r="A4726">
        <v>4725</v>
      </c>
      <c r="B4726" s="25" t="s">
        <v>16892</v>
      </c>
      <c r="C4726" s="26"/>
    </row>
    <row r="4727" ht="21" spans="1:3">
      <c r="A4727">
        <v>4726</v>
      </c>
      <c r="B4727" s="27" t="s">
        <v>16892</v>
      </c>
      <c r="C4727" s="26"/>
    </row>
    <row r="4728" ht="21" spans="1:3">
      <c r="A4728">
        <v>4727</v>
      </c>
      <c r="B4728" s="25" t="s">
        <v>16892</v>
      </c>
      <c r="C4728" s="26"/>
    </row>
    <row r="4729" ht="15.75" spans="1:3">
      <c r="A4729">
        <v>4728</v>
      </c>
      <c r="B4729" s="26"/>
      <c r="C4729" s="26"/>
    </row>
    <row r="4730" ht="21" spans="1:3">
      <c r="A4730">
        <v>4729</v>
      </c>
      <c r="B4730" s="25" t="s">
        <v>16892</v>
      </c>
      <c r="C4730" s="26"/>
    </row>
    <row r="4731" ht="21" spans="1:3">
      <c r="A4731">
        <v>4730</v>
      </c>
      <c r="B4731" s="25" t="s">
        <v>16892</v>
      </c>
      <c r="C4731" s="26"/>
    </row>
    <row r="4732" ht="15.75" spans="1:3">
      <c r="A4732">
        <v>4731</v>
      </c>
      <c r="B4732" s="26"/>
      <c r="C4732" s="26"/>
    </row>
    <row r="4733" ht="21" spans="1:3">
      <c r="A4733">
        <v>4732</v>
      </c>
      <c r="B4733" s="27" t="s">
        <v>16892</v>
      </c>
      <c r="C4733" s="26"/>
    </row>
    <row r="4734" ht="21" spans="1:3">
      <c r="A4734">
        <v>4733</v>
      </c>
      <c r="B4734" s="27" t="s">
        <v>16892</v>
      </c>
      <c r="C4734" s="26"/>
    </row>
    <row r="4735" ht="15.75" spans="1:3">
      <c r="A4735">
        <v>4734</v>
      </c>
      <c r="B4735" s="26"/>
      <c r="C4735" s="26"/>
    </row>
    <row r="4736" ht="21" spans="1:3">
      <c r="A4736">
        <v>4735</v>
      </c>
      <c r="B4736" s="25" t="s">
        <v>16892</v>
      </c>
      <c r="C4736" s="26"/>
    </row>
    <row r="4737" ht="21" spans="1:3">
      <c r="A4737">
        <v>4736</v>
      </c>
      <c r="B4737" s="27" t="s">
        <v>16892</v>
      </c>
      <c r="C4737" s="26"/>
    </row>
    <row r="4738" ht="21" spans="1:3">
      <c r="A4738">
        <v>4737</v>
      </c>
      <c r="B4738" s="27" t="s">
        <v>16892</v>
      </c>
      <c r="C4738" s="26"/>
    </row>
    <row r="4739" ht="15.75" spans="1:3">
      <c r="A4739">
        <v>4738</v>
      </c>
      <c r="B4739" s="26"/>
      <c r="C4739" s="26"/>
    </row>
    <row r="4740" ht="21" spans="1:3">
      <c r="A4740">
        <v>4739</v>
      </c>
      <c r="B4740" s="25" t="s">
        <v>16892</v>
      </c>
      <c r="C4740" s="26"/>
    </row>
    <row r="4741" ht="15.75" spans="1:3">
      <c r="A4741">
        <v>4740</v>
      </c>
      <c r="B4741" s="29"/>
      <c r="C4741" s="29"/>
    </row>
    <row r="4742" ht="15.75" spans="1:3">
      <c r="A4742">
        <v>4741</v>
      </c>
      <c r="B4742" s="29"/>
      <c r="C4742" s="29"/>
    </row>
    <row r="4743" ht="15.75" spans="1:3">
      <c r="A4743">
        <v>4742</v>
      </c>
      <c r="B4743" s="26"/>
      <c r="C4743" s="26"/>
    </row>
    <row r="4744" ht="21" spans="1:3">
      <c r="A4744">
        <v>4743</v>
      </c>
      <c r="B4744" s="25" t="s">
        <v>16892</v>
      </c>
      <c r="C4744" s="26"/>
    </row>
    <row r="4745" ht="21" spans="1:3">
      <c r="A4745">
        <v>4744</v>
      </c>
      <c r="B4745" s="27" t="s">
        <v>16892</v>
      </c>
      <c r="C4745" s="26"/>
    </row>
    <row r="4746" ht="21" spans="1:3">
      <c r="A4746">
        <v>4745</v>
      </c>
      <c r="B4746" s="27" t="s">
        <v>16892</v>
      </c>
      <c r="C4746" s="26"/>
    </row>
    <row r="4747" ht="15.75" spans="1:3">
      <c r="A4747">
        <v>4746</v>
      </c>
      <c r="B4747" s="26"/>
      <c r="C4747" s="26"/>
    </row>
    <row r="4748" ht="21" spans="1:3">
      <c r="A4748">
        <v>4747</v>
      </c>
      <c r="B4748" s="27" t="s">
        <v>16892</v>
      </c>
      <c r="C4748" s="26"/>
    </row>
    <row r="4749" ht="18.75" spans="1:3">
      <c r="A4749">
        <v>4748</v>
      </c>
      <c r="B4749" s="31" t="str">
        <f>IFERROR(__xludf.DUMMYFUNCTION("""COMPUTED_VALUE"""),"አስፓየርግሪን ላንድ ኢትዮጵያ(ወንድስን)")</f>
        <v>አስፓየርግሪን ላንድ ኢትዮጵያ(ወንድስን)</v>
      </c>
      <c r="C4749" s="30">
        <v>937858589</v>
      </c>
    </row>
    <row r="4750" ht="15.75" spans="1:3">
      <c r="A4750">
        <v>4749</v>
      </c>
      <c r="B4750" s="26"/>
      <c r="C4750" s="26"/>
    </row>
    <row r="4751" ht="21" spans="1:3">
      <c r="A4751">
        <v>4750</v>
      </c>
      <c r="B4751" s="25" t="s">
        <v>16892</v>
      </c>
      <c r="C4751" s="26"/>
    </row>
    <row r="4752" ht="15.75" spans="1:3">
      <c r="A4752">
        <v>4751</v>
      </c>
      <c r="B4752" s="26"/>
      <c r="C4752" s="26"/>
    </row>
    <row r="4753" ht="21" spans="1:3">
      <c r="A4753">
        <v>4752</v>
      </c>
      <c r="B4753" s="25" t="s">
        <v>16892</v>
      </c>
      <c r="C4753" s="26"/>
    </row>
    <row r="4754" spans="1:3">
      <c r="A4754">
        <v>4753</v>
      </c>
      <c r="B4754" s="45" t="s">
        <v>16943</v>
      </c>
      <c r="C4754" s="36" t="s">
        <v>16944</v>
      </c>
    </row>
    <row r="4755" ht="21" spans="1:3">
      <c r="A4755">
        <v>4754</v>
      </c>
      <c r="B4755" s="27" t="s">
        <v>16892</v>
      </c>
      <c r="C4755" s="26"/>
    </row>
    <row r="4756" ht="21" spans="1:3">
      <c r="A4756">
        <v>4755</v>
      </c>
      <c r="B4756" s="27" t="s">
        <v>16892</v>
      </c>
      <c r="C4756" s="26"/>
    </row>
    <row r="4757" ht="21" spans="1:3">
      <c r="A4757">
        <v>4756</v>
      </c>
      <c r="B4757" s="25" t="s">
        <v>16892</v>
      </c>
      <c r="C4757" s="26"/>
    </row>
    <row r="4758" ht="21" spans="1:3">
      <c r="A4758">
        <v>4757</v>
      </c>
      <c r="B4758" s="25" t="s">
        <v>16892</v>
      </c>
      <c r="C4758" s="26"/>
    </row>
    <row r="4759" ht="15.75" spans="1:3">
      <c r="A4759">
        <v>4758</v>
      </c>
      <c r="B4759" s="26"/>
      <c r="C4759" s="26"/>
    </row>
    <row r="4760" ht="15.75" spans="1:3">
      <c r="A4760">
        <v>4759</v>
      </c>
      <c r="B4760" s="26"/>
      <c r="C4760" s="26"/>
    </row>
    <row r="4761" ht="21" spans="1:3">
      <c r="A4761">
        <v>4760</v>
      </c>
      <c r="B4761" s="25" t="s">
        <v>16892</v>
      </c>
      <c r="C4761" s="26"/>
    </row>
    <row r="4762" ht="21" spans="1:3">
      <c r="A4762">
        <v>4761</v>
      </c>
      <c r="B4762" s="27" t="s">
        <v>16892</v>
      </c>
      <c r="C4762" s="26"/>
    </row>
    <row r="4763" ht="15.75" spans="1:3">
      <c r="A4763">
        <v>4762</v>
      </c>
      <c r="B4763" s="26"/>
      <c r="C4763" s="26"/>
    </row>
    <row r="4764" ht="21" spans="1:3">
      <c r="A4764">
        <v>4763</v>
      </c>
      <c r="B4764" s="25" t="s">
        <v>16892</v>
      </c>
      <c r="C4764" s="26"/>
    </row>
    <row r="4765" ht="21" spans="1:3">
      <c r="A4765">
        <v>4764</v>
      </c>
      <c r="B4765" s="25" t="s">
        <v>16892</v>
      </c>
      <c r="C4765" s="26"/>
    </row>
    <row r="4766" ht="21" spans="1:3">
      <c r="A4766">
        <v>4765</v>
      </c>
      <c r="B4766" s="25" t="s">
        <v>16892</v>
      </c>
      <c r="C4766" s="26"/>
    </row>
    <row r="4767" ht="21" spans="1:3">
      <c r="A4767">
        <v>4766</v>
      </c>
      <c r="B4767" s="25" t="s">
        <v>16892</v>
      </c>
      <c r="C4767" s="26"/>
    </row>
    <row r="4768" ht="21" spans="1:3">
      <c r="A4768">
        <v>4767</v>
      </c>
      <c r="B4768" s="27" t="s">
        <v>16892</v>
      </c>
      <c r="C4768" s="26"/>
    </row>
    <row r="4769" ht="21" spans="1:3">
      <c r="A4769">
        <v>4768</v>
      </c>
      <c r="B4769" s="27" t="s">
        <v>16892</v>
      </c>
      <c r="C4769" s="26"/>
    </row>
    <row r="4770" ht="15.75" spans="1:3">
      <c r="A4770">
        <v>4769</v>
      </c>
      <c r="B4770" s="26"/>
      <c r="C4770" s="26"/>
    </row>
    <row r="4771" ht="21" spans="1:3">
      <c r="A4771">
        <v>4770</v>
      </c>
      <c r="B4771" s="27" t="s">
        <v>16892</v>
      </c>
      <c r="C4771" s="26"/>
    </row>
    <row r="4772" ht="21" spans="1:3">
      <c r="A4772">
        <v>4771</v>
      </c>
      <c r="B4772" s="25" t="s">
        <v>16892</v>
      </c>
      <c r="C4772" s="26"/>
    </row>
    <row r="4773" ht="21" spans="1:3">
      <c r="A4773">
        <v>4772</v>
      </c>
      <c r="B4773" s="25" t="s">
        <v>16892</v>
      </c>
      <c r="C4773" s="26"/>
    </row>
    <row r="4774" ht="15.75" spans="1:3">
      <c r="A4774">
        <v>4773</v>
      </c>
      <c r="B4774" s="26"/>
      <c r="C4774" s="26"/>
    </row>
    <row r="4775" ht="21" spans="1:3">
      <c r="A4775">
        <v>4774</v>
      </c>
      <c r="B4775" s="25" t="s">
        <v>16892</v>
      </c>
      <c r="C4775" s="26"/>
    </row>
    <row r="4776" ht="21" spans="1:3">
      <c r="A4776">
        <v>4775</v>
      </c>
      <c r="B4776" s="25" t="s">
        <v>16892</v>
      </c>
      <c r="C4776" s="26"/>
    </row>
    <row r="4777" ht="21" spans="1:3">
      <c r="A4777">
        <v>4776</v>
      </c>
      <c r="B4777" s="25" t="s">
        <v>16892</v>
      </c>
      <c r="C4777" s="26"/>
    </row>
    <row r="4778" ht="21" spans="1:3">
      <c r="A4778">
        <v>4777</v>
      </c>
      <c r="B4778" s="25" t="s">
        <v>16892</v>
      </c>
      <c r="C4778" s="26"/>
    </row>
    <row r="4779" ht="15.75" spans="1:3">
      <c r="A4779">
        <v>4778</v>
      </c>
      <c r="B4779" s="26"/>
      <c r="C4779" s="26"/>
    </row>
    <row r="4780" ht="21" spans="1:3">
      <c r="A4780">
        <v>4779</v>
      </c>
      <c r="B4780" s="25" t="s">
        <v>16892</v>
      </c>
      <c r="C4780" s="26"/>
    </row>
    <row r="4781" ht="15.75" spans="1:3">
      <c r="A4781">
        <v>4780</v>
      </c>
      <c r="B4781" s="26"/>
      <c r="C4781" s="26"/>
    </row>
    <row r="4782" ht="21" spans="1:3">
      <c r="A4782">
        <v>4781</v>
      </c>
      <c r="B4782" s="27" t="s">
        <v>16892</v>
      </c>
      <c r="C4782" s="26"/>
    </row>
    <row r="4783" ht="21" spans="1:3">
      <c r="A4783">
        <v>4782</v>
      </c>
      <c r="B4783" s="25" t="s">
        <v>16892</v>
      </c>
      <c r="C4783" s="26"/>
    </row>
    <row r="4784" ht="15.75" spans="1:3">
      <c r="A4784">
        <v>4783</v>
      </c>
      <c r="B4784" s="26"/>
      <c r="C4784" s="26"/>
    </row>
    <row r="4785" ht="21" spans="1:3">
      <c r="A4785">
        <v>4784</v>
      </c>
      <c r="B4785" s="27" t="s">
        <v>16914</v>
      </c>
      <c r="C4785" s="26"/>
    </row>
    <row r="4786" ht="15.75" spans="1:3">
      <c r="A4786">
        <v>4785</v>
      </c>
      <c r="B4786" s="26"/>
      <c r="C4786" s="26"/>
    </row>
    <row r="4787" ht="21" spans="1:3">
      <c r="A4787">
        <v>4786</v>
      </c>
      <c r="B4787" s="27" t="s">
        <v>16892</v>
      </c>
      <c r="C4787" s="26"/>
    </row>
    <row r="4788" ht="15.75" spans="1:3">
      <c r="A4788">
        <v>4787</v>
      </c>
      <c r="B4788" s="26"/>
      <c r="C4788" s="26"/>
    </row>
    <row r="4789" ht="21" spans="1:3">
      <c r="A4789">
        <v>4788</v>
      </c>
      <c r="B4789" s="25" t="s">
        <v>16892</v>
      </c>
      <c r="C4789" s="26"/>
    </row>
    <row r="4790" ht="18.75" spans="1:3">
      <c r="A4790">
        <v>4789</v>
      </c>
      <c r="B4790" s="31" t="str">
        <f>IFERROR(__xludf.DUMMYFUNCTION("""COMPUTED_VALUE"""),"mesret biru")</f>
        <v>mesret biru</v>
      </c>
      <c r="C4790" s="30">
        <v>939485829</v>
      </c>
    </row>
    <row r="4791" ht="21" spans="1:3">
      <c r="A4791">
        <v>4790</v>
      </c>
      <c r="B4791" s="27" t="s">
        <v>16892</v>
      </c>
      <c r="C4791" s="26"/>
    </row>
    <row r="4792" ht="21" spans="1:3">
      <c r="A4792">
        <v>4791</v>
      </c>
      <c r="B4792" s="25" t="s">
        <v>16892</v>
      </c>
      <c r="C4792" s="26"/>
    </row>
    <row r="4793" ht="21" spans="1:3">
      <c r="A4793">
        <v>4792</v>
      </c>
      <c r="B4793" s="25" t="s">
        <v>16892</v>
      </c>
      <c r="C4793" s="26"/>
    </row>
    <row r="4794" ht="21" spans="1:3">
      <c r="A4794">
        <v>4793</v>
      </c>
      <c r="B4794" s="25" t="s">
        <v>16892</v>
      </c>
      <c r="C4794" s="26"/>
    </row>
    <row r="4795" ht="21" spans="1:3">
      <c r="A4795">
        <v>4794</v>
      </c>
      <c r="B4795" s="25" t="s">
        <v>16892</v>
      </c>
      <c r="C4795" s="26"/>
    </row>
    <row r="4796" ht="21" spans="1:3">
      <c r="A4796">
        <v>4795</v>
      </c>
      <c r="B4796" s="25" t="s">
        <v>16892</v>
      </c>
      <c r="C4796" s="26"/>
    </row>
    <row r="4797" ht="21" spans="1:3">
      <c r="A4797">
        <v>4796</v>
      </c>
      <c r="B4797" s="27" t="s">
        <v>16892</v>
      </c>
      <c r="C4797" s="26"/>
    </row>
    <row r="4798" ht="21" spans="1:3">
      <c r="A4798">
        <v>4797</v>
      </c>
      <c r="B4798" s="25" t="s">
        <v>16892</v>
      </c>
      <c r="C4798" s="26"/>
    </row>
    <row r="4799" ht="15.75" spans="1:3">
      <c r="A4799">
        <v>4798</v>
      </c>
      <c r="B4799" s="26"/>
      <c r="C4799" s="26"/>
    </row>
    <row r="4800" ht="15.75" spans="1:3">
      <c r="A4800">
        <v>4799</v>
      </c>
      <c r="B4800" s="26"/>
      <c r="C4800" s="26"/>
    </row>
    <row r="4801" ht="21" spans="1:3">
      <c r="A4801">
        <v>4800</v>
      </c>
      <c r="B4801" s="25" t="s">
        <v>16892</v>
      </c>
      <c r="C4801" s="26"/>
    </row>
    <row r="4802" ht="21" spans="1:3">
      <c r="A4802">
        <v>4801</v>
      </c>
      <c r="B4802" s="25" t="s">
        <v>16912</v>
      </c>
      <c r="C4802" s="26"/>
    </row>
    <row r="4803" ht="15.75" spans="1:3">
      <c r="A4803">
        <v>4802</v>
      </c>
      <c r="B4803" s="26"/>
      <c r="C4803" s="26"/>
    </row>
    <row r="4804" ht="15.75" spans="1:3">
      <c r="A4804">
        <v>4803</v>
      </c>
      <c r="B4804" s="26"/>
      <c r="C4804" s="26"/>
    </row>
    <row r="4805" ht="21" spans="1:3">
      <c r="A4805">
        <v>4804</v>
      </c>
      <c r="B4805" s="25" t="s">
        <v>16892</v>
      </c>
      <c r="C4805" s="26"/>
    </row>
    <row r="4806" ht="15.75" spans="1:3">
      <c r="A4806">
        <v>4805</v>
      </c>
      <c r="B4806" s="26"/>
      <c r="C4806" s="26"/>
    </row>
    <row r="4807" ht="21" spans="1:3">
      <c r="A4807">
        <v>4806</v>
      </c>
      <c r="B4807" s="27" t="s">
        <v>16892</v>
      </c>
      <c r="C4807" s="26"/>
    </row>
    <row r="4808" ht="21" spans="1:3">
      <c r="A4808">
        <v>4807</v>
      </c>
      <c r="B4808" s="27" t="s">
        <v>16892</v>
      </c>
      <c r="C4808" s="26"/>
    </row>
    <row r="4809" ht="21" spans="1:3">
      <c r="A4809">
        <v>4808</v>
      </c>
      <c r="B4809" s="27" t="s">
        <v>16892</v>
      </c>
      <c r="C4809" s="26"/>
    </row>
    <row r="4810" ht="15.75" spans="1:3">
      <c r="A4810">
        <v>4809</v>
      </c>
      <c r="B4810" s="26"/>
      <c r="C4810" s="26"/>
    </row>
    <row r="4811" ht="21" spans="1:3">
      <c r="A4811">
        <v>4810</v>
      </c>
      <c r="B4811" s="27" t="s">
        <v>16892</v>
      </c>
      <c r="C4811" s="26"/>
    </row>
    <row r="4812" ht="21" spans="1:3">
      <c r="A4812">
        <v>4811</v>
      </c>
      <c r="B4812" s="25" t="s">
        <v>16892</v>
      </c>
      <c r="C4812" s="26"/>
    </row>
    <row r="4813" ht="15.75" spans="1:3">
      <c r="A4813">
        <v>4812</v>
      </c>
      <c r="B4813" s="26"/>
      <c r="C4813" s="26"/>
    </row>
    <row r="4814" ht="15.75" spans="1:3">
      <c r="A4814">
        <v>4813</v>
      </c>
      <c r="B4814" s="26"/>
      <c r="C4814" s="26"/>
    </row>
    <row r="4815" ht="15.75" spans="1:3">
      <c r="A4815">
        <v>4814</v>
      </c>
      <c r="B4815" s="26"/>
      <c r="C4815" s="26"/>
    </row>
    <row r="4816" ht="21" spans="1:3">
      <c r="A4816">
        <v>4815</v>
      </c>
      <c r="B4816" s="25" t="s">
        <v>16892</v>
      </c>
      <c r="C4816" s="26"/>
    </row>
    <row r="4817" ht="21" spans="1:3">
      <c r="A4817">
        <v>4816</v>
      </c>
      <c r="B4817" s="27" t="s">
        <v>16892</v>
      </c>
      <c r="C4817" s="26"/>
    </row>
    <row r="4818" ht="15.75" spans="1:3">
      <c r="A4818">
        <v>4817</v>
      </c>
      <c r="B4818" s="26"/>
      <c r="C4818" s="26"/>
    </row>
    <row r="4819" ht="21" spans="1:3">
      <c r="A4819">
        <v>4818</v>
      </c>
      <c r="B4819" s="25" t="s">
        <v>16892</v>
      </c>
      <c r="C4819" s="26"/>
    </row>
    <row r="4820" ht="15.75" spans="1:3">
      <c r="A4820">
        <v>4819</v>
      </c>
      <c r="B4820" s="26"/>
      <c r="C4820" s="26"/>
    </row>
    <row r="4821" ht="21" spans="1:3">
      <c r="A4821">
        <v>4820</v>
      </c>
      <c r="B4821" s="25" t="s">
        <v>16892</v>
      </c>
      <c r="C4821" s="26"/>
    </row>
    <row r="4822" ht="15.75" spans="1:3">
      <c r="A4822">
        <v>4821</v>
      </c>
      <c r="B4822" s="26"/>
      <c r="C4822" s="26"/>
    </row>
    <row r="4823" ht="21" spans="1:3">
      <c r="A4823">
        <v>4822</v>
      </c>
      <c r="B4823" s="25" t="s">
        <v>16892</v>
      </c>
      <c r="C4823" s="26"/>
    </row>
    <row r="4824" ht="21" spans="1:3">
      <c r="A4824">
        <v>4823</v>
      </c>
      <c r="B4824" s="25" t="s">
        <v>16892</v>
      </c>
      <c r="C4824" s="26"/>
    </row>
    <row r="4825" ht="15.75" spans="1:3">
      <c r="A4825">
        <v>4824</v>
      </c>
      <c r="B4825" s="26"/>
      <c r="C4825" s="26"/>
    </row>
    <row r="4826" ht="15.75" spans="1:3">
      <c r="A4826">
        <v>4825</v>
      </c>
      <c r="B4826" s="26"/>
      <c r="C4826" s="26"/>
    </row>
    <row r="4827" ht="15.75" spans="1:3">
      <c r="A4827">
        <v>4826</v>
      </c>
      <c r="B4827" s="26"/>
      <c r="C4827" s="26"/>
    </row>
    <row r="4828" ht="21" spans="1:3">
      <c r="A4828">
        <v>4827</v>
      </c>
      <c r="B4828" s="27" t="s">
        <v>16892</v>
      </c>
      <c r="C4828" s="26"/>
    </row>
    <row r="4829" ht="21" spans="1:3">
      <c r="A4829">
        <v>4828</v>
      </c>
      <c r="B4829" s="27" t="s">
        <v>16892</v>
      </c>
      <c r="C4829" s="26"/>
    </row>
    <row r="4830" ht="21" spans="1:3">
      <c r="A4830">
        <v>4829</v>
      </c>
      <c r="B4830" s="27" t="s">
        <v>16892</v>
      </c>
      <c r="C4830" s="26"/>
    </row>
    <row r="4831" ht="21" spans="1:3">
      <c r="A4831">
        <v>4830</v>
      </c>
      <c r="B4831" s="27" t="s">
        <v>16892</v>
      </c>
      <c r="C4831" s="26"/>
    </row>
    <row r="4832" ht="21" spans="1:3">
      <c r="A4832">
        <v>4831</v>
      </c>
      <c r="B4832" s="25" t="s">
        <v>16892</v>
      </c>
      <c r="C4832" s="26"/>
    </row>
    <row r="4833" ht="21" spans="1:3">
      <c r="A4833">
        <v>4832</v>
      </c>
      <c r="B4833" s="27" t="s">
        <v>16892</v>
      </c>
      <c r="C4833" s="26"/>
    </row>
    <row r="4834" ht="21" spans="1:3">
      <c r="A4834">
        <v>4833</v>
      </c>
      <c r="B4834" s="27" t="s">
        <v>16892</v>
      </c>
      <c r="C4834" s="26"/>
    </row>
    <row r="4835" ht="21" spans="1:3">
      <c r="A4835">
        <v>4834</v>
      </c>
      <c r="B4835" s="27" t="s">
        <v>16892</v>
      </c>
      <c r="C4835" s="26"/>
    </row>
    <row r="4836" ht="15.75" spans="1:3">
      <c r="A4836">
        <v>4835</v>
      </c>
      <c r="B4836" s="26"/>
      <c r="C4836" s="26"/>
    </row>
    <row r="4837" ht="15.75" spans="1:3">
      <c r="A4837">
        <v>4836</v>
      </c>
      <c r="B4837" s="26"/>
      <c r="C4837" s="26"/>
    </row>
    <row r="4838" ht="15.75" spans="1:3">
      <c r="A4838">
        <v>4837</v>
      </c>
      <c r="B4838" s="26"/>
      <c r="C4838" s="26"/>
    </row>
    <row r="4839" ht="15.75" spans="1:3">
      <c r="A4839">
        <v>4838</v>
      </c>
      <c r="B4839" s="26"/>
      <c r="C4839" s="26"/>
    </row>
    <row r="4840" ht="21" spans="1:3">
      <c r="A4840">
        <v>4839</v>
      </c>
      <c r="B4840" s="27" t="s">
        <v>16892</v>
      </c>
      <c r="C4840" s="26"/>
    </row>
    <row r="4841" ht="21" spans="1:3">
      <c r="A4841">
        <v>4840</v>
      </c>
      <c r="B4841" s="25" t="s">
        <v>16892</v>
      </c>
      <c r="C4841" s="26"/>
    </row>
    <row r="4842" ht="21" spans="1:3">
      <c r="A4842">
        <v>4841</v>
      </c>
      <c r="B4842" s="27" t="s">
        <v>16892</v>
      </c>
      <c r="C4842" s="26"/>
    </row>
    <row r="4843" ht="21" spans="1:3">
      <c r="A4843">
        <v>4842</v>
      </c>
      <c r="B4843" s="25" t="s">
        <v>16892</v>
      </c>
      <c r="C4843" s="26"/>
    </row>
    <row r="4844" ht="21" spans="1:3">
      <c r="A4844">
        <v>4843</v>
      </c>
      <c r="B4844" s="27" t="s">
        <v>16892</v>
      </c>
      <c r="C4844" s="26"/>
    </row>
    <row r="4845" ht="21" spans="1:3">
      <c r="A4845">
        <v>4844</v>
      </c>
      <c r="B4845" s="27" t="s">
        <v>16892</v>
      </c>
      <c r="C4845" s="26"/>
    </row>
    <row r="4846" ht="15.75" spans="1:3">
      <c r="A4846">
        <v>4845</v>
      </c>
      <c r="B4846" s="26"/>
      <c r="C4846" s="26"/>
    </row>
    <row r="4847" ht="21" spans="1:3">
      <c r="A4847">
        <v>4846</v>
      </c>
      <c r="B4847" s="25" t="s">
        <v>16892</v>
      </c>
      <c r="C4847" s="26"/>
    </row>
    <row r="4848" ht="15.75" spans="1:3">
      <c r="A4848">
        <v>4847</v>
      </c>
      <c r="B4848" s="26"/>
      <c r="C4848" s="26"/>
    </row>
    <row r="4849" ht="15.75" spans="1:3">
      <c r="A4849">
        <v>4848</v>
      </c>
      <c r="B4849" s="26"/>
      <c r="C4849" s="26"/>
    </row>
    <row r="4850" ht="18.75" spans="1:3">
      <c r="A4850">
        <v>4849</v>
      </c>
      <c r="B4850" s="31" t="str">
        <f>IFERROR(__xludf.DUMMYFUNCTION("""COMPUTED_VALUE"""),"Tadele Seyfu")</f>
        <v>Tadele Seyfu</v>
      </c>
      <c r="C4850" s="30">
        <v>947476565</v>
      </c>
    </row>
    <row r="4851" ht="21" spans="1:3">
      <c r="A4851">
        <v>4850</v>
      </c>
      <c r="B4851" s="25" t="s">
        <v>16892</v>
      </c>
      <c r="C4851" s="26"/>
    </row>
    <row r="4852" ht="21" spans="1:3">
      <c r="A4852">
        <v>4851</v>
      </c>
      <c r="B4852" s="25" t="s">
        <v>16892</v>
      </c>
      <c r="C4852" s="26"/>
    </row>
    <row r="4853" ht="21" spans="1:3">
      <c r="A4853">
        <v>4852</v>
      </c>
      <c r="B4853" s="25" t="s">
        <v>16892</v>
      </c>
      <c r="C4853" s="26"/>
    </row>
    <row r="4854" ht="21" spans="1:3">
      <c r="A4854">
        <v>4853</v>
      </c>
      <c r="B4854" s="25" t="s">
        <v>16892</v>
      </c>
      <c r="C4854" s="26"/>
    </row>
    <row r="4855" ht="21" spans="1:3">
      <c r="A4855">
        <v>4854</v>
      </c>
      <c r="B4855" s="27" t="s">
        <v>16892</v>
      </c>
      <c r="C4855" s="26"/>
    </row>
    <row r="4856" ht="21" spans="1:3">
      <c r="A4856">
        <v>4855</v>
      </c>
      <c r="B4856" s="27" t="s">
        <v>16892</v>
      </c>
      <c r="C4856" s="26"/>
    </row>
    <row r="4857" ht="15.75" spans="1:3">
      <c r="A4857">
        <v>4856</v>
      </c>
      <c r="B4857" s="26"/>
      <c r="C4857" s="26"/>
    </row>
    <row r="4858" ht="21" spans="1:3">
      <c r="A4858">
        <v>4857</v>
      </c>
      <c r="B4858" s="27" t="s">
        <v>16902</v>
      </c>
      <c r="C4858" s="26"/>
    </row>
    <row r="4859" ht="21" spans="1:3">
      <c r="A4859">
        <v>4858</v>
      </c>
      <c r="B4859" s="27" t="s">
        <v>16892</v>
      </c>
      <c r="C4859" s="26"/>
    </row>
    <row r="4860" ht="21" spans="1:3">
      <c r="A4860">
        <v>4859</v>
      </c>
      <c r="B4860" s="25" t="s">
        <v>16892</v>
      </c>
      <c r="C4860" s="26"/>
    </row>
    <row r="4861" ht="15.75" spans="1:3">
      <c r="A4861">
        <v>4860</v>
      </c>
      <c r="B4861" s="26"/>
      <c r="C4861" s="26"/>
    </row>
    <row r="4862" ht="18" spans="1:3">
      <c r="A4862">
        <v>4861</v>
      </c>
      <c r="B4862" s="32" t="str">
        <f>IFERROR(__xludf.DUMMYFUNCTION("""COMPUTED_VALUE"""),"አስፓዬር ግራንላንድ ኢትዮጵያ
 (Wondssen Nurbegen)")</f>
        <v>አስፓዬር ግራንላንድ ኢትዮጵያ
 (Wondssen Nurbegen)</v>
      </c>
      <c r="C4862" s="32">
        <v>937858589</v>
      </c>
    </row>
    <row r="4863" ht="21" spans="1:3">
      <c r="A4863">
        <v>4862</v>
      </c>
      <c r="B4863" s="25" t="s">
        <v>16892</v>
      </c>
      <c r="C4863" s="26"/>
    </row>
    <row r="4864" ht="15.75" spans="1:3">
      <c r="A4864">
        <v>4863</v>
      </c>
      <c r="B4864" s="26"/>
      <c r="C4864" s="26"/>
    </row>
    <row r="4865" ht="21" spans="1:3">
      <c r="A4865">
        <v>4864</v>
      </c>
      <c r="B4865" s="27" t="s">
        <v>16892</v>
      </c>
      <c r="C4865" s="26"/>
    </row>
    <row r="4866" ht="21" spans="1:3">
      <c r="A4866">
        <v>4865</v>
      </c>
      <c r="B4866" s="27" t="s">
        <v>16892</v>
      </c>
      <c r="C4866" s="26"/>
    </row>
    <row r="4867" ht="21" spans="1:3">
      <c r="A4867">
        <v>4866</v>
      </c>
      <c r="B4867" s="25" t="s">
        <v>16892</v>
      </c>
      <c r="C4867" s="26"/>
    </row>
    <row r="4868" ht="21" spans="1:3">
      <c r="A4868">
        <v>4867</v>
      </c>
      <c r="B4868" s="25" t="s">
        <v>16892</v>
      </c>
      <c r="C4868" s="26"/>
    </row>
    <row r="4869" spans="1:3">
      <c r="A4869">
        <v>4868</v>
      </c>
      <c r="B4869" s="51" t="s">
        <v>16945</v>
      </c>
      <c r="C4869" s="36" t="s">
        <v>16946</v>
      </c>
    </row>
    <row r="4870" ht="21" spans="1:3">
      <c r="A4870">
        <v>4869</v>
      </c>
      <c r="B4870" s="25" t="s">
        <v>16892</v>
      </c>
      <c r="C4870" s="26"/>
    </row>
    <row r="4871" ht="15.75" spans="1:3">
      <c r="A4871">
        <v>4870</v>
      </c>
      <c r="B4871" s="26"/>
      <c r="C4871" s="26"/>
    </row>
    <row r="4872" ht="21" spans="1:3">
      <c r="A4872">
        <v>4871</v>
      </c>
      <c r="B4872" s="25" t="s">
        <v>16892</v>
      </c>
      <c r="C4872" s="26"/>
    </row>
    <row r="4873" ht="18.75" spans="1:3">
      <c r="A4873">
        <v>4872</v>
      </c>
      <c r="B4873" s="31" t="str">
        <f>IFERROR(__xludf.DUMMYFUNCTION("""COMPUTED_VALUE"""),"weyneshet teshome ")</f>
        <v>weyneshet teshome </v>
      </c>
      <c r="C4873" s="30">
        <v>925361383</v>
      </c>
    </row>
    <row r="4874" ht="21" spans="1:3">
      <c r="A4874">
        <v>4873</v>
      </c>
      <c r="B4874" s="27" t="s">
        <v>16892</v>
      </c>
      <c r="C4874" s="26"/>
    </row>
    <row r="4875" ht="18.75" spans="1:3">
      <c r="A4875">
        <v>4874</v>
      </c>
      <c r="B4875" s="30" t="str">
        <f>IFERROR(__xludf.DUMMYFUNCTION("""COMPUTED_VALUE"""),"aspayer greenland (eliyas ahmed)")</f>
        <v>aspayer greenland (eliyas ahmed)</v>
      </c>
      <c r="C4875" s="30"/>
    </row>
    <row r="4876" ht="15.75" spans="1:3">
      <c r="A4876">
        <v>4875</v>
      </c>
      <c r="B4876" s="26"/>
      <c r="C4876" s="26"/>
    </row>
    <row r="4877" ht="15.75" spans="1:3">
      <c r="A4877">
        <v>4876</v>
      </c>
      <c r="B4877" s="26"/>
      <c r="C4877" s="26"/>
    </row>
    <row r="4878" ht="21" spans="1:3">
      <c r="A4878">
        <v>4877</v>
      </c>
      <c r="B4878" s="25" t="s">
        <v>16892</v>
      </c>
      <c r="C4878" s="26"/>
    </row>
    <row r="4879" ht="15.75" spans="1:3">
      <c r="A4879">
        <v>4878</v>
      </c>
      <c r="B4879" s="26"/>
      <c r="C4879" s="26"/>
    </row>
    <row r="4880" ht="15.75" spans="1:3">
      <c r="A4880">
        <v>4879</v>
      </c>
      <c r="B4880" s="26"/>
      <c r="C4880" s="26"/>
    </row>
    <row r="4881" ht="15.75" spans="1:3">
      <c r="A4881">
        <v>4880</v>
      </c>
      <c r="B4881" s="26"/>
      <c r="C4881" s="26"/>
    </row>
    <row r="4882" ht="15.75" spans="1:3">
      <c r="A4882">
        <v>4881</v>
      </c>
      <c r="B4882" s="26"/>
      <c r="C4882" s="26"/>
    </row>
    <row r="4883" ht="15.75" spans="1:3">
      <c r="A4883">
        <v>4882</v>
      </c>
      <c r="B4883" s="26"/>
      <c r="C4883" s="26"/>
    </row>
    <row r="4884" ht="15.75" spans="1:3">
      <c r="A4884">
        <v>4883</v>
      </c>
      <c r="B4884" s="26"/>
      <c r="C4884" s="26"/>
    </row>
    <row r="4885" ht="15.75" spans="1:3">
      <c r="A4885">
        <v>4884</v>
      </c>
      <c r="B4885" s="26"/>
      <c r="C4885" s="26"/>
    </row>
    <row r="4886" ht="15.75" spans="1:3">
      <c r="A4886">
        <v>4885</v>
      </c>
      <c r="B4886" s="26"/>
      <c r="C4886" s="26"/>
    </row>
    <row r="4887" ht="15.75" spans="1:3">
      <c r="A4887">
        <v>4886</v>
      </c>
      <c r="B4887" s="26"/>
      <c r="C4887" s="26"/>
    </row>
    <row r="4888" ht="21" spans="1:3">
      <c r="A4888">
        <v>4887</v>
      </c>
      <c r="B4888" s="25" t="s">
        <v>16892</v>
      </c>
      <c r="C4888" s="26"/>
    </row>
    <row r="4889" ht="15.75" spans="1:3">
      <c r="A4889">
        <v>4888</v>
      </c>
      <c r="B4889" s="26"/>
      <c r="C4889" s="26"/>
    </row>
    <row r="4890" ht="21" spans="1:3">
      <c r="A4890">
        <v>4889</v>
      </c>
      <c r="B4890" s="25" t="s">
        <v>16892</v>
      </c>
      <c r="C4890" s="26"/>
    </row>
    <row r="4891" ht="21" spans="1:3">
      <c r="A4891">
        <v>4890</v>
      </c>
      <c r="B4891" s="25" t="s">
        <v>16892</v>
      </c>
      <c r="C4891" s="26"/>
    </row>
    <row r="4892" ht="21" spans="1:3">
      <c r="A4892">
        <v>4891</v>
      </c>
      <c r="B4892" s="25" t="s">
        <v>16892</v>
      </c>
      <c r="C4892" s="26"/>
    </row>
    <row r="4893" ht="21" spans="1:3">
      <c r="A4893">
        <v>4892</v>
      </c>
      <c r="B4893" s="27" t="s">
        <v>16892</v>
      </c>
      <c r="C4893" s="26"/>
    </row>
    <row r="4894" ht="15.75" spans="1:3">
      <c r="A4894">
        <v>4893</v>
      </c>
      <c r="B4894" s="26"/>
      <c r="C4894" s="26"/>
    </row>
    <row r="4895" ht="15.75" spans="1:3">
      <c r="A4895">
        <v>4894</v>
      </c>
      <c r="B4895" s="26"/>
      <c r="C4895" s="26"/>
    </row>
    <row r="4896" ht="15.75" spans="1:3">
      <c r="A4896">
        <v>4895</v>
      </c>
      <c r="B4896" s="29"/>
      <c r="C4896" s="29"/>
    </row>
    <row r="4897" ht="15.75" spans="1:3">
      <c r="A4897">
        <v>4896</v>
      </c>
      <c r="B4897" s="29"/>
      <c r="C4897" s="29"/>
    </row>
    <row r="4898" ht="15.75" spans="1:3">
      <c r="A4898">
        <v>4897</v>
      </c>
      <c r="B4898" s="26"/>
      <c r="C4898" s="26"/>
    </row>
    <row r="4899" ht="15.75" spans="1:3">
      <c r="A4899">
        <v>4898</v>
      </c>
      <c r="B4899" s="26"/>
      <c r="C4899" s="26"/>
    </row>
    <row r="4900" ht="15.75" spans="1:3">
      <c r="A4900">
        <v>4899</v>
      </c>
      <c r="B4900" s="26"/>
      <c r="C4900" s="26"/>
    </row>
    <row r="4901" ht="15.75" spans="1:3">
      <c r="A4901">
        <v>4900</v>
      </c>
      <c r="B4901" s="26"/>
      <c r="C4901" s="26"/>
    </row>
    <row r="4902" ht="15.75" spans="1:3">
      <c r="A4902">
        <v>4901</v>
      </c>
      <c r="B4902" s="26"/>
      <c r="C4902" s="26"/>
    </row>
    <row r="4903" ht="21" spans="1:3">
      <c r="A4903">
        <v>4902</v>
      </c>
      <c r="B4903" s="25" t="s">
        <v>16892</v>
      </c>
      <c r="C4903" s="26"/>
    </row>
    <row r="4904" ht="21" spans="1:3">
      <c r="A4904">
        <v>4903</v>
      </c>
      <c r="B4904" s="27" t="s">
        <v>16892</v>
      </c>
      <c r="C4904" s="26"/>
    </row>
    <row r="4905" ht="15.75" spans="1:3">
      <c r="A4905">
        <v>4904</v>
      </c>
      <c r="B4905" s="26"/>
      <c r="C4905" s="26"/>
    </row>
    <row r="4906" ht="15.75" spans="1:3">
      <c r="A4906">
        <v>4905</v>
      </c>
      <c r="B4906" s="26"/>
      <c r="C4906" s="26"/>
    </row>
    <row r="4907" ht="15.75" spans="1:3">
      <c r="A4907">
        <v>4906</v>
      </c>
      <c r="B4907" s="26"/>
      <c r="C4907" s="26"/>
    </row>
    <row r="4908" ht="15.75" spans="1:3">
      <c r="A4908">
        <v>4907</v>
      </c>
      <c r="B4908" s="26"/>
      <c r="C4908" s="26"/>
    </row>
    <row r="4909" ht="21" spans="1:3">
      <c r="A4909">
        <v>4908</v>
      </c>
      <c r="B4909" s="25" t="s">
        <v>16892</v>
      </c>
      <c r="C4909" s="26"/>
    </row>
    <row r="4910" ht="15.75" spans="1:3">
      <c r="A4910">
        <v>4909</v>
      </c>
      <c r="B4910" s="26"/>
      <c r="C4910" s="26"/>
    </row>
    <row r="4911" ht="15.75" spans="1:3">
      <c r="A4911">
        <v>4910</v>
      </c>
      <c r="B4911" s="26"/>
      <c r="C4911" s="26"/>
    </row>
    <row r="4912" ht="15.75" spans="1:3">
      <c r="A4912">
        <v>4911</v>
      </c>
      <c r="B4912" s="26"/>
      <c r="C4912" s="26"/>
    </row>
    <row r="4913" ht="15.75" spans="1:3">
      <c r="A4913">
        <v>4912</v>
      </c>
      <c r="B4913" s="26"/>
      <c r="C4913" s="26"/>
    </row>
    <row r="4914" ht="21" spans="1:3">
      <c r="A4914">
        <v>4913</v>
      </c>
      <c r="B4914" s="27" t="s">
        <v>16892</v>
      </c>
      <c r="C4914" s="26"/>
    </row>
    <row r="4915" ht="21" spans="1:3">
      <c r="A4915">
        <v>4914</v>
      </c>
      <c r="B4915" s="25" t="s">
        <v>16892</v>
      </c>
      <c r="C4915" s="26"/>
    </row>
    <row r="4916" ht="15.75" spans="1:3">
      <c r="A4916">
        <v>4915</v>
      </c>
      <c r="B4916" s="26"/>
      <c r="C4916" s="26"/>
    </row>
    <row r="4917" ht="15.75" spans="1:3">
      <c r="A4917">
        <v>4916</v>
      </c>
      <c r="B4917" s="26"/>
      <c r="C4917" s="26"/>
    </row>
    <row r="4918" ht="15.75" spans="1:3">
      <c r="A4918">
        <v>4917</v>
      </c>
      <c r="B4918" s="26"/>
      <c r="C4918" s="26"/>
    </row>
    <row r="4919" ht="15.75" spans="1:3">
      <c r="A4919">
        <v>4918</v>
      </c>
      <c r="B4919" s="26"/>
      <c r="C4919" s="26"/>
    </row>
    <row r="4920" ht="15.75" spans="1:3">
      <c r="A4920">
        <v>4919</v>
      </c>
      <c r="B4920" s="26"/>
      <c r="C4920" s="26"/>
    </row>
    <row r="4921" ht="15.75" spans="1:3">
      <c r="A4921">
        <v>4920</v>
      </c>
      <c r="B4921" s="26"/>
      <c r="C4921" s="26"/>
    </row>
    <row r="4922" ht="15.75" spans="1:3">
      <c r="A4922">
        <v>4921</v>
      </c>
      <c r="B4922" s="26"/>
      <c r="C4922" s="26"/>
    </row>
    <row r="4923" ht="15.75" spans="1:3">
      <c r="A4923">
        <v>4922</v>
      </c>
      <c r="B4923" s="26"/>
      <c r="C4923" s="26"/>
    </row>
    <row r="4924" ht="15.75" spans="1:3">
      <c r="A4924">
        <v>4923</v>
      </c>
      <c r="B4924" s="26"/>
      <c r="C4924" s="26"/>
    </row>
    <row r="4925" ht="15.75" spans="1:3">
      <c r="A4925">
        <v>4924</v>
      </c>
      <c r="B4925" s="26"/>
      <c r="C4925" s="26"/>
    </row>
    <row r="4926" ht="15.75" spans="1:3">
      <c r="A4926">
        <v>4925</v>
      </c>
      <c r="B4926" s="26"/>
      <c r="C4926" s="26"/>
    </row>
    <row r="4927" ht="21" spans="1:3">
      <c r="A4927">
        <v>4926</v>
      </c>
      <c r="B4927" s="25" t="s">
        <v>16892</v>
      </c>
      <c r="C4927" s="26"/>
    </row>
    <row r="4928" ht="15.75" spans="1:3">
      <c r="A4928">
        <v>4927</v>
      </c>
      <c r="B4928" s="26"/>
      <c r="C4928" s="26"/>
    </row>
    <row r="4929" ht="15.75" spans="1:3">
      <c r="A4929">
        <v>4928</v>
      </c>
      <c r="B4929" s="26"/>
      <c r="C4929" s="26"/>
    </row>
    <row r="4930" ht="18.75" spans="1:3">
      <c r="A4930">
        <v>4929</v>
      </c>
      <c r="B4930" s="31" t="str">
        <f>IFERROR(__xludf.DUMMYFUNCTION("""COMPUTED_VALUE"""),"መክሊት ታደስ")</f>
        <v>መክሊት ታደስ</v>
      </c>
      <c r="C4930" s="30">
        <v>911600475</v>
      </c>
    </row>
    <row r="4931" ht="15.75" spans="1:3">
      <c r="A4931">
        <v>4930</v>
      </c>
      <c r="B4931" s="26"/>
      <c r="C4931" s="26"/>
    </row>
    <row r="4932" ht="18" spans="1:3">
      <c r="A4932">
        <v>4931</v>
      </c>
      <c r="B4932" s="31" t="str">
        <f>IFERROR(__xludf.DUMMYFUNCTION("""COMPUTED_VALUE"""),"nebiyu daniel")</f>
        <v>nebiyu daniel</v>
      </c>
      <c r="C4932" s="31">
        <v>921235110</v>
      </c>
    </row>
    <row r="4933" ht="15.75" spans="1:3">
      <c r="A4933">
        <v>4932</v>
      </c>
      <c r="B4933" s="26"/>
      <c r="C4933" s="26"/>
    </row>
    <row r="4934" ht="15.75" spans="1:3">
      <c r="A4934">
        <v>4933</v>
      </c>
      <c r="B4934" s="26"/>
      <c r="C4934" s="26"/>
    </row>
    <row r="4935" ht="15.75" spans="1:3">
      <c r="A4935">
        <v>4934</v>
      </c>
      <c r="B4935" s="26"/>
      <c r="C4935" s="26"/>
    </row>
    <row r="4936" ht="15.75" spans="1:3">
      <c r="A4936">
        <v>4935</v>
      </c>
      <c r="B4936" s="26"/>
      <c r="C4936" s="26"/>
    </row>
    <row r="4937" ht="18.75" spans="1:3">
      <c r="A4937">
        <v>4936</v>
      </c>
      <c r="B4937" s="31" t="str">
        <f>IFERROR(__xludf.DUMMYFUNCTION("""COMPUTED_VALUE"""),"marta tesema")</f>
        <v>marta tesema</v>
      </c>
      <c r="C4937" s="30">
        <v>910985515</v>
      </c>
    </row>
    <row r="4938" ht="15.75" spans="1:3">
      <c r="A4938">
        <v>4937</v>
      </c>
      <c r="B4938" s="26"/>
      <c r="C4938" s="26"/>
    </row>
    <row r="4939" ht="15.75" spans="1:3">
      <c r="A4939">
        <v>4938</v>
      </c>
      <c r="B4939" s="26"/>
      <c r="C4939" s="26"/>
    </row>
    <row r="4940" ht="15.75" spans="1:3">
      <c r="A4940">
        <v>4939</v>
      </c>
      <c r="B4940" s="26"/>
      <c r="C4940" s="26"/>
    </row>
    <row r="4941" ht="15.75" spans="1:3">
      <c r="A4941">
        <v>4940</v>
      </c>
      <c r="B4941" s="26"/>
      <c r="C4941" s="26"/>
    </row>
    <row r="4942" ht="15.75" spans="1:3">
      <c r="A4942">
        <v>4941</v>
      </c>
      <c r="B4942" s="26"/>
      <c r="C4942" s="26"/>
    </row>
    <row r="4943" ht="15.75" spans="1:3">
      <c r="A4943">
        <v>4942</v>
      </c>
      <c r="B4943" s="26"/>
      <c r="C4943" s="26"/>
    </row>
    <row r="4944" ht="15.75" spans="1:3">
      <c r="A4944">
        <v>4943</v>
      </c>
      <c r="B4944" s="26"/>
      <c r="C4944" s="26"/>
    </row>
    <row r="4945" ht="18.75" spans="1:3">
      <c r="A4945">
        <v>4944</v>
      </c>
      <c r="B4945" s="31" t="str">
        <f>IFERROR(__xludf.DUMMYFUNCTION("""COMPUTED_VALUE"""),"tegegne abebaw ")</f>
        <v>tegegne abebaw </v>
      </c>
      <c r="C4945" s="30">
        <f>IFERROR(__xludf.DUMMYFUNCTION("""COMPUTED_VALUE"""),910983862)</f>
        <v>910983862</v>
      </c>
    </row>
    <row r="4946" ht="15.75" spans="1:3">
      <c r="A4946">
        <v>4945</v>
      </c>
      <c r="B4946" s="26"/>
      <c r="C4946" s="26"/>
    </row>
    <row r="4947" ht="21" spans="1:3">
      <c r="A4947">
        <v>4946</v>
      </c>
      <c r="B4947" s="25" t="s">
        <v>16892</v>
      </c>
      <c r="C4947" s="26"/>
    </row>
    <row r="4948" ht="21" spans="1:3">
      <c r="A4948">
        <v>4947</v>
      </c>
      <c r="B4948" s="27" t="s">
        <v>16892</v>
      </c>
      <c r="C4948" s="26"/>
    </row>
    <row r="4949" ht="18.75" spans="1:3">
      <c r="A4949">
        <v>4948</v>
      </c>
      <c r="B4949" s="31" t="str">
        <f>IFERROR(__xludf.DUMMYFUNCTION("""COMPUTED_VALUE"""),"no sales Agent")</f>
        <v>no sales Agent</v>
      </c>
      <c r="C4949" s="30"/>
    </row>
    <row r="4950" ht="18.75" spans="1:3">
      <c r="A4950">
        <v>4949</v>
      </c>
      <c r="B4950" s="31" t="str">
        <f>IFERROR(__xludf.DUMMYFUNCTION("""COMPUTED_VALUE"""),"Natan Tadele")</f>
        <v>Natan Tadele</v>
      </c>
      <c r="C4950" s="30">
        <v>923271622</v>
      </c>
    </row>
    <row r="4951" ht="15.75" spans="1:3">
      <c r="A4951">
        <v>4950</v>
      </c>
      <c r="B4951" s="26"/>
      <c r="C4951" s="26"/>
    </row>
    <row r="4952" ht="15.75" spans="1:3">
      <c r="A4952">
        <v>4951</v>
      </c>
      <c r="B4952" s="26"/>
      <c r="C4952" s="26"/>
    </row>
    <row r="4953" ht="15.75" spans="1:3">
      <c r="A4953">
        <v>4952</v>
      </c>
      <c r="B4953" s="26"/>
      <c r="C4953" s="26"/>
    </row>
    <row r="4954" ht="15.75" spans="1:3">
      <c r="A4954">
        <v>4953</v>
      </c>
      <c r="B4954" s="26"/>
      <c r="C4954" s="26"/>
    </row>
    <row r="4955" ht="21" spans="1:3">
      <c r="A4955">
        <v>4954</v>
      </c>
      <c r="B4955" s="27" t="s">
        <v>16892</v>
      </c>
      <c r="C4955" s="26"/>
    </row>
    <row r="4956" ht="15.75" spans="1:3">
      <c r="A4956">
        <v>4955</v>
      </c>
      <c r="B4956" s="26"/>
      <c r="C4956" s="26"/>
    </row>
    <row r="4957" ht="21" spans="1:3">
      <c r="A4957">
        <v>4956</v>
      </c>
      <c r="B4957" s="25" t="s">
        <v>16892</v>
      </c>
      <c r="C4957" s="26"/>
    </row>
    <row r="4958" ht="15.75" spans="1:3">
      <c r="A4958">
        <v>4957</v>
      </c>
      <c r="B4958" s="26"/>
      <c r="C4958" s="26"/>
    </row>
    <row r="4959" ht="21" spans="1:3">
      <c r="A4959">
        <v>4958</v>
      </c>
      <c r="B4959" s="27" t="s">
        <v>16892</v>
      </c>
      <c r="C4959" s="26"/>
    </row>
    <row r="4960" ht="21" spans="1:3">
      <c r="A4960">
        <v>4959</v>
      </c>
      <c r="B4960" s="25" t="s">
        <v>16892</v>
      </c>
      <c r="C4960" s="26"/>
    </row>
    <row r="4961" ht="21" spans="1:3">
      <c r="A4961">
        <v>4960</v>
      </c>
      <c r="B4961" s="25" t="s">
        <v>16902</v>
      </c>
      <c r="C4961" s="26"/>
    </row>
    <row r="4962" ht="21" spans="1:3">
      <c r="A4962">
        <v>4961</v>
      </c>
      <c r="B4962" s="25" t="s">
        <v>16892</v>
      </c>
      <c r="C4962" s="26"/>
    </row>
    <row r="4963" ht="15.75" spans="1:3">
      <c r="A4963">
        <v>4962</v>
      </c>
      <c r="B4963" s="26"/>
      <c r="C4963" s="26"/>
    </row>
    <row r="4964" ht="21" spans="1:3">
      <c r="A4964">
        <v>4963</v>
      </c>
      <c r="B4964" s="25" t="s">
        <v>16892</v>
      </c>
      <c r="C4964" s="26"/>
    </row>
    <row r="4965" ht="15.75" spans="1:3">
      <c r="A4965">
        <v>4964</v>
      </c>
      <c r="B4965" s="26"/>
      <c r="C4965" s="26"/>
    </row>
    <row r="4966" ht="18.75" spans="1:3">
      <c r="A4966">
        <v>4965</v>
      </c>
      <c r="B4966" s="39" t="str">
        <f>IFERROR(__xludf.DUMMYFUNCTION("""COMPUTED_VALUE"""),"hiwot solomon")</f>
        <v>hiwot solomon</v>
      </c>
      <c r="C4966" s="34">
        <v>986569386</v>
      </c>
    </row>
    <row r="4967" ht="18.75" spans="1:3">
      <c r="A4967">
        <v>4966</v>
      </c>
      <c r="B4967" s="39" t="str">
        <f>IFERROR(__xludf.DUMMYFUNCTION("""COMPUTED_VALUE"""),"hiwot solomon")</f>
        <v>hiwot solomon</v>
      </c>
      <c r="C4967" s="34">
        <v>986569386</v>
      </c>
    </row>
    <row r="4968" ht="15.75" spans="1:3">
      <c r="A4968">
        <v>4967</v>
      </c>
      <c r="B4968" s="26"/>
      <c r="C4968" s="26"/>
    </row>
    <row r="4969" ht="15.75" spans="1:3">
      <c r="A4969">
        <v>4968</v>
      </c>
      <c r="B4969" s="26"/>
      <c r="C4969" s="26"/>
    </row>
    <row r="4970" ht="15.75" spans="1:3">
      <c r="A4970">
        <v>4969</v>
      </c>
      <c r="B4970" s="26"/>
      <c r="C4970" s="26"/>
    </row>
    <row r="4971" ht="15.75" spans="1:3">
      <c r="A4971">
        <v>4970</v>
      </c>
      <c r="B4971" s="26"/>
      <c r="C4971" s="26"/>
    </row>
    <row r="4972" ht="15.75" spans="1:3">
      <c r="A4972">
        <v>4971</v>
      </c>
      <c r="B4972" s="26"/>
      <c r="C4972" s="26"/>
    </row>
    <row r="4973" spans="1:3">
      <c r="A4973">
        <v>4972</v>
      </c>
      <c r="B4973" s="51" t="s">
        <v>16947</v>
      </c>
      <c r="C4973" s="36">
        <v>923942202</v>
      </c>
    </row>
    <row r="4974" ht="15.75" spans="1:3">
      <c r="A4974">
        <v>4973</v>
      </c>
      <c r="B4974" s="26"/>
      <c r="C4974" s="26"/>
    </row>
    <row r="4975" ht="15.75" spans="1:3">
      <c r="A4975">
        <v>4974</v>
      </c>
      <c r="B4975" s="26"/>
      <c r="C4975" s="26"/>
    </row>
    <row r="4976" ht="15.75" spans="1:3">
      <c r="A4976">
        <v>4975</v>
      </c>
      <c r="B4976" s="26"/>
      <c r="C4976" s="26"/>
    </row>
    <row r="4977" ht="15.75" spans="1:3">
      <c r="A4977">
        <v>4976</v>
      </c>
      <c r="B4977" s="26"/>
      <c r="C4977" s="26"/>
    </row>
    <row r="4978" ht="15.75" spans="1:3">
      <c r="A4978">
        <v>4977</v>
      </c>
      <c r="B4978" s="26"/>
      <c r="C4978" s="26"/>
    </row>
    <row r="4979" ht="18.75" spans="1:3">
      <c r="A4979">
        <v>4978</v>
      </c>
      <c r="B4979" s="31" t="str">
        <f>IFERROR(__xludf.DUMMYFUNCTION("""COMPUTED_VALUE"""),"ፅጌረዳ ፍስሀ(ካቡድ)")</f>
        <v>ፅጌረዳ ፍስሀ(ካቡድ)</v>
      </c>
      <c r="C4979" s="30">
        <v>963294069</v>
      </c>
    </row>
    <row r="4980" ht="15.75" spans="1:3">
      <c r="A4980">
        <v>4979</v>
      </c>
      <c r="B4980" s="26"/>
      <c r="C4980" s="26"/>
    </row>
    <row r="4981" ht="15.75" spans="1:3">
      <c r="A4981">
        <v>4980</v>
      </c>
      <c r="B4981" s="26"/>
      <c r="C4981" s="26"/>
    </row>
    <row r="4982" ht="15.75" spans="1:3">
      <c r="A4982">
        <v>4981</v>
      </c>
      <c r="B4982" s="26"/>
      <c r="C4982" s="26"/>
    </row>
    <row r="4983" ht="21" spans="1:3">
      <c r="A4983">
        <v>4982</v>
      </c>
      <c r="B4983" s="25" t="s">
        <v>16892</v>
      </c>
      <c r="C4983" s="26"/>
    </row>
    <row r="4984" ht="15.75" spans="1:3">
      <c r="A4984">
        <v>4983</v>
      </c>
      <c r="B4984" s="26"/>
      <c r="C4984" s="26"/>
    </row>
    <row r="4985" ht="21" spans="1:3">
      <c r="A4985">
        <v>4984</v>
      </c>
      <c r="B4985" s="27" t="s">
        <v>16892</v>
      </c>
      <c r="C4985" s="26"/>
    </row>
    <row r="4986" ht="21" spans="1:3">
      <c r="A4986">
        <v>4985</v>
      </c>
      <c r="B4986" s="27" t="s">
        <v>16892</v>
      </c>
      <c r="C4986" s="26"/>
    </row>
    <row r="4987" ht="21" spans="1:3">
      <c r="A4987">
        <v>4986</v>
      </c>
      <c r="B4987" s="27" t="s">
        <v>16892</v>
      </c>
      <c r="C4987" s="26"/>
    </row>
    <row r="4988" ht="21" spans="1:3">
      <c r="A4988">
        <v>4987</v>
      </c>
      <c r="B4988" s="27" t="s">
        <v>16892</v>
      </c>
      <c r="C4988" s="26"/>
    </row>
    <row r="4989" ht="21" spans="1:3">
      <c r="A4989">
        <v>4988</v>
      </c>
      <c r="B4989" s="25" t="s">
        <v>16892</v>
      </c>
      <c r="C4989" s="26"/>
    </row>
    <row r="4990" ht="21" spans="1:3">
      <c r="A4990">
        <v>4989</v>
      </c>
      <c r="B4990" s="25" t="s">
        <v>16892</v>
      </c>
      <c r="C4990" s="26"/>
    </row>
    <row r="4991" ht="21" spans="1:3">
      <c r="A4991">
        <v>4990</v>
      </c>
      <c r="B4991" s="25" t="s">
        <v>16892</v>
      </c>
      <c r="C4991" s="26"/>
    </row>
    <row r="4992" ht="21" spans="1:3">
      <c r="A4992">
        <v>4991</v>
      </c>
      <c r="B4992" s="27" t="s">
        <v>16892</v>
      </c>
      <c r="C4992" s="26"/>
    </row>
    <row r="4993" ht="21" spans="1:3">
      <c r="A4993">
        <v>4992</v>
      </c>
      <c r="B4993" s="25" t="s">
        <v>16892</v>
      </c>
      <c r="C4993" s="26"/>
    </row>
    <row r="4994" ht="21" spans="1:3">
      <c r="A4994">
        <v>4993</v>
      </c>
      <c r="B4994" s="25" t="s">
        <v>16892</v>
      </c>
      <c r="C4994" s="26"/>
    </row>
    <row r="4995" ht="21" spans="1:3">
      <c r="A4995">
        <v>4994</v>
      </c>
      <c r="B4995" s="27" t="s">
        <v>16892</v>
      </c>
      <c r="C4995" s="26"/>
    </row>
    <row r="4996" ht="21" spans="1:3">
      <c r="A4996">
        <v>4995</v>
      </c>
      <c r="B4996" s="25" t="s">
        <v>16892</v>
      </c>
      <c r="C4996" s="26"/>
    </row>
    <row r="4997" ht="21" spans="1:3">
      <c r="A4997">
        <v>4996</v>
      </c>
      <c r="B4997" s="25" t="s">
        <v>16892</v>
      </c>
      <c r="C4997" s="26"/>
    </row>
    <row r="4998" ht="21" spans="1:3">
      <c r="A4998">
        <v>4997</v>
      </c>
      <c r="B4998" s="27" t="s">
        <v>16892</v>
      </c>
      <c r="C4998" s="26"/>
    </row>
    <row r="4999" ht="21" spans="1:3">
      <c r="A4999">
        <v>4998</v>
      </c>
      <c r="B4999" s="25" t="s">
        <v>16892</v>
      </c>
      <c r="C4999" s="26"/>
    </row>
    <row r="5000" ht="21" spans="1:3">
      <c r="A5000">
        <v>4999</v>
      </c>
      <c r="B5000" s="25" t="s">
        <v>16892</v>
      </c>
      <c r="C5000" s="26"/>
    </row>
    <row r="5001" ht="21" spans="1:3">
      <c r="A5001">
        <v>5000</v>
      </c>
      <c r="B5001" s="25" t="s">
        <v>16892</v>
      </c>
      <c r="C5001" s="26"/>
    </row>
    <row r="5002" ht="21" spans="1:3">
      <c r="A5002">
        <v>5001</v>
      </c>
      <c r="B5002" s="25" t="s">
        <v>16892</v>
      </c>
      <c r="C5002" s="26"/>
    </row>
    <row r="5003" ht="21" spans="1:3">
      <c r="A5003">
        <v>5002</v>
      </c>
      <c r="B5003" s="27" t="s">
        <v>16892</v>
      </c>
      <c r="C5003" s="26"/>
    </row>
    <row r="5004" ht="21" spans="1:3">
      <c r="A5004">
        <v>5003</v>
      </c>
      <c r="B5004" s="25" t="s">
        <v>16892</v>
      </c>
      <c r="C5004" s="26"/>
    </row>
    <row r="5005" ht="15.75" spans="1:3">
      <c r="A5005">
        <v>5004</v>
      </c>
      <c r="B5005" s="26"/>
      <c r="C5005" s="26"/>
    </row>
    <row r="5006" spans="1:3">
      <c r="A5006">
        <v>5005</v>
      </c>
      <c r="B5006" s="37" t="s">
        <v>16948</v>
      </c>
      <c r="C5006" s="38" t="s">
        <v>16949</v>
      </c>
    </row>
    <row r="5007" spans="1:3">
      <c r="A5007">
        <v>5006</v>
      </c>
      <c r="B5007" s="37" t="s">
        <v>16948</v>
      </c>
      <c r="C5007" s="38" t="s">
        <v>16949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07"/>
  <sheetViews>
    <sheetView workbookViewId="0">
      <selection activeCell="F19" sqref="F19"/>
    </sheetView>
  </sheetViews>
  <sheetFormatPr defaultColWidth="9" defaultRowHeight="15" outlineLevelCol="1"/>
  <cols>
    <col min="1" max="1" width="14.9047619047619" customWidth="1"/>
    <col min="2" max="2" width="16.7238095238095" customWidth="1"/>
  </cols>
  <sheetData>
    <row r="1" ht="15.75" spans="1:2">
      <c r="A1" s="2" t="s">
        <v>16950</v>
      </c>
      <c r="B1" s="3" t="s">
        <v>16951</v>
      </c>
    </row>
    <row r="2" ht="15.75" spans="1:2">
      <c r="A2" s="4" t="s">
        <v>6</v>
      </c>
      <c r="B2" s="5" t="s">
        <v>16952</v>
      </c>
    </row>
    <row r="3" ht="15.75" spans="1:2">
      <c r="A3" s="4" t="s">
        <v>10</v>
      </c>
      <c r="B3" s="5" t="s">
        <v>16952</v>
      </c>
    </row>
    <row r="4" ht="15.75" spans="1:2">
      <c r="A4" s="4" t="s">
        <v>14</v>
      </c>
      <c r="B4" s="5" t="s">
        <v>16952</v>
      </c>
    </row>
    <row r="5" ht="15.75" spans="1:2">
      <c r="A5" s="4" t="s">
        <v>18</v>
      </c>
      <c r="B5" s="5" t="s">
        <v>16952</v>
      </c>
    </row>
    <row r="6" ht="15.75" spans="1:2">
      <c r="A6" s="4" t="s">
        <v>21</v>
      </c>
      <c r="B6" s="5" t="s">
        <v>16952</v>
      </c>
    </row>
    <row r="7" ht="15.75" spans="1:2">
      <c r="A7" s="4" t="s">
        <v>24</v>
      </c>
      <c r="B7" s="5" t="s">
        <v>16952</v>
      </c>
    </row>
    <row r="8" ht="15.75" spans="1:2">
      <c r="A8" s="4" t="s">
        <v>28</v>
      </c>
      <c r="B8" s="5" t="s">
        <v>16952</v>
      </c>
    </row>
    <row r="9" ht="15.75" spans="1:2">
      <c r="A9" s="4" t="s">
        <v>33</v>
      </c>
      <c r="B9" s="5" t="s">
        <v>16952</v>
      </c>
    </row>
    <row r="10" ht="15.75" spans="1:2">
      <c r="A10" s="4" t="s">
        <v>37</v>
      </c>
      <c r="B10" s="5" t="s">
        <v>16952</v>
      </c>
    </row>
    <row r="11" s="1" customFormat="1" ht="15.75" spans="1:2">
      <c r="A11" s="6" t="s">
        <v>41</v>
      </c>
      <c r="B11" s="7" t="s">
        <v>16952</v>
      </c>
    </row>
    <row r="12" s="1" customFormat="1" ht="15.75" spans="1:2">
      <c r="A12" s="6" t="s">
        <v>45</v>
      </c>
      <c r="B12" s="7" t="s">
        <v>16952</v>
      </c>
    </row>
    <row r="13" ht="15.75" spans="1:2">
      <c r="A13" s="4" t="s">
        <v>48</v>
      </c>
      <c r="B13" s="5" t="s">
        <v>16952</v>
      </c>
    </row>
    <row r="14" ht="15.75" spans="1:2">
      <c r="A14" s="4" t="s">
        <v>50</v>
      </c>
      <c r="B14" s="5" t="s">
        <v>16952</v>
      </c>
    </row>
    <row r="15" ht="15.75" spans="1:2">
      <c r="A15" s="4" t="s">
        <v>54</v>
      </c>
      <c r="B15" s="5" t="s">
        <v>16952</v>
      </c>
    </row>
    <row r="16" ht="15.75" spans="1:2">
      <c r="A16" s="4" t="s">
        <v>59</v>
      </c>
      <c r="B16" s="5" t="s">
        <v>16952</v>
      </c>
    </row>
    <row r="17" ht="15.75" spans="1:2">
      <c r="A17" s="4" t="s">
        <v>63</v>
      </c>
      <c r="B17" s="5" t="s">
        <v>16952</v>
      </c>
    </row>
    <row r="18" ht="15.75" spans="1:2">
      <c r="A18" s="4" t="s">
        <v>67</v>
      </c>
      <c r="B18" s="5" t="s">
        <v>16952</v>
      </c>
    </row>
    <row r="19" ht="15.75" spans="1:2">
      <c r="A19" s="4" t="s">
        <v>70</v>
      </c>
      <c r="B19" s="5" t="s">
        <v>16952</v>
      </c>
    </row>
    <row r="20" ht="15.75" spans="1:2">
      <c r="A20" s="4" t="s">
        <v>73</v>
      </c>
      <c r="B20" s="5" t="s">
        <v>16952</v>
      </c>
    </row>
    <row r="21" ht="15.75" spans="1:2">
      <c r="A21" s="4" t="s">
        <v>77</v>
      </c>
      <c r="B21" s="5" t="s">
        <v>16952</v>
      </c>
    </row>
    <row r="22" ht="15.75" spans="1:2">
      <c r="A22" s="4" t="s">
        <v>81</v>
      </c>
      <c r="B22" s="5" t="s">
        <v>16952</v>
      </c>
    </row>
    <row r="23" ht="15.75" spans="1:2">
      <c r="A23" s="4" t="s">
        <v>85</v>
      </c>
      <c r="B23" s="5" t="s">
        <v>16952</v>
      </c>
    </row>
    <row r="24" ht="15.75" spans="1:2">
      <c r="A24" s="4" t="s">
        <v>88</v>
      </c>
      <c r="B24" s="5" t="s">
        <v>16952</v>
      </c>
    </row>
    <row r="25" ht="15.75" spans="1:2">
      <c r="A25" s="4" t="s">
        <v>93</v>
      </c>
      <c r="B25" s="5" t="s">
        <v>16952</v>
      </c>
    </row>
    <row r="26" ht="15.75" spans="1:2">
      <c r="A26" s="4" t="s">
        <v>97</v>
      </c>
      <c r="B26" s="5" t="s">
        <v>16952</v>
      </c>
    </row>
    <row r="27" ht="15.75" spans="1:2">
      <c r="A27" s="4" t="s">
        <v>101</v>
      </c>
      <c r="B27" s="5" t="s">
        <v>16952</v>
      </c>
    </row>
    <row r="28" ht="15.75" spans="1:2">
      <c r="A28" s="4" t="s">
        <v>105</v>
      </c>
      <c r="B28" s="5" t="s">
        <v>16952</v>
      </c>
    </row>
    <row r="29" ht="15.75" spans="1:2">
      <c r="A29" s="4" t="s">
        <v>108</v>
      </c>
      <c r="B29" s="5" t="s">
        <v>16952</v>
      </c>
    </row>
    <row r="30" ht="15.75" spans="1:2">
      <c r="A30" s="4" t="s">
        <v>112</v>
      </c>
      <c r="B30" s="5" t="s">
        <v>16952</v>
      </c>
    </row>
    <row r="31" ht="15.75" spans="1:2">
      <c r="A31" s="4" t="s">
        <v>116</v>
      </c>
      <c r="B31" s="5" t="s">
        <v>16952</v>
      </c>
    </row>
    <row r="32" ht="15.75" spans="1:2">
      <c r="A32" s="4" t="s">
        <v>122</v>
      </c>
      <c r="B32" s="5" t="s">
        <v>16952</v>
      </c>
    </row>
    <row r="33" ht="15.75" spans="1:2">
      <c r="A33" s="4" t="s">
        <v>126</v>
      </c>
      <c r="B33" s="5" t="s">
        <v>16952</v>
      </c>
    </row>
    <row r="34" ht="15.75" spans="1:2">
      <c r="A34" s="4" t="s">
        <v>129</v>
      </c>
      <c r="B34" s="5" t="s">
        <v>16952</v>
      </c>
    </row>
    <row r="35" ht="15.75" spans="1:2">
      <c r="A35" s="4" t="s">
        <v>132</v>
      </c>
      <c r="B35" s="5" t="s">
        <v>16952</v>
      </c>
    </row>
    <row r="36" ht="15.75" spans="1:2">
      <c r="A36" s="4" t="s">
        <v>135</v>
      </c>
      <c r="B36" s="5" t="s">
        <v>16952</v>
      </c>
    </row>
    <row r="37" ht="15.75" spans="1:2">
      <c r="A37" s="4" t="s">
        <v>139</v>
      </c>
      <c r="B37" s="5" t="s">
        <v>16952</v>
      </c>
    </row>
    <row r="38" ht="15.75" spans="1:2">
      <c r="A38" s="4" t="s">
        <v>143</v>
      </c>
      <c r="B38" s="5" t="s">
        <v>16952</v>
      </c>
    </row>
    <row r="39" ht="15.75" spans="1:2">
      <c r="A39" s="4" t="s">
        <v>147</v>
      </c>
      <c r="B39" s="5" t="s">
        <v>16952</v>
      </c>
    </row>
    <row r="40" ht="15.75" spans="1:2">
      <c r="A40" s="4" t="s">
        <v>151</v>
      </c>
      <c r="B40" s="5" t="s">
        <v>16952</v>
      </c>
    </row>
    <row r="41" ht="15.75" spans="1:2">
      <c r="A41" s="4" t="s">
        <v>155</v>
      </c>
      <c r="B41" s="5" t="s">
        <v>16952</v>
      </c>
    </row>
    <row r="42" ht="15.75" spans="1:2">
      <c r="A42" s="4" t="s">
        <v>158</v>
      </c>
      <c r="B42" s="5" t="s">
        <v>16952</v>
      </c>
    </row>
    <row r="43" ht="15.75" spans="1:2">
      <c r="A43" s="4" t="s">
        <v>162</v>
      </c>
      <c r="B43" s="5" t="s">
        <v>16952</v>
      </c>
    </row>
    <row r="44" ht="15.75" spans="1:2">
      <c r="A44" s="4" t="s">
        <v>165</v>
      </c>
      <c r="B44" s="5" t="s">
        <v>16952</v>
      </c>
    </row>
    <row r="45" ht="15.75" spans="1:2">
      <c r="A45" s="4" t="s">
        <v>170</v>
      </c>
      <c r="B45" s="5" t="s">
        <v>16952</v>
      </c>
    </row>
    <row r="46" ht="15.75" spans="1:2">
      <c r="A46" s="4" t="s">
        <v>174</v>
      </c>
      <c r="B46" s="5" t="s">
        <v>16952</v>
      </c>
    </row>
    <row r="47" ht="15.75" spans="1:2">
      <c r="A47" s="4" t="s">
        <v>177</v>
      </c>
      <c r="B47" s="5" t="s">
        <v>16952</v>
      </c>
    </row>
    <row r="48" ht="15.75" spans="1:2">
      <c r="A48" s="4" t="s">
        <v>182</v>
      </c>
      <c r="B48" s="5" t="s">
        <v>16952</v>
      </c>
    </row>
    <row r="49" ht="15.75" spans="1:2">
      <c r="A49" s="4" t="s">
        <v>187</v>
      </c>
      <c r="B49" s="5" t="s">
        <v>16952</v>
      </c>
    </row>
    <row r="50" ht="15.75" spans="1:2">
      <c r="A50" s="4" t="s">
        <v>191</v>
      </c>
      <c r="B50" s="5" t="s">
        <v>16952</v>
      </c>
    </row>
    <row r="51" ht="15.75" spans="1:2">
      <c r="A51" s="4" t="s">
        <v>195</v>
      </c>
      <c r="B51" s="5" t="s">
        <v>16952</v>
      </c>
    </row>
    <row r="52" ht="15.75" spans="1:2">
      <c r="A52" s="4" t="s">
        <v>198</v>
      </c>
      <c r="B52" s="5" t="s">
        <v>16952</v>
      </c>
    </row>
    <row r="53" ht="15.75" spans="1:2">
      <c r="A53" s="4" t="s">
        <v>203</v>
      </c>
      <c r="B53" s="5" t="s">
        <v>16952</v>
      </c>
    </row>
    <row r="54" ht="15.75" spans="1:2">
      <c r="A54" s="4" t="s">
        <v>207</v>
      </c>
      <c r="B54" s="5" t="s">
        <v>16952</v>
      </c>
    </row>
    <row r="55" ht="15.75" spans="1:2">
      <c r="A55" s="4" t="s">
        <v>212</v>
      </c>
      <c r="B55" s="5" t="s">
        <v>16952</v>
      </c>
    </row>
    <row r="56" ht="15.75" spans="1:2">
      <c r="A56" s="4" t="s">
        <v>217</v>
      </c>
      <c r="B56" s="5" t="s">
        <v>16952</v>
      </c>
    </row>
    <row r="57" ht="15.75" spans="1:2">
      <c r="A57" s="4" t="s">
        <v>220</v>
      </c>
      <c r="B57" s="5" t="s">
        <v>16952</v>
      </c>
    </row>
    <row r="58" ht="15.75" spans="1:2">
      <c r="A58" s="4" t="s">
        <v>223</v>
      </c>
      <c r="B58" s="5" t="s">
        <v>16952</v>
      </c>
    </row>
    <row r="59" ht="15.75" spans="1:2">
      <c r="A59" s="4" t="s">
        <v>226</v>
      </c>
      <c r="B59" s="5" t="s">
        <v>16952</v>
      </c>
    </row>
    <row r="60" ht="15.75" spans="1:2">
      <c r="A60" s="4" t="s">
        <v>229</v>
      </c>
      <c r="B60" s="5" t="s">
        <v>16952</v>
      </c>
    </row>
    <row r="61" ht="15.75" spans="1:2">
      <c r="A61" s="4" t="s">
        <v>233</v>
      </c>
      <c r="B61" s="5" t="s">
        <v>16952</v>
      </c>
    </row>
    <row r="62" ht="15.75" spans="1:2">
      <c r="A62" s="4" t="s">
        <v>236</v>
      </c>
      <c r="B62" s="5" t="s">
        <v>16952</v>
      </c>
    </row>
    <row r="63" ht="15.75" spans="1:2">
      <c r="A63" s="4" t="s">
        <v>239</v>
      </c>
      <c r="B63" s="5" t="s">
        <v>16952</v>
      </c>
    </row>
    <row r="64" ht="15.75" spans="1:2">
      <c r="A64" s="4" t="s">
        <v>244</v>
      </c>
      <c r="B64" s="5" t="s">
        <v>16952</v>
      </c>
    </row>
    <row r="65" ht="15.75" spans="1:2">
      <c r="A65" s="4" t="s">
        <v>247</v>
      </c>
      <c r="B65" s="5" t="s">
        <v>16952</v>
      </c>
    </row>
    <row r="66" ht="15.75" spans="1:2">
      <c r="A66" s="4" t="s">
        <v>250</v>
      </c>
      <c r="B66" s="5" t="s">
        <v>16952</v>
      </c>
    </row>
    <row r="67" ht="15.75" spans="1:2">
      <c r="A67" s="4" t="s">
        <v>254</v>
      </c>
      <c r="B67" s="5" t="s">
        <v>16952</v>
      </c>
    </row>
    <row r="68" ht="15.75" spans="1:2">
      <c r="A68" s="4" t="s">
        <v>257</v>
      </c>
      <c r="B68" s="5" t="s">
        <v>16952</v>
      </c>
    </row>
    <row r="69" ht="15.75" spans="1:2">
      <c r="A69" s="4" t="s">
        <v>261</v>
      </c>
      <c r="B69" s="5" t="s">
        <v>16952</v>
      </c>
    </row>
    <row r="70" ht="15.75" spans="1:2">
      <c r="A70" s="4" t="s">
        <v>264</v>
      </c>
      <c r="B70" s="5" t="s">
        <v>16952</v>
      </c>
    </row>
    <row r="71" ht="15.75" spans="1:2">
      <c r="A71" s="4" t="s">
        <v>267</v>
      </c>
      <c r="B71" s="5" t="s">
        <v>16952</v>
      </c>
    </row>
    <row r="72" ht="15.75" spans="1:2">
      <c r="A72" s="4" t="s">
        <v>270</v>
      </c>
      <c r="B72" s="5" t="s">
        <v>16952</v>
      </c>
    </row>
    <row r="73" ht="15.75" spans="1:2">
      <c r="A73" s="4" t="s">
        <v>274</v>
      </c>
      <c r="B73" s="5" t="s">
        <v>16952</v>
      </c>
    </row>
    <row r="74" ht="15.75" spans="1:2">
      <c r="A74" s="4" t="s">
        <v>277</v>
      </c>
      <c r="B74" s="5" t="s">
        <v>16952</v>
      </c>
    </row>
    <row r="75" ht="15.75" spans="1:2">
      <c r="A75" s="4" t="s">
        <v>280</v>
      </c>
      <c r="B75" s="5" t="s">
        <v>16952</v>
      </c>
    </row>
    <row r="76" ht="15.75" spans="1:2">
      <c r="A76" s="4" t="s">
        <v>284</v>
      </c>
      <c r="B76" s="5" t="s">
        <v>16952</v>
      </c>
    </row>
    <row r="77" ht="15.75" spans="1:2">
      <c r="A77" s="4" t="s">
        <v>287</v>
      </c>
      <c r="B77" s="5" t="s">
        <v>16952</v>
      </c>
    </row>
    <row r="78" ht="15.75" spans="1:2">
      <c r="A78" s="4" t="s">
        <v>290</v>
      </c>
      <c r="B78" s="5" t="s">
        <v>16952</v>
      </c>
    </row>
    <row r="79" ht="15.75" spans="1:2">
      <c r="A79" s="4" t="s">
        <v>293</v>
      </c>
      <c r="B79" s="5" t="s">
        <v>16952</v>
      </c>
    </row>
    <row r="80" ht="15.75" spans="1:2">
      <c r="A80" s="4" t="s">
        <v>296</v>
      </c>
      <c r="B80" s="5" t="s">
        <v>16952</v>
      </c>
    </row>
    <row r="81" ht="15.75" spans="1:2">
      <c r="A81" s="4" t="s">
        <v>300</v>
      </c>
      <c r="B81" s="5" t="s">
        <v>16952</v>
      </c>
    </row>
    <row r="82" ht="15.75" spans="1:2">
      <c r="A82" s="4" t="s">
        <v>303</v>
      </c>
      <c r="B82" s="5" t="s">
        <v>16952</v>
      </c>
    </row>
    <row r="83" ht="15.75" spans="1:2">
      <c r="A83" s="4" t="s">
        <v>306</v>
      </c>
      <c r="B83" s="5" t="s">
        <v>16952</v>
      </c>
    </row>
    <row r="84" ht="15.75" spans="1:2">
      <c r="A84" s="4" t="s">
        <v>311</v>
      </c>
      <c r="B84" s="5" t="s">
        <v>16952</v>
      </c>
    </row>
    <row r="85" ht="15.75" spans="1:2">
      <c r="A85" s="4" t="s">
        <v>314</v>
      </c>
      <c r="B85" s="5" t="s">
        <v>16952</v>
      </c>
    </row>
    <row r="86" ht="15.75" spans="1:2">
      <c r="A86" s="4" t="s">
        <v>318</v>
      </c>
      <c r="B86" s="5" t="s">
        <v>16952</v>
      </c>
    </row>
    <row r="87" ht="15.75" spans="1:2">
      <c r="A87" s="4" t="s">
        <v>321</v>
      </c>
      <c r="B87" s="5" t="s">
        <v>16952</v>
      </c>
    </row>
    <row r="88" ht="15.75" spans="1:2">
      <c r="A88" s="4" t="s">
        <v>325</v>
      </c>
      <c r="B88" s="5" t="s">
        <v>16952</v>
      </c>
    </row>
    <row r="89" ht="15.75" spans="1:2">
      <c r="A89" s="4" t="s">
        <v>328</v>
      </c>
      <c r="B89" s="5" t="s">
        <v>16952</v>
      </c>
    </row>
    <row r="90" ht="15.75" spans="1:2">
      <c r="A90" s="4" t="s">
        <v>331</v>
      </c>
      <c r="B90" s="5" t="s">
        <v>16952</v>
      </c>
    </row>
    <row r="91" ht="15.75" spans="1:2">
      <c r="A91" s="4" t="s">
        <v>334</v>
      </c>
      <c r="B91" s="5" t="s">
        <v>16952</v>
      </c>
    </row>
    <row r="92" ht="15.75" spans="1:2">
      <c r="A92" s="4" t="s">
        <v>338</v>
      </c>
      <c r="B92" s="5" t="s">
        <v>16952</v>
      </c>
    </row>
    <row r="93" ht="15.75" spans="1:2">
      <c r="A93" s="4" t="s">
        <v>341</v>
      </c>
      <c r="B93" s="5" t="s">
        <v>16952</v>
      </c>
    </row>
    <row r="94" ht="15.75" spans="1:2">
      <c r="A94" s="4" t="s">
        <v>344</v>
      </c>
      <c r="B94" s="5" t="s">
        <v>16952</v>
      </c>
    </row>
    <row r="95" ht="15.75" spans="1:2">
      <c r="A95" s="4" t="s">
        <v>348</v>
      </c>
      <c r="B95" s="5" t="s">
        <v>16952</v>
      </c>
    </row>
    <row r="96" ht="15.75" spans="1:2">
      <c r="A96" s="4" t="s">
        <v>352</v>
      </c>
      <c r="B96" s="5" t="s">
        <v>16952</v>
      </c>
    </row>
    <row r="97" ht="15.75" spans="1:2">
      <c r="A97" s="4" t="s">
        <v>356</v>
      </c>
      <c r="B97" s="5" t="s">
        <v>16952</v>
      </c>
    </row>
    <row r="98" ht="15.75" spans="1:2">
      <c r="A98" s="4" t="s">
        <v>360</v>
      </c>
      <c r="B98" s="5" t="s">
        <v>16952</v>
      </c>
    </row>
    <row r="99" ht="15.75" spans="1:2">
      <c r="A99" s="4" t="s">
        <v>363</v>
      </c>
      <c r="B99" s="5" t="s">
        <v>16952</v>
      </c>
    </row>
    <row r="100" ht="15.75" spans="1:2">
      <c r="A100" s="4" t="s">
        <v>366</v>
      </c>
      <c r="B100" s="5" t="s">
        <v>16952</v>
      </c>
    </row>
    <row r="101" ht="15.75" spans="1:2">
      <c r="A101" s="4" t="s">
        <v>370</v>
      </c>
      <c r="B101" s="5" t="s">
        <v>16952</v>
      </c>
    </row>
    <row r="102" ht="15.75" spans="1:2">
      <c r="A102" s="4" t="s">
        <v>373</v>
      </c>
      <c r="B102" s="5" t="s">
        <v>16952</v>
      </c>
    </row>
    <row r="103" ht="15.75" spans="1:2">
      <c r="A103" s="4" t="s">
        <v>376</v>
      </c>
      <c r="B103" s="5" t="s">
        <v>16952</v>
      </c>
    </row>
    <row r="104" ht="15.75" spans="1:2">
      <c r="A104" s="4" t="s">
        <v>380</v>
      </c>
      <c r="B104" s="5" t="s">
        <v>16952</v>
      </c>
    </row>
    <row r="105" ht="15.75" spans="1:2">
      <c r="A105" s="4" t="s">
        <v>383</v>
      </c>
      <c r="B105" s="5" t="s">
        <v>16952</v>
      </c>
    </row>
    <row r="106" ht="15.75" spans="1:2">
      <c r="A106" s="4" t="s">
        <v>387</v>
      </c>
      <c r="B106" s="5" t="s">
        <v>16952</v>
      </c>
    </row>
    <row r="107" ht="15.75" spans="1:2">
      <c r="A107" s="4" t="s">
        <v>391</v>
      </c>
      <c r="B107" s="5" t="s">
        <v>16952</v>
      </c>
    </row>
    <row r="108" ht="15.75" spans="1:2">
      <c r="A108" s="4" t="s">
        <v>394</v>
      </c>
      <c r="B108" s="5" t="s">
        <v>16952</v>
      </c>
    </row>
    <row r="109" ht="15.75" spans="1:2">
      <c r="A109" s="4" t="s">
        <v>397</v>
      </c>
      <c r="B109" s="5" t="s">
        <v>16952</v>
      </c>
    </row>
    <row r="110" ht="15.75" spans="1:2">
      <c r="A110" s="4" t="s">
        <v>402</v>
      </c>
      <c r="B110" s="5" t="s">
        <v>16952</v>
      </c>
    </row>
    <row r="111" ht="15.75" spans="1:2">
      <c r="A111" s="4" t="s">
        <v>406</v>
      </c>
      <c r="B111" s="8"/>
    </row>
    <row r="112" ht="15.75" spans="1:2">
      <c r="A112" s="4" t="s">
        <v>411</v>
      </c>
      <c r="B112" s="5" t="s">
        <v>16952</v>
      </c>
    </row>
    <row r="113" ht="31.5" spans="1:2">
      <c r="A113" s="4" t="s">
        <v>415</v>
      </c>
      <c r="B113" s="8" t="s">
        <v>16953</v>
      </c>
    </row>
    <row r="114" ht="15.75" spans="1:2">
      <c r="A114" s="4" t="s">
        <v>416</v>
      </c>
      <c r="B114" s="5" t="s">
        <v>16952</v>
      </c>
    </row>
    <row r="115" ht="15.75" spans="1:2">
      <c r="A115" s="4" t="s">
        <v>420</v>
      </c>
      <c r="B115" s="5" t="s">
        <v>16952</v>
      </c>
    </row>
    <row r="116" ht="15.75" spans="1:2">
      <c r="A116" s="4" t="s">
        <v>423</v>
      </c>
      <c r="B116" s="5" t="s">
        <v>16952</v>
      </c>
    </row>
    <row r="117" ht="15.75" spans="1:2">
      <c r="A117" s="4" t="s">
        <v>427</v>
      </c>
      <c r="B117" s="5" t="s">
        <v>16952</v>
      </c>
    </row>
    <row r="118" ht="15.75" spans="1:2">
      <c r="A118" s="4" t="s">
        <v>430</v>
      </c>
      <c r="B118" s="5" t="s">
        <v>16952</v>
      </c>
    </row>
    <row r="119" ht="15.75" spans="1:2">
      <c r="A119" s="4" t="s">
        <v>433</v>
      </c>
      <c r="B119" s="5" t="s">
        <v>16952</v>
      </c>
    </row>
    <row r="120" ht="15.75" spans="1:2">
      <c r="A120" s="4" t="s">
        <v>437</v>
      </c>
      <c r="B120" s="5" t="s">
        <v>16952</v>
      </c>
    </row>
    <row r="121" ht="15.75" spans="1:2">
      <c r="A121" s="9" t="s">
        <v>442</v>
      </c>
      <c r="B121" s="10" t="s">
        <v>16952</v>
      </c>
    </row>
    <row r="122" ht="15.75" spans="1:2">
      <c r="A122" s="9" t="s">
        <v>442</v>
      </c>
      <c r="B122" s="10" t="s">
        <v>16952</v>
      </c>
    </row>
    <row r="123" ht="15.75" spans="1:2">
      <c r="A123" s="9" t="s">
        <v>442</v>
      </c>
      <c r="B123" s="10" t="s">
        <v>16952</v>
      </c>
    </row>
    <row r="124" ht="15.75" spans="1:2">
      <c r="A124" s="4" t="s">
        <v>447</v>
      </c>
      <c r="B124" s="5" t="s">
        <v>16952</v>
      </c>
    </row>
    <row r="125" ht="15.75" spans="1:2">
      <c r="A125" s="4" t="s">
        <v>452</v>
      </c>
      <c r="B125" s="5" t="s">
        <v>16952</v>
      </c>
    </row>
    <row r="126" ht="15.75" spans="1:2">
      <c r="A126" s="4" t="s">
        <v>455</v>
      </c>
      <c r="B126" s="5" t="s">
        <v>16952</v>
      </c>
    </row>
    <row r="127" ht="15.75" spans="1:2">
      <c r="A127" s="4" t="s">
        <v>458</v>
      </c>
      <c r="B127" s="5" t="s">
        <v>16952</v>
      </c>
    </row>
    <row r="128" ht="15.75" spans="1:2">
      <c r="A128" s="4" t="s">
        <v>462</v>
      </c>
      <c r="B128" s="5" t="s">
        <v>16952</v>
      </c>
    </row>
    <row r="129" ht="15.75" spans="1:2">
      <c r="A129" s="4" t="s">
        <v>465</v>
      </c>
      <c r="B129" s="5" t="s">
        <v>16952</v>
      </c>
    </row>
    <row r="130" ht="15.75" spans="1:2">
      <c r="A130" s="4" t="s">
        <v>469</v>
      </c>
      <c r="B130" s="5" t="s">
        <v>16952</v>
      </c>
    </row>
    <row r="131" ht="15.75" spans="1:2">
      <c r="A131" s="4" t="s">
        <v>472</v>
      </c>
      <c r="B131" s="5" t="s">
        <v>16952</v>
      </c>
    </row>
    <row r="132" ht="15.75" spans="1:2">
      <c r="A132" s="4" t="s">
        <v>476</v>
      </c>
      <c r="B132" s="5" t="s">
        <v>16952</v>
      </c>
    </row>
    <row r="133" ht="15.75" spans="1:2">
      <c r="A133" s="4" t="s">
        <v>480</v>
      </c>
      <c r="B133" s="5" t="s">
        <v>16952</v>
      </c>
    </row>
    <row r="134" ht="15.75" spans="1:2">
      <c r="A134" s="4" t="s">
        <v>484</v>
      </c>
      <c r="B134" s="5" t="s">
        <v>16952</v>
      </c>
    </row>
    <row r="135" ht="15.75" spans="1:2">
      <c r="A135" s="4" t="s">
        <v>487</v>
      </c>
      <c r="B135" s="5" t="s">
        <v>16952</v>
      </c>
    </row>
    <row r="136" ht="15.75" spans="1:2">
      <c r="A136" s="4" t="s">
        <v>491</v>
      </c>
      <c r="B136" s="5" t="s">
        <v>16952</v>
      </c>
    </row>
    <row r="137" ht="15.75" spans="1:2">
      <c r="A137" s="4" t="s">
        <v>494</v>
      </c>
      <c r="B137" s="5" t="s">
        <v>16952</v>
      </c>
    </row>
    <row r="138" ht="15.75" spans="1:2">
      <c r="A138" s="4" t="s">
        <v>498</v>
      </c>
      <c r="B138" s="5" t="s">
        <v>16952</v>
      </c>
    </row>
    <row r="139" ht="15.75" spans="1:2">
      <c r="A139" s="4" t="s">
        <v>504</v>
      </c>
      <c r="B139" s="5" t="s">
        <v>16952</v>
      </c>
    </row>
    <row r="140" ht="15.75" spans="1:2">
      <c r="A140" s="4" t="s">
        <v>508</v>
      </c>
      <c r="B140" s="5"/>
    </row>
    <row r="141" ht="15.75" spans="1:2">
      <c r="A141" s="4" t="s">
        <v>512</v>
      </c>
      <c r="B141" s="5" t="s">
        <v>16952</v>
      </c>
    </row>
    <row r="142" ht="15.75" spans="1:2">
      <c r="A142" s="4" t="s">
        <v>515</v>
      </c>
      <c r="B142" s="5" t="s">
        <v>16952</v>
      </c>
    </row>
    <row r="143" ht="15.75" spans="1:2">
      <c r="A143" s="4" t="s">
        <v>518</v>
      </c>
      <c r="B143" s="5" t="s">
        <v>16952</v>
      </c>
    </row>
    <row r="144" ht="15.75" spans="1:2">
      <c r="A144" s="4" t="s">
        <v>522</v>
      </c>
      <c r="B144" s="5" t="s">
        <v>16952</v>
      </c>
    </row>
    <row r="145" ht="15.75" spans="1:2">
      <c r="A145" s="4" t="s">
        <v>526</v>
      </c>
      <c r="B145" s="5" t="s">
        <v>16952</v>
      </c>
    </row>
    <row r="146" ht="15.75" spans="1:2">
      <c r="A146" s="4" t="s">
        <v>530</v>
      </c>
      <c r="B146" s="5" t="s">
        <v>16952</v>
      </c>
    </row>
    <row r="147" ht="15.75" spans="1:2">
      <c r="A147" s="4" t="s">
        <v>533</v>
      </c>
      <c r="B147" s="8"/>
    </row>
    <row r="148" ht="15.75" spans="1:2">
      <c r="A148" s="4" t="s">
        <v>534</v>
      </c>
      <c r="B148" s="5" t="s">
        <v>16952</v>
      </c>
    </row>
    <row r="149" ht="15.75" spans="1:2">
      <c r="A149" s="4" t="s">
        <v>538</v>
      </c>
      <c r="B149" s="5" t="s">
        <v>16952</v>
      </c>
    </row>
    <row r="150" ht="15.75" spans="1:2">
      <c r="A150" s="4" t="s">
        <v>541</v>
      </c>
      <c r="B150" s="11"/>
    </row>
    <row r="151" ht="15.75" spans="1:2">
      <c r="A151" s="4" t="s">
        <v>542</v>
      </c>
      <c r="B151" s="5" t="s">
        <v>16952</v>
      </c>
    </row>
    <row r="152" ht="15.75" spans="1:2">
      <c r="A152" s="4" t="s">
        <v>546</v>
      </c>
      <c r="B152" s="5" t="s">
        <v>16952</v>
      </c>
    </row>
    <row r="153" ht="15.75" spans="1:2">
      <c r="A153" s="4" t="s">
        <v>549</v>
      </c>
      <c r="B153" s="5" t="s">
        <v>16952</v>
      </c>
    </row>
    <row r="154" ht="15.75" spans="1:2">
      <c r="A154" s="4" t="s">
        <v>553</v>
      </c>
      <c r="B154" s="5" t="s">
        <v>16952</v>
      </c>
    </row>
    <row r="155" ht="15.75" spans="1:2">
      <c r="A155" s="4" t="s">
        <v>557</v>
      </c>
      <c r="B155" s="5" t="s">
        <v>16952</v>
      </c>
    </row>
    <row r="156" ht="15.75" spans="1:2">
      <c r="A156" s="4" t="s">
        <v>562</v>
      </c>
      <c r="B156" s="5" t="s">
        <v>16952</v>
      </c>
    </row>
    <row r="157" ht="15.75" spans="1:2">
      <c r="A157" s="4" t="s">
        <v>566</v>
      </c>
      <c r="B157" s="5" t="s">
        <v>16952</v>
      </c>
    </row>
    <row r="158" ht="15.75" spans="1:2">
      <c r="A158" s="4" t="s">
        <v>569</v>
      </c>
      <c r="B158" s="5" t="s">
        <v>16952</v>
      </c>
    </row>
    <row r="159" ht="15.75" spans="1:2">
      <c r="A159" s="4" t="s">
        <v>573</v>
      </c>
      <c r="B159" s="11"/>
    </row>
    <row r="160" ht="15.75" spans="1:2">
      <c r="A160" s="4" t="s">
        <v>574</v>
      </c>
      <c r="B160" s="5" t="s">
        <v>16952</v>
      </c>
    </row>
    <row r="161" ht="15.75" spans="1:2">
      <c r="A161" s="4" t="s">
        <v>578</v>
      </c>
      <c r="B161" s="5" t="s">
        <v>16952</v>
      </c>
    </row>
    <row r="162" ht="15.75" spans="1:2">
      <c r="A162" s="4" t="s">
        <v>581</v>
      </c>
      <c r="B162" s="5" t="s">
        <v>16952</v>
      </c>
    </row>
    <row r="163" ht="15.75" spans="1:2">
      <c r="A163" s="4" t="s">
        <v>584</v>
      </c>
      <c r="B163" s="5" t="s">
        <v>16952</v>
      </c>
    </row>
    <row r="164" ht="15.75" spans="1:2">
      <c r="A164" s="9" t="s">
        <v>588</v>
      </c>
      <c r="B164" s="10" t="s">
        <v>16952</v>
      </c>
    </row>
    <row r="165" ht="15.75" spans="1:2">
      <c r="A165" s="9" t="s">
        <v>588</v>
      </c>
      <c r="B165" s="10" t="s">
        <v>16952</v>
      </c>
    </row>
    <row r="166" ht="15.75" spans="1:2">
      <c r="A166" s="9" t="s">
        <v>593</v>
      </c>
      <c r="B166" s="12"/>
    </row>
    <row r="167" ht="15.75" spans="1:2">
      <c r="A167" s="9" t="s">
        <v>593</v>
      </c>
      <c r="B167" s="10" t="s">
        <v>16952</v>
      </c>
    </row>
    <row r="168" ht="15.75" spans="1:2">
      <c r="A168" s="9" t="s">
        <v>593</v>
      </c>
      <c r="B168" s="10" t="s">
        <v>16952</v>
      </c>
    </row>
    <row r="169" ht="15.75" spans="1:2">
      <c r="A169" s="6" t="s">
        <v>594</v>
      </c>
      <c r="B169" s="5" t="s">
        <v>16952</v>
      </c>
    </row>
    <row r="170" ht="15.75" spans="1:2">
      <c r="A170" s="6" t="s">
        <v>598</v>
      </c>
      <c r="B170" s="5" t="s">
        <v>16952</v>
      </c>
    </row>
    <row r="171" ht="15.75" spans="1:2">
      <c r="A171" s="6" t="s">
        <v>601</v>
      </c>
      <c r="B171" s="5" t="s">
        <v>16952</v>
      </c>
    </row>
    <row r="172" ht="15.75" spans="1:2">
      <c r="A172" s="6" t="s">
        <v>607</v>
      </c>
      <c r="B172" s="5" t="s">
        <v>16952</v>
      </c>
    </row>
    <row r="173" ht="15.75" spans="1:2">
      <c r="A173" s="6" t="s">
        <v>610</v>
      </c>
      <c r="B173" s="5" t="s">
        <v>16952</v>
      </c>
    </row>
    <row r="174" ht="15.75" spans="1:2">
      <c r="A174" s="6" t="s">
        <v>614</v>
      </c>
      <c r="B174" s="5" t="s">
        <v>16952</v>
      </c>
    </row>
    <row r="175" ht="15.75" spans="1:2">
      <c r="A175" s="6" t="s">
        <v>618</v>
      </c>
      <c r="B175" s="5" t="s">
        <v>16952</v>
      </c>
    </row>
    <row r="176" ht="15.75" spans="1:2">
      <c r="A176" s="6" t="s">
        <v>621</v>
      </c>
      <c r="B176" s="5" t="s">
        <v>16952</v>
      </c>
    </row>
    <row r="177" ht="15.75" spans="1:2">
      <c r="A177" s="6" t="s">
        <v>625</v>
      </c>
      <c r="B177" s="5" t="s">
        <v>16952</v>
      </c>
    </row>
    <row r="178" ht="15.75" spans="1:2">
      <c r="A178" s="6" t="s">
        <v>628</v>
      </c>
      <c r="B178" s="5" t="s">
        <v>16952</v>
      </c>
    </row>
    <row r="179" ht="15.75" spans="1:2">
      <c r="A179" s="6" t="s">
        <v>634</v>
      </c>
      <c r="B179" s="5" t="s">
        <v>16952</v>
      </c>
    </row>
    <row r="180" ht="15.75" spans="1:2">
      <c r="A180" s="6" t="s">
        <v>637</v>
      </c>
      <c r="B180" s="5" t="s">
        <v>16952</v>
      </c>
    </row>
    <row r="181" ht="15.75" spans="1:2">
      <c r="A181" s="6" t="s">
        <v>640</v>
      </c>
      <c r="B181" s="5" t="s">
        <v>16952</v>
      </c>
    </row>
    <row r="182" ht="15.75" spans="1:2">
      <c r="A182" s="6" t="s">
        <v>643</v>
      </c>
      <c r="B182" s="5" t="s">
        <v>16952</v>
      </c>
    </row>
    <row r="183" ht="15.75" spans="1:2">
      <c r="A183" s="6" t="s">
        <v>646</v>
      </c>
      <c r="B183" s="5" t="s">
        <v>16952</v>
      </c>
    </row>
    <row r="184" ht="15.75" spans="1:2">
      <c r="A184" s="6" t="s">
        <v>649</v>
      </c>
      <c r="B184" s="5" t="s">
        <v>16952</v>
      </c>
    </row>
    <row r="185" ht="15.75" spans="1:2">
      <c r="A185" s="6" t="s">
        <v>652</v>
      </c>
      <c r="B185" s="5" t="s">
        <v>16952</v>
      </c>
    </row>
    <row r="186" ht="15.75" spans="1:2">
      <c r="A186" s="6" t="s">
        <v>655</v>
      </c>
      <c r="B186" s="5" t="s">
        <v>16952</v>
      </c>
    </row>
    <row r="187" ht="15.75" spans="1:2">
      <c r="A187" s="6" t="s">
        <v>659</v>
      </c>
      <c r="B187" s="5" t="s">
        <v>16952</v>
      </c>
    </row>
    <row r="188" ht="15.75" spans="1:2">
      <c r="A188" s="6" t="s">
        <v>662</v>
      </c>
      <c r="B188" s="5" t="s">
        <v>16952</v>
      </c>
    </row>
    <row r="189" ht="15.75" spans="1:2">
      <c r="A189" s="9" t="s">
        <v>665</v>
      </c>
      <c r="B189" s="10" t="s">
        <v>16952</v>
      </c>
    </row>
    <row r="190" ht="15.75" spans="1:2">
      <c r="A190" s="9" t="s">
        <v>665</v>
      </c>
      <c r="B190" s="10" t="s">
        <v>16952</v>
      </c>
    </row>
    <row r="191" ht="15.75" spans="1:2">
      <c r="A191" s="6" t="s">
        <v>669</v>
      </c>
      <c r="B191" s="5" t="s">
        <v>16952</v>
      </c>
    </row>
    <row r="192" ht="15.75" spans="1:2">
      <c r="A192" s="6" t="s">
        <v>673</v>
      </c>
      <c r="B192" s="8"/>
    </row>
    <row r="193" ht="15.75" spans="1:2">
      <c r="A193" s="6" t="s">
        <v>674</v>
      </c>
      <c r="B193" s="5" t="s">
        <v>16952</v>
      </c>
    </row>
    <row r="194" ht="15.75" spans="1:2">
      <c r="A194" s="9" t="s">
        <v>679</v>
      </c>
      <c r="B194" s="10" t="s">
        <v>16952</v>
      </c>
    </row>
    <row r="195" ht="15.75" spans="1:2">
      <c r="A195" s="9" t="s">
        <v>679</v>
      </c>
      <c r="B195" s="10" t="s">
        <v>16952</v>
      </c>
    </row>
    <row r="196" ht="15.75" spans="1:2">
      <c r="A196" s="6" t="s">
        <v>684</v>
      </c>
      <c r="B196" s="5" t="s">
        <v>16952</v>
      </c>
    </row>
    <row r="197" ht="15.75" spans="1:2">
      <c r="A197" s="6" t="s">
        <v>687</v>
      </c>
      <c r="B197" s="13"/>
    </row>
    <row r="198" ht="31.5" spans="1:2">
      <c r="A198" s="6" t="s">
        <v>692</v>
      </c>
      <c r="B198" s="8" t="s">
        <v>16954</v>
      </c>
    </row>
    <row r="199" ht="15.75" spans="1:2">
      <c r="A199" s="6" t="s">
        <v>693</v>
      </c>
      <c r="B199" s="5" t="s">
        <v>16952</v>
      </c>
    </row>
    <row r="200" ht="15.75" spans="1:2">
      <c r="A200" s="6" t="s">
        <v>697</v>
      </c>
      <c r="B200" s="5" t="s">
        <v>16952</v>
      </c>
    </row>
    <row r="201" ht="15.75" spans="1:2">
      <c r="A201" s="6" t="s">
        <v>702</v>
      </c>
      <c r="B201" s="5" t="s">
        <v>16952</v>
      </c>
    </row>
    <row r="202" ht="15.75" spans="1:2">
      <c r="A202" s="6" t="s">
        <v>707</v>
      </c>
      <c r="B202" s="5" t="s">
        <v>16952</v>
      </c>
    </row>
    <row r="203" ht="15.75" spans="1:2">
      <c r="A203" s="6" t="s">
        <v>712</v>
      </c>
      <c r="B203" s="5" t="s">
        <v>16952</v>
      </c>
    </row>
    <row r="204" ht="15.75" spans="1:2">
      <c r="A204" s="6" t="s">
        <v>716</v>
      </c>
      <c r="B204" s="5" t="s">
        <v>16952</v>
      </c>
    </row>
    <row r="205" ht="15.75" spans="1:2">
      <c r="A205" s="6" t="s">
        <v>720</v>
      </c>
      <c r="B205" s="5" t="s">
        <v>16952</v>
      </c>
    </row>
    <row r="206" ht="15.75" spans="1:2">
      <c r="A206" s="6" t="s">
        <v>724</v>
      </c>
      <c r="B206" s="5" t="s">
        <v>16952</v>
      </c>
    </row>
    <row r="207" ht="15.75" spans="1:2">
      <c r="A207" s="6" t="s">
        <v>728</v>
      </c>
      <c r="B207" s="5" t="s">
        <v>16952</v>
      </c>
    </row>
    <row r="208" ht="15.75" spans="1:2">
      <c r="A208" s="6" t="s">
        <v>732</v>
      </c>
      <c r="B208" s="5" t="s">
        <v>16952</v>
      </c>
    </row>
    <row r="209" ht="15.75" spans="1:2">
      <c r="A209" s="6" t="s">
        <v>736</v>
      </c>
      <c r="B209" s="5" t="s">
        <v>16952</v>
      </c>
    </row>
    <row r="210" ht="15.75" spans="1:2">
      <c r="A210" s="6" t="s">
        <v>739</v>
      </c>
      <c r="B210" s="5"/>
    </row>
    <row r="211" ht="15.75" spans="1:2">
      <c r="A211" s="6" t="s">
        <v>743</v>
      </c>
      <c r="B211" s="5" t="s">
        <v>16952</v>
      </c>
    </row>
    <row r="212" ht="15.75" spans="1:2">
      <c r="A212" s="6" t="s">
        <v>747</v>
      </c>
      <c r="B212" s="5" t="s">
        <v>16952</v>
      </c>
    </row>
    <row r="213" ht="15.75" spans="1:2">
      <c r="A213" s="6" t="s">
        <v>751</v>
      </c>
      <c r="B213" s="5" t="s">
        <v>16952</v>
      </c>
    </row>
    <row r="214" ht="15.75" spans="1:2">
      <c r="A214" s="9" t="s">
        <v>756</v>
      </c>
      <c r="B214" s="10" t="s">
        <v>16952</v>
      </c>
    </row>
    <row r="215" ht="15.75" spans="1:2">
      <c r="A215" s="9" t="s">
        <v>756</v>
      </c>
      <c r="B215" s="10" t="s">
        <v>16952</v>
      </c>
    </row>
    <row r="216" ht="15.75" spans="1:2">
      <c r="A216" s="6" t="s">
        <v>761</v>
      </c>
      <c r="B216" s="5" t="s">
        <v>16952</v>
      </c>
    </row>
    <row r="217" ht="15.75" spans="1:2">
      <c r="A217" s="6" t="s">
        <v>766</v>
      </c>
      <c r="B217" s="5" t="s">
        <v>16952</v>
      </c>
    </row>
    <row r="218" ht="15.75" spans="1:2">
      <c r="A218" s="6" t="s">
        <v>770</v>
      </c>
      <c r="B218" s="5" t="s">
        <v>16952</v>
      </c>
    </row>
    <row r="219" ht="15.75" spans="1:2">
      <c r="A219" s="6" t="s">
        <v>774</v>
      </c>
      <c r="B219" s="5" t="s">
        <v>16952</v>
      </c>
    </row>
    <row r="220" ht="15.75" spans="1:2">
      <c r="A220" s="6" t="s">
        <v>777</v>
      </c>
      <c r="B220" s="5" t="s">
        <v>16952</v>
      </c>
    </row>
    <row r="221" ht="15.75" spans="1:2">
      <c r="A221" s="6" t="s">
        <v>780</v>
      </c>
      <c r="B221" s="5" t="s">
        <v>16952</v>
      </c>
    </row>
    <row r="222" ht="15.75" spans="1:2">
      <c r="A222" s="6" t="s">
        <v>783</v>
      </c>
      <c r="B222" s="5" t="s">
        <v>16952</v>
      </c>
    </row>
    <row r="223" ht="15.75" spans="1:2">
      <c r="A223" s="6" t="s">
        <v>786</v>
      </c>
      <c r="B223" s="5" t="s">
        <v>16952</v>
      </c>
    </row>
    <row r="224" ht="15.75" spans="1:2">
      <c r="A224" s="6" t="s">
        <v>789</v>
      </c>
      <c r="B224" s="5" t="s">
        <v>16952</v>
      </c>
    </row>
    <row r="225" ht="15.75" spans="1:2">
      <c r="A225" s="6" t="s">
        <v>793</v>
      </c>
      <c r="B225" s="5" t="s">
        <v>16952</v>
      </c>
    </row>
    <row r="226" ht="15.75" spans="1:2">
      <c r="A226" s="6" t="s">
        <v>796</v>
      </c>
      <c r="B226" s="5" t="s">
        <v>16952</v>
      </c>
    </row>
    <row r="227" ht="15.75" spans="1:2">
      <c r="A227" s="6" t="s">
        <v>799</v>
      </c>
      <c r="B227" s="5" t="s">
        <v>16952</v>
      </c>
    </row>
    <row r="228" ht="15.75" spans="1:2">
      <c r="A228" s="6" t="s">
        <v>802</v>
      </c>
      <c r="B228" s="5" t="s">
        <v>16952</v>
      </c>
    </row>
    <row r="229" ht="15.75" spans="1:2">
      <c r="A229" s="6" t="s">
        <v>805</v>
      </c>
      <c r="B229" s="5" t="s">
        <v>16952</v>
      </c>
    </row>
    <row r="230" ht="15.75" spans="1:2">
      <c r="A230" s="6" t="s">
        <v>808</v>
      </c>
      <c r="B230" s="5" t="s">
        <v>16952</v>
      </c>
    </row>
    <row r="231" ht="15.75" spans="1:2">
      <c r="A231" s="6" t="s">
        <v>812</v>
      </c>
      <c r="B231" s="5" t="s">
        <v>16952</v>
      </c>
    </row>
    <row r="232" ht="15.75" spans="1:2">
      <c r="A232" s="6" t="s">
        <v>815</v>
      </c>
      <c r="B232" s="5" t="s">
        <v>16952</v>
      </c>
    </row>
    <row r="233" ht="15.75" spans="1:2">
      <c r="A233" s="6" t="s">
        <v>818</v>
      </c>
      <c r="B233" s="5" t="s">
        <v>16952</v>
      </c>
    </row>
    <row r="234" ht="15.75" spans="1:2">
      <c r="A234" s="6" t="s">
        <v>821</v>
      </c>
      <c r="B234" s="5" t="s">
        <v>16952</v>
      </c>
    </row>
    <row r="235" ht="15.75" spans="1:2">
      <c r="A235" s="6" t="s">
        <v>824</v>
      </c>
      <c r="B235" s="5" t="s">
        <v>16952</v>
      </c>
    </row>
    <row r="236" ht="15.75" spans="1:2">
      <c r="A236" s="6" t="s">
        <v>828</v>
      </c>
      <c r="B236" s="5" t="s">
        <v>16952</v>
      </c>
    </row>
    <row r="237" ht="15.75" spans="1:2">
      <c r="A237" s="6" t="s">
        <v>831</v>
      </c>
      <c r="B237" s="5" t="s">
        <v>16952</v>
      </c>
    </row>
    <row r="238" ht="15.75" spans="1:2">
      <c r="A238" s="6" t="s">
        <v>834</v>
      </c>
      <c r="B238" s="5" t="s">
        <v>16952</v>
      </c>
    </row>
    <row r="239" ht="15.75" spans="1:2">
      <c r="A239" s="6" t="s">
        <v>837</v>
      </c>
      <c r="B239" s="5" t="s">
        <v>16952</v>
      </c>
    </row>
    <row r="240" ht="15.75" spans="1:2">
      <c r="A240" s="9" t="s">
        <v>841</v>
      </c>
      <c r="B240" s="10" t="s">
        <v>16952</v>
      </c>
    </row>
    <row r="241" ht="15.75" spans="1:2">
      <c r="A241" s="9" t="s">
        <v>841</v>
      </c>
      <c r="B241" s="10" t="s">
        <v>16952</v>
      </c>
    </row>
    <row r="242" ht="15.75" spans="1:2">
      <c r="A242" s="6" t="s">
        <v>845</v>
      </c>
      <c r="B242" s="5" t="s">
        <v>16952</v>
      </c>
    </row>
    <row r="243" ht="15.75" spans="1:2">
      <c r="A243" s="6" t="s">
        <v>850</v>
      </c>
      <c r="B243" s="5" t="s">
        <v>16952</v>
      </c>
    </row>
    <row r="244" ht="15.75" spans="1:2">
      <c r="A244" s="6" t="s">
        <v>853</v>
      </c>
      <c r="B244" s="5" t="s">
        <v>16952</v>
      </c>
    </row>
    <row r="245" ht="15.75" spans="1:2">
      <c r="A245" s="6" t="s">
        <v>856</v>
      </c>
      <c r="B245" s="8"/>
    </row>
    <row r="246" ht="15.75" spans="1:2">
      <c r="A246" s="6" t="s">
        <v>857</v>
      </c>
      <c r="B246" s="5" t="s">
        <v>16952</v>
      </c>
    </row>
    <row r="247" ht="15.75" spans="1:2">
      <c r="A247" s="6" t="s">
        <v>860</v>
      </c>
      <c r="B247" s="5" t="s">
        <v>16952</v>
      </c>
    </row>
    <row r="248" ht="15.75" spans="1:2">
      <c r="A248" s="6" t="s">
        <v>863</v>
      </c>
      <c r="B248" s="5" t="s">
        <v>16952</v>
      </c>
    </row>
    <row r="249" ht="15.75" spans="1:2">
      <c r="A249" s="6" t="s">
        <v>867</v>
      </c>
      <c r="B249" s="5" t="s">
        <v>16952</v>
      </c>
    </row>
    <row r="250" ht="15.75" spans="1:2">
      <c r="A250" s="6" t="s">
        <v>871</v>
      </c>
      <c r="B250" s="5" t="s">
        <v>16952</v>
      </c>
    </row>
    <row r="251" ht="15.75" spans="1:2">
      <c r="A251" s="6" t="s">
        <v>874</v>
      </c>
      <c r="B251" s="5" t="s">
        <v>16952</v>
      </c>
    </row>
    <row r="252" ht="15.75" spans="1:2">
      <c r="A252" s="6" t="s">
        <v>877</v>
      </c>
      <c r="B252" s="5" t="s">
        <v>16952</v>
      </c>
    </row>
    <row r="253" ht="15.75" spans="1:2">
      <c r="A253" s="6" t="s">
        <v>881</v>
      </c>
      <c r="B253" s="11"/>
    </row>
    <row r="254" ht="15.75" spans="1:2">
      <c r="A254" s="6" t="s">
        <v>882</v>
      </c>
      <c r="B254" s="5" t="s">
        <v>16952</v>
      </c>
    </row>
    <row r="255" ht="15.75" spans="1:2">
      <c r="A255" s="6" t="s">
        <v>886</v>
      </c>
      <c r="B255" s="5" t="s">
        <v>16952</v>
      </c>
    </row>
    <row r="256" ht="15.75" spans="1:2">
      <c r="A256" s="6" t="s">
        <v>889</v>
      </c>
      <c r="B256" s="5" t="s">
        <v>16952</v>
      </c>
    </row>
    <row r="257" ht="15.75" spans="1:2">
      <c r="A257" s="6" t="s">
        <v>892</v>
      </c>
      <c r="B257" s="5" t="s">
        <v>16952</v>
      </c>
    </row>
    <row r="258" ht="15.75" spans="1:2">
      <c r="A258" s="6" t="s">
        <v>896</v>
      </c>
      <c r="B258" s="5" t="s">
        <v>16952</v>
      </c>
    </row>
    <row r="259" ht="15.75" spans="1:2">
      <c r="A259" s="6" t="s">
        <v>899</v>
      </c>
      <c r="B259" s="5" t="s">
        <v>16952</v>
      </c>
    </row>
    <row r="260" ht="15.75" spans="1:2">
      <c r="A260" s="6" t="s">
        <v>903</v>
      </c>
      <c r="B260" s="5" t="s">
        <v>16952</v>
      </c>
    </row>
    <row r="261" ht="15.75" spans="1:2">
      <c r="A261" s="6" t="s">
        <v>906</v>
      </c>
      <c r="B261" s="5" t="s">
        <v>16952</v>
      </c>
    </row>
    <row r="262" ht="15.75" spans="1:2">
      <c r="A262" s="6" t="s">
        <v>910</v>
      </c>
      <c r="B262" s="5" t="s">
        <v>16952</v>
      </c>
    </row>
    <row r="263" ht="15.75" spans="1:2">
      <c r="A263" s="6" t="s">
        <v>914</v>
      </c>
      <c r="B263" s="5" t="s">
        <v>16952</v>
      </c>
    </row>
    <row r="264" ht="15.75" spans="1:2">
      <c r="A264" s="6" t="s">
        <v>917</v>
      </c>
      <c r="B264" s="5" t="s">
        <v>16952</v>
      </c>
    </row>
    <row r="265" ht="15.75" spans="1:2">
      <c r="A265" s="6" t="s">
        <v>920</v>
      </c>
      <c r="B265" s="5" t="s">
        <v>16952</v>
      </c>
    </row>
    <row r="266" ht="15.75" spans="1:2">
      <c r="A266" s="6" t="s">
        <v>924</v>
      </c>
      <c r="B266" s="5" t="s">
        <v>16952</v>
      </c>
    </row>
    <row r="267" ht="15.75" spans="1:2">
      <c r="A267" s="6" t="s">
        <v>927</v>
      </c>
      <c r="B267" s="5" t="s">
        <v>16952</v>
      </c>
    </row>
    <row r="268" ht="15.75" spans="1:2">
      <c r="A268" s="6" t="s">
        <v>930</v>
      </c>
      <c r="B268" s="5" t="s">
        <v>16952</v>
      </c>
    </row>
    <row r="269" ht="15.75" spans="1:2">
      <c r="A269" s="6" t="s">
        <v>933</v>
      </c>
      <c r="B269" s="5" t="s">
        <v>16952</v>
      </c>
    </row>
    <row r="270" ht="15.75" spans="1:2">
      <c r="A270" s="6" t="s">
        <v>937</v>
      </c>
      <c r="B270" s="5" t="s">
        <v>16952</v>
      </c>
    </row>
    <row r="271" ht="15.75" spans="1:2">
      <c r="A271" s="6" t="s">
        <v>941</v>
      </c>
      <c r="B271" s="5" t="s">
        <v>16952</v>
      </c>
    </row>
    <row r="272" ht="15.75" spans="1:2">
      <c r="A272" s="6" t="s">
        <v>944</v>
      </c>
      <c r="B272" s="5" t="s">
        <v>16952</v>
      </c>
    </row>
    <row r="273" ht="15.75" spans="1:2">
      <c r="A273" s="6" t="s">
        <v>947</v>
      </c>
      <c r="B273" s="5" t="s">
        <v>16952</v>
      </c>
    </row>
    <row r="274" ht="15.75" spans="1:2">
      <c r="A274" s="6" t="s">
        <v>951</v>
      </c>
      <c r="B274" s="5" t="s">
        <v>16952</v>
      </c>
    </row>
    <row r="275" ht="15.75" spans="1:2">
      <c r="A275" s="6" t="s">
        <v>954</v>
      </c>
      <c r="B275" s="5" t="s">
        <v>16952</v>
      </c>
    </row>
    <row r="276" ht="15.75" spans="1:2">
      <c r="A276" s="6" t="s">
        <v>957</v>
      </c>
      <c r="B276" s="5" t="s">
        <v>16952</v>
      </c>
    </row>
    <row r="277" ht="15.75" spans="1:2">
      <c r="A277" s="9" t="s">
        <v>961</v>
      </c>
      <c r="B277" s="14"/>
    </row>
    <row r="278" ht="15.75" spans="1:2">
      <c r="A278" s="9" t="s">
        <v>961</v>
      </c>
      <c r="B278" s="12"/>
    </row>
    <row r="279" ht="15.75" spans="1:2">
      <c r="A279" s="6" t="s">
        <v>965</v>
      </c>
      <c r="B279" s="5" t="s">
        <v>16952</v>
      </c>
    </row>
    <row r="280" ht="15.75" spans="1:2">
      <c r="A280" s="6" t="s">
        <v>969</v>
      </c>
      <c r="B280" s="5" t="s">
        <v>16952</v>
      </c>
    </row>
    <row r="281" ht="15.75" spans="1:2">
      <c r="A281" s="6" t="s">
        <v>972</v>
      </c>
      <c r="B281" s="5" t="s">
        <v>16952</v>
      </c>
    </row>
    <row r="282" ht="15.75" spans="1:2">
      <c r="A282" s="6" t="s">
        <v>975</v>
      </c>
      <c r="B282" s="5" t="s">
        <v>16952</v>
      </c>
    </row>
    <row r="283" ht="15.75" spans="1:2">
      <c r="A283" s="6" t="s">
        <v>979</v>
      </c>
      <c r="B283" s="5" t="s">
        <v>16952</v>
      </c>
    </row>
    <row r="284" ht="15.75" spans="1:2">
      <c r="A284" s="6" t="s">
        <v>982</v>
      </c>
      <c r="B284" s="5" t="s">
        <v>16952</v>
      </c>
    </row>
    <row r="285" ht="15.75" spans="1:2">
      <c r="A285" s="6" t="s">
        <v>985</v>
      </c>
      <c r="B285" s="5" t="s">
        <v>16952</v>
      </c>
    </row>
    <row r="286" ht="15.75" spans="1:2">
      <c r="A286" s="6" t="s">
        <v>989</v>
      </c>
      <c r="B286" s="5" t="s">
        <v>16952</v>
      </c>
    </row>
    <row r="287" ht="15.75" spans="1:2">
      <c r="A287" s="6" t="s">
        <v>993</v>
      </c>
      <c r="B287" s="5" t="s">
        <v>16952</v>
      </c>
    </row>
    <row r="288" ht="15.75" spans="1:2">
      <c r="A288" s="6" t="s">
        <v>996</v>
      </c>
      <c r="B288" s="5" t="s">
        <v>16952</v>
      </c>
    </row>
    <row r="289" ht="15.75" spans="1:2">
      <c r="A289" s="6" t="s">
        <v>999</v>
      </c>
      <c r="B289" s="5" t="s">
        <v>16952</v>
      </c>
    </row>
    <row r="290" ht="15.75" spans="1:2">
      <c r="A290" s="6" t="s">
        <v>1002</v>
      </c>
      <c r="B290" s="5" t="s">
        <v>16952</v>
      </c>
    </row>
    <row r="291" ht="15.75" spans="1:2">
      <c r="A291" s="6" t="s">
        <v>1006</v>
      </c>
      <c r="B291" s="5" t="s">
        <v>16952</v>
      </c>
    </row>
    <row r="292" ht="15.75" spans="1:2">
      <c r="A292" s="6" t="s">
        <v>1010</v>
      </c>
      <c r="B292" s="5" t="s">
        <v>16952</v>
      </c>
    </row>
    <row r="293" ht="15.75" spans="1:2">
      <c r="A293" s="6" t="s">
        <v>1014</v>
      </c>
      <c r="B293" s="5" t="s">
        <v>16952</v>
      </c>
    </row>
    <row r="294" ht="15.75" spans="1:2">
      <c r="A294" s="6" t="s">
        <v>1017</v>
      </c>
      <c r="B294" s="5" t="s">
        <v>16952</v>
      </c>
    </row>
    <row r="295" ht="15.75" spans="1:2">
      <c r="A295" s="6" t="s">
        <v>1021</v>
      </c>
      <c r="B295" s="5" t="s">
        <v>16952</v>
      </c>
    </row>
    <row r="296" ht="15.75" spans="1:2">
      <c r="A296" s="6" t="s">
        <v>1025</v>
      </c>
      <c r="B296" s="5" t="s">
        <v>16952</v>
      </c>
    </row>
    <row r="297" ht="15.75" spans="1:2">
      <c r="A297" s="6" t="s">
        <v>1028</v>
      </c>
      <c r="B297" s="5" t="s">
        <v>16952</v>
      </c>
    </row>
    <row r="298" ht="15.75" spans="1:2">
      <c r="A298" s="6" t="s">
        <v>1031</v>
      </c>
      <c r="B298" s="5" t="s">
        <v>16952</v>
      </c>
    </row>
    <row r="299" ht="15.75" spans="1:2">
      <c r="A299" s="6" t="s">
        <v>1035</v>
      </c>
      <c r="B299" s="5" t="s">
        <v>16952</v>
      </c>
    </row>
    <row r="300" ht="15.75" spans="1:2">
      <c r="A300" s="6" t="s">
        <v>1038</v>
      </c>
      <c r="B300" s="5" t="s">
        <v>16952</v>
      </c>
    </row>
    <row r="301" ht="15.75" spans="1:2">
      <c r="A301" s="6" t="s">
        <v>1041</v>
      </c>
      <c r="B301" s="5" t="s">
        <v>16952</v>
      </c>
    </row>
    <row r="302" ht="15.75" spans="1:2">
      <c r="A302" s="6" t="s">
        <v>1044</v>
      </c>
      <c r="B302" s="5" t="s">
        <v>16952</v>
      </c>
    </row>
    <row r="303" ht="15.75" spans="1:2">
      <c r="A303" s="6" t="s">
        <v>1048</v>
      </c>
      <c r="B303" s="5" t="s">
        <v>16952</v>
      </c>
    </row>
    <row r="304" ht="15.75" spans="1:2">
      <c r="A304" s="6" t="s">
        <v>1052</v>
      </c>
      <c r="B304" s="5" t="s">
        <v>16952</v>
      </c>
    </row>
    <row r="305" ht="15.75" spans="1:2">
      <c r="A305" s="6" t="s">
        <v>1056</v>
      </c>
      <c r="B305" s="5" t="s">
        <v>16952</v>
      </c>
    </row>
    <row r="306" ht="15.75" spans="1:2">
      <c r="A306" s="6" t="s">
        <v>1059</v>
      </c>
      <c r="B306" s="5" t="s">
        <v>16952</v>
      </c>
    </row>
    <row r="307" ht="15.75" spans="1:2">
      <c r="A307" s="6" t="s">
        <v>1062</v>
      </c>
      <c r="B307" s="5" t="s">
        <v>16952</v>
      </c>
    </row>
    <row r="308" ht="15.75" spans="1:2">
      <c r="A308" s="6" t="s">
        <v>1065</v>
      </c>
      <c r="B308" s="5" t="s">
        <v>16952</v>
      </c>
    </row>
    <row r="309" ht="15.75" spans="1:2">
      <c r="A309" s="6" t="s">
        <v>1068</v>
      </c>
      <c r="B309" s="5" t="s">
        <v>16952</v>
      </c>
    </row>
    <row r="310" ht="15.75" spans="1:2">
      <c r="A310" s="6" t="s">
        <v>1071</v>
      </c>
      <c r="B310" s="5" t="s">
        <v>16952</v>
      </c>
    </row>
    <row r="311" ht="15.75" spans="1:2">
      <c r="A311" s="6" t="s">
        <v>1075</v>
      </c>
      <c r="B311" s="7" t="s">
        <v>16952</v>
      </c>
    </row>
    <row r="312" ht="15.75" spans="1:2">
      <c r="A312" s="6" t="s">
        <v>1078</v>
      </c>
      <c r="B312" s="7" t="s">
        <v>16952</v>
      </c>
    </row>
    <row r="313" ht="15.75" spans="1:2">
      <c r="A313" s="6" t="s">
        <v>1081</v>
      </c>
      <c r="B313" s="7" t="s">
        <v>16952</v>
      </c>
    </row>
    <row r="314" ht="15.75" spans="1:2">
      <c r="A314" s="6" t="s">
        <v>1084</v>
      </c>
      <c r="B314" s="5" t="s">
        <v>16952</v>
      </c>
    </row>
    <row r="315" ht="15.75" spans="1:2">
      <c r="A315" s="6" t="s">
        <v>1088</v>
      </c>
      <c r="B315" s="5" t="s">
        <v>16952</v>
      </c>
    </row>
    <row r="316" ht="15.75" spans="1:2">
      <c r="A316" s="6" t="s">
        <v>1091</v>
      </c>
      <c r="B316" s="5" t="s">
        <v>16952</v>
      </c>
    </row>
    <row r="317" ht="15.75" spans="1:2">
      <c r="A317" s="6" t="s">
        <v>1095</v>
      </c>
      <c r="B317" s="5" t="s">
        <v>16952</v>
      </c>
    </row>
    <row r="318" ht="15.75" spans="1:2">
      <c r="A318" s="6" t="s">
        <v>1099</v>
      </c>
      <c r="B318" s="5" t="s">
        <v>16952</v>
      </c>
    </row>
    <row r="319" ht="15.75" spans="1:2">
      <c r="A319" s="6" t="s">
        <v>1103</v>
      </c>
      <c r="B319" s="5" t="s">
        <v>16952</v>
      </c>
    </row>
    <row r="320" ht="15.75" spans="1:2">
      <c r="A320" s="6" t="s">
        <v>1107</v>
      </c>
      <c r="B320" s="5" t="s">
        <v>16952</v>
      </c>
    </row>
    <row r="321" ht="15.75" spans="1:2">
      <c r="A321" s="6" t="s">
        <v>1110</v>
      </c>
      <c r="B321" s="5" t="s">
        <v>16952</v>
      </c>
    </row>
    <row r="322" ht="15.75" spans="1:2">
      <c r="A322" s="6" t="s">
        <v>1114</v>
      </c>
      <c r="B322" s="5" t="s">
        <v>16952</v>
      </c>
    </row>
    <row r="323" ht="15.75" spans="1:2">
      <c r="A323" s="6" t="s">
        <v>1118</v>
      </c>
      <c r="B323" s="5" t="s">
        <v>16952</v>
      </c>
    </row>
    <row r="324" ht="15.75" spans="1:2">
      <c r="A324" s="6" t="s">
        <v>1122</v>
      </c>
      <c r="B324" s="5" t="s">
        <v>16952</v>
      </c>
    </row>
    <row r="325" ht="15.75" spans="1:2">
      <c r="A325" s="6" t="s">
        <v>1125</v>
      </c>
      <c r="B325" s="5" t="s">
        <v>16952</v>
      </c>
    </row>
    <row r="326" ht="15.75" spans="1:2">
      <c r="A326" s="6" t="s">
        <v>1129</v>
      </c>
      <c r="B326" s="5" t="s">
        <v>16952</v>
      </c>
    </row>
    <row r="327" ht="15.75" spans="1:2">
      <c r="A327" s="6" t="s">
        <v>1133</v>
      </c>
      <c r="B327" s="5" t="s">
        <v>16952</v>
      </c>
    </row>
    <row r="328" ht="15.75" spans="1:2">
      <c r="A328" s="6" t="s">
        <v>1136</v>
      </c>
      <c r="B328" s="5" t="s">
        <v>16952</v>
      </c>
    </row>
    <row r="329" ht="15.75" spans="1:2">
      <c r="A329" s="6" t="s">
        <v>1140</v>
      </c>
      <c r="B329" s="5" t="s">
        <v>16952</v>
      </c>
    </row>
    <row r="330" ht="15.75" spans="1:2">
      <c r="A330" s="6" t="s">
        <v>1144</v>
      </c>
      <c r="B330" s="5" t="s">
        <v>16952</v>
      </c>
    </row>
    <row r="331" ht="15.75" spans="1:2">
      <c r="A331" s="6" t="s">
        <v>1147</v>
      </c>
      <c r="B331" s="5" t="s">
        <v>16952</v>
      </c>
    </row>
    <row r="332" ht="15.75" spans="1:2">
      <c r="A332" s="6" t="s">
        <v>1150</v>
      </c>
      <c r="B332" s="5" t="s">
        <v>16952</v>
      </c>
    </row>
    <row r="333" ht="15.75" spans="1:2">
      <c r="A333" s="6" t="s">
        <v>1153</v>
      </c>
      <c r="B333" s="5" t="s">
        <v>16952</v>
      </c>
    </row>
    <row r="334" ht="15.75" spans="1:2">
      <c r="A334" s="6" t="s">
        <v>1157</v>
      </c>
      <c r="B334" s="5" t="s">
        <v>16952</v>
      </c>
    </row>
    <row r="335" ht="15.75" spans="1:2">
      <c r="A335" s="6" t="s">
        <v>1161</v>
      </c>
      <c r="B335" s="5" t="s">
        <v>16952</v>
      </c>
    </row>
    <row r="336" ht="15.75" spans="1:2">
      <c r="A336" s="6" t="s">
        <v>1164</v>
      </c>
      <c r="B336" s="5" t="s">
        <v>16952</v>
      </c>
    </row>
    <row r="337" ht="15.75" spans="1:2">
      <c r="A337" s="6" t="s">
        <v>1168</v>
      </c>
      <c r="B337" s="5" t="s">
        <v>16952</v>
      </c>
    </row>
    <row r="338" ht="15.75" spans="1:2">
      <c r="A338" s="6" t="s">
        <v>1172</v>
      </c>
      <c r="B338" s="5" t="s">
        <v>16952</v>
      </c>
    </row>
    <row r="339" ht="15.75" spans="1:2">
      <c r="A339" s="6" t="s">
        <v>1176</v>
      </c>
      <c r="B339" s="5" t="s">
        <v>16952</v>
      </c>
    </row>
    <row r="340" ht="15.75" spans="1:2">
      <c r="A340" s="6" t="s">
        <v>1180</v>
      </c>
      <c r="B340" s="10" t="s">
        <v>16952</v>
      </c>
    </row>
    <row r="341" ht="15.75" spans="1:2">
      <c r="A341" s="6" t="s">
        <v>1180</v>
      </c>
      <c r="B341" s="10" t="s">
        <v>16952</v>
      </c>
    </row>
    <row r="342" ht="15.75" spans="1:2">
      <c r="A342" s="6" t="s">
        <v>1185</v>
      </c>
      <c r="B342" s="5" t="s">
        <v>16952</v>
      </c>
    </row>
    <row r="343" ht="15.75" spans="1:2">
      <c r="A343" s="6" t="s">
        <v>1188</v>
      </c>
      <c r="B343" s="5" t="s">
        <v>16952</v>
      </c>
    </row>
    <row r="344" ht="15.75" spans="1:2">
      <c r="A344" s="6" t="s">
        <v>1192</v>
      </c>
      <c r="B344" s="5" t="s">
        <v>16952</v>
      </c>
    </row>
    <row r="345" ht="15.75" spans="1:2">
      <c r="A345" s="6" t="s">
        <v>1195</v>
      </c>
      <c r="B345" s="5" t="s">
        <v>16952</v>
      </c>
    </row>
    <row r="346" ht="15.75" spans="1:2">
      <c r="A346" s="6" t="s">
        <v>1199</v>
      </c>
      <c r="B346" s="5" t="s">
        <v>16952</v>
      </c>
    </row>
    <row r="347" ht="15.75" spans="1:2">
      <c r="A347" s="6" t="s">
        <v>1203</v>
      </c>
      <c r="B347" s="5" t="s">
        <v>16952</v>
      </c>
    </row>
    <row r="348" ht="15.75" spans="1:2">
      <c r="A348" s="6" t="s">
        <v>1206</v>
      </c>
      <c r="B348" s="5" t="s">
        <v>16952</v>
      </c>
    </row>
    <row r="349" ht="15.75" spans="1:2">
      <c r="A349" s="6" t="s">
        <v>1210</v>
      </c>
      <c r="B349" s="5" t="s">
        <v>16952</v>
      </c>
    </row>
    <row r="350" ht="15.75" spans="1:2">
      <c r="A350" s="6" t="s">
        <v>1214</v>
      </c>
      <c r="B350" s="5" t="s">
        <v>16952</v>
      </c>
    </row>
    <row r="351" ht="15.75" spans="1:2">
      <c r="A351" s="6" t="s">
        <v>1219</v>
      </c>
      <c r="B351" s="5" t="s">
        <v>16952</v>
      </c>
    </row>
    <row r="352" ht="15.75" spans="1:2">
      <c r="A352" s="6" t="s">
        <v>1223</v>
      </c>
      <c r="B352" s="5" t="s">
        <v>16952</v>
      </c>
    </row>
    <row r="353" ht="15.75" spans="1:2">
      <c r="A353" s="6" t="s">
        <v>1226</v>
      </c>
      <c r="B353" s="5" t="s">
        <v>16952</v>
      </c>
    </row>
    <row r="354" ht="15.75" spans="1:2">
      <c r="A354" s="6" t="s">
        <v>1229</v>
      </c>
      <c r="B354" s="5" t="s">
        <v>16952</v>
      </c>
    </row>
    <row r="355" ht="15.75" spans="1:2">
      <c r="A355" s="6" t="s">
        <v>1232</v>
      </c>
      <c r="B355" s="5" t="s">
        <v>16952</v>
      </c>
    </row>
    <row r="356" ht="15.75" spans="1:2">
      <c r="A356" s="6" t="s">
        <v>1236</v>
      </c>
      <c r="B356" s="5" t="s">
        <v>16952</v>
      </c>
    </row>
    <row r="357" ht="15.75" spans="1:2">
      <c r="A357" s="6" t="s">
        <v>1239</v>
      </c>
      <c r="B357" s="5" t="s">
        <v>16952</v>
      </c>
    </row>
    <row r="358" ht="15.75" spans="1:2">
      <c r="A358" s="6" t="s">
        <v>1242</v>
      </c>
      <c r="B358" s="5" t="s">
        <v>16952</v>
      </c>
    </row>
    <row r="359" ht="15.75" spans="1:2">
      <c r="A359" s="6" t="s">
        <v>1245</v>
      </c>
      <c r="B359" s="5" t="s">
        <v>16952</v>
      </c>
    </row>
    <row r="360" ht="15.75" spans="1:2">
      <c r="A360" s="6" t="s">
        <v>1248</v>
      </c>
      <c r="B360" s="5" t="s">
        <v>16952</v>
      </c>
    </row>
    <row r="361" ht="15.75" spans="1:2">
      <c r="A361" s="6" t="s">
        <v>1251</v>
      </c>
      <c r="B361" s="5" t="s">
        <v>16952</v>
      </c>
    </row>
    <row r="362" ht="15.75" spans="1:2">
      <c r="A362" s="6" t="s">
        <v>1254</v>
      </c>
      <c r="B362" s="5" t="s">
        <v>16952</v>
      </c>
    </row>
    <row r="363" ht="15.75" spans="1:2">
      <c r="A363" s="6" t="s">
        <v>1257</v>
      </c>
      <c r="B363" s="5" t="s">
        <v>16952</v>
      </c>
    </row>
    <row r="364" ht="15.75" spans="1:2">
      <c r="A364" s="6" t="s">
        <v>1261</v>
      </c>
      <c r="B364" s="5" t="s">
        <v>16952</v>
      </c>
    </row>
    <row r="365" ht="15.75" spans="1:2">
      <c r="A365" s="6" t="s">
        <v>1264</v>
      </c>
      <c r="B365" s="5" t="s">
        <v>16952</v>
      </c>
    </row>
    <row r="366" ht="15.75" spans="1:2">
      <c r="A366" s="6" t="s">
        <v>1267</v>
      </c>
      <c r="B366" s="5" t="s">
        <v>16952</v>
      </c>
    </row>
    <row r="367" ht="15.75" spans="1:2">
      <c r="A367" s="6" t="s">
        <v>1270</v>
      </c>
      <c r="B367" s="5" t="s">
        <v>16952</v>
      </c>
    </row>
    <row r="368" ht="15.75" spans="1:2">
      <c r="A368" s="6" t="s">
        <v>1273</v>
      </c>
      <c r="B368" s="5" t="s">
        <v>16952</v>
      </c>
    </row>
    <row r="369" ht="15.75" spans="1:2">
      <c r="A369" s="6" t="s">
        <v>1277</v>
      </c>
      <c r="B369" s="5" t="s">
        <v>16952</v>
      </c>
    </row>
    <row r="370" ht="15.75" spans="1:2">
      <c r="A370" s="6" t="s">
        <v>1282</v>
      </c>
      <c r="B370" s="5" t="s">
        <v>16952</v>
      </c>
    </row>
    <row r="371" ht="15.75" spans="1:2">
      <c r="A371" s="6" t="s">
        <v>1287</v>
      </c>
      <c r="B371" s="5" t="s">
        <v>16952</v>
      </c>
    </row>
    <row r="372" ht="15.75" spans="1:2">
      <c r="A372" s="6" t="s">
        <v>1291</v>
      </c>
      <c r="B372" s="5" t="s">
        <v>16952</v>
      </c>
    </row>
    <row r="373" ht="15.75" spans="1:2">
      <c r="A373" s="6" t="s">
        <v>1294</v>
      </c>
      <c r="B373" s="5" t="s">
        <v>16952</v>
      </c>
    </row>
    <row r="374" ht="15.75" spans="1:2">
      <c r="A374" s="6" t="s">
        <v>1297</v>
      </c>
      <c r="B374" s="5" t="s">
        <v>16952</v>
      </c>
    </row>
    <row r="375" ht="15.75" spans="1:2">
      <c r="A375" s="6" t="s">
        <v>1302</v>
      </c>
      <c r="B375" s="5" t="s">
        <v>16952</v>
      </c>
    </row>
    <row r="376" ht="15.75" spans="1:2">
      <c r="A376" s="6" t="s">
        <v>1306</v>
      </c>
      <c r="B376" s="5" t="s">
        <v>16952</v>
      </c>
    </row>
    <row r="377" ht="15.75" spans="1:2">
      <c r="A377" s="6" t="s">
        <v>1309</v>
      </c>
      <c r="B377" s="5" t="s">
        <v>16952</v>
      </c>
    </row>
    <row r="378" ht="15.75" spans="1:2">
      <c r="A378" s="6" t="s">
        <v>1312</v>
      </c>
      <c r="B378" s="5" t="s">
        <v>16952</v>
      </c>
    </row>
    <row r="379" ht="15.75" spans="1:2">
      <c r="A379" s="6" t="s">
        <v>1315</v>
      </c>
      <c r="B379" s="8"/>
    </row>
    <row r="380" ht="15.75" spans="1:2">
      <c r="A380" s="6" t="s">
        <v>1316</v>
      </c>
      <c r="B380" s="5" t="s">
        <v>16952</v>
      </c>
    </row>
    <row r="381" ht="15.75" spans="1:2">
      <c r="A381" s="6" t="s">
        <v>1319</v>
      </c>
      <c r="B381" s="5" t="s">
        <v>16952</v>
      </c>
    </row>
    <row r="382" ht="15.75" spans="1:2">
      <c r="A382" s="6" t="s">
        <v>1322</v>
      </c>
      <c r="B382" s="5" t="s">
        <v>16952</v>
      </c>
    </row>
    <row r="383" ht="15.75" spans="1:2">
      <c r="A383" s="6" t="s">
        <v>1325</v>
      </c>
      <c r="B383" s="5" t="s">
        <v>16952</v>
      </c>
    </row>
    <row r="384" ht="15.75" spans="1:2">
      <c r="A384" s="6" t="s">
        <v>1329</v>
      </c>
      <c r="B384" s="5" t="s">
        <v>16952</v>
      </c>
    </row>
    <row r="385" ht="15.75" spans="1:2">
      <c r="A385" s="6" t="s">
        <v>1332</v>
      </c>
      <c r="B385" s="5" t="s">
        <v>16952</v>
      </c>
    </row>
    <row r="386" ht="15.75" spans="1:2">
      <c r="A386" s="6" t="s">
        <v>1336</v>
      </c>
      <c r="B386" s="5" t="s">
        <v>16952</v>
      </c>
    </row>
    <row r="387" ht="15.75" spans="1:2">
      <c r="A387" s="6" t="s">
        <v>1339</v>
      </c>
      <c r="B387" s="5" t="s">
        <v>16952</v>
      </c>
    </row>
    <row r="388" ht="15.75" spans="1:2">
      <c r="A388" s="6" t="s">
        <v>1342</v>
      </c>
      <c r="B388" s="5" t="s">
        <v>16952</v>
      </c>
    </row>
    <row r="389" ht="15.75" spans="1:2">
      <c r="A389" s="6" t="s">
        <v>1346</v>
      </c>
      <c r="B389" s="5" t="s">
        <v>16952</v>
      </c>
    </row>
    <row r="390" ht="15.75" spans="1:2">
      <c r="A390" s="6" t="s">
        <v>1350</v>
      </c>
      <c r="B390" s="5" t="s">
        <v>16952</v>
      </c>
    </row>
    <row r="391" ht="15.75" spans="1:2">
      <c r="A391" s="6" t="s">
        <v>1353</v>
      </c>
      <c r="B391" s="5" t="s">
        <v>16952</v>
      </c>
    </row>
    <row r="392" ht="15.75" spans="1:2">
      <c r="A392" s="6" t="s">
        <v>1357</v>
      </c>
      <c r="B392" s="5" t="s">
        <v>16952</v>
      </c>
    </row>
    <row r="393" ht="15.75" spans="1:2">
      <c r="A393" s="6" t="s">
        <v>1360</v>
      </c>
      <c r="B393" s="5" t="s">
        <v>16952</v>
      </c>
    </row>
    <row r="394" ht="15.75" spans="1:2">
      <c r="A394" s="6" t="s">
        <v>1364</v>
      </c>
      <c r="B394" s="5" t="s">
        <v>16952</v>
      </c>
    </row>
    <row r="395" ht="15.75" spans="1:2">
      <c r="A395" s="6" t="s">
        <v>1367</v>
      </c>
      <c r="B395" s="5" t="s">
        <v>16952</v>
      </c>
    </row>
    <row r="396" ht="15.75" spans="1:2">
      <c r="A396" s="6" t="s">
        <v>1370</v>
      </c>
      <c r="B396" s="5" t="s">
        <v>16952</v>
      </c>
    </row>
    <row r="397" ht="15.75" spans="1:2">
      <c r="A397" s="6" t="s">
        <v>1375</v>
      </c>
      <c r="B397" s="5" t="s">
        <v>16952</v>
      </c>
    </row>
    <row r="398" ht="15.75" spans="1:2">
      <c r="A398" s="6" t="s">
        <v>1378</v>
      </c>
      <c r="B398" s="5" t="s">
        <v>16952</v>
      </c>
    </row>
    <row r="399" ht="15.75" spans="1:2">
      <c r="A399" s="6" t="s">
        <v>1381</v>
      </c>
      <c r="B399" s="5" t="s">
        <v>16952</v>
      </c>
    </row>
    <row r="400" ht="15.75" spans="1:2">
      <c r="A400" s="6" t="s">
        <v>1384</v>
      </c>
      <c r="B400" s="5" t="s">
        <v>16952</v>
      </c>
    </row>
    <row r="401" ht="15.75" spans="1:2">
      <c r="A401" s="6" t="s">
        <v>1388</v>
      </c>
      <c r="B401" s="5" t="s">
        <v>16952</v>
      </c>
    </row>
    <row r="402" ht="15.75" spans="1:2">
      <c r="A402" s="6" t="s">
        <v>1391</v>
      </c>
      <c r="B402" s="5" t="s">
        <v>16952</v>
      </c>
    </row>
    <row r="403" ht="15.75" spans="1:2">
      <c r="A403" s="6" t="s">
        <v>1396</v>
      </c>
      <c r="B403" s="5" t="s">
        <v>16952</v>
      </c>
    </row>
    <row r="404" ht="15.75" spans="1:2">
      <c r="A404" s="6" t="s">
        <v>1399</v>
      </c>
      <c r="B404" s="5" t="s">
        <v>16952</v>
      </c>
    </row>
    <row r="405" ht="15.75" spans="1:2">
      <c r="A405" s="6" t="s">
        <v>1402</v>
      </c>
      <c r="B405" s="5" t="s">
        <v>16952</v>
      </c>
    </row>
    <row r="406" ht="15.75" spans="1:2">
      <c r="A406" s="6" t="s">
        <v>1405</v>
      </c>
      <c r="B406" s="5" t="s">
        <v>16952</v>
      </c>
    </row>
    <row r="407" ht="15.75" spans="1:2">
      <c r="A407" s="6" t="s">
        <v>1408</v>
      </c>
      <c r="B407" s="5" t="s">
        <v>16952</v>
      </c>
    </row>
    <row r="408" ht="15.75" spans="1:2">
      <c r="A408" s="6" t="s">
        <v>1411</v>
      </c>
      <c r="B408" s="5" t="s">
        <v>16952</v>
      </c>
    </row>
    <row r="409" ht="15.75" spans="1:2">
      <c r="A409" s="6" t="s">
        <v>1414</v>
      </c>
      <c r="B409" s="5" t="s">
        <v>16952</v>
      </c>
    </row>
    <row r="410" ht="15.75" spans="1:2">
      <c r="A410" s="6" t="s">
        <v>1417</v>
      </c>
      <c r="B410" s="5" t="s">
        <v>16952</v>
      </c>
    </row>
    <row r="411" ht="15.75" spans="1:2">
      <c r="A411" s="6" t="s">
        <v>1420</v>
      </c>
      <c r="B411" s="5" t="s">
        <v>16952</v>
      </c>
    </row>
    <row r="412" ht="15.75" spans="1:2">
      <c r="A412" s="6" t="s">
        <v>1423</v>
      </c>
      <c r="B412" s="5" t="s">
        <v>16952</v>
      </c>
    </row>
    <row r="413" ht="15.75" spans="1:2">
      <c r="A413" s="6" t="s">
        <v>1427</v>
      </c>
      <c r="B413" s="5" t="s">
        <v>16952</v>
      </c>
    </row>
    <row r="414" ht="15.75" spans="1:2">
      <c r="A414" s="6" t="s">
        <v>1430</v>
      </c>
      <c r="B414" s="5" t="s">
        <v>16952</v>
      </c>
    </row>
    <row r="415" ht="15.75" spans="1:2">
      <c r="A415" s="6" t="s">
        <v>1433</v>
      </c>
      <c r="B415" s="5" t="s">
        <v>16952</v>
      </c>
    </row>
    <row r="416" ht="15.75" spans="1:2">
      <c r="A416" s="6" t="s">
        <v>1437</v>
      </c>
      <c r="B416" s="5" t="s">
        <v>16952</v>
      </c>
    </row>
    <row r="417" ht="15.75" spans="1:2">
      <c r="A417" s="6" t="s">
        <v>1441</v>
      </c>
      <c r="B417" s="5" t="s">
        <v>16952</v>
      </c>
    </row>
    <row r="418" ht="15.75" spans="1:2">
      <c r="A418" s="6" t="s">
        <v>1444</v>
      </c>
      <c r="B418" s="5" t="s">
        <v>16952</v>
      </c>
    </row>
    <row r="419" ht="15.75" spans="1:2">
      <c r="A419" s="6" t="s">
        <v>1448</v>
      </c>
      <c r="B419" s="5" t="s">
        <v>16952</v>
      </c>
    </row>
    <row r="420" ht="15.75" spans="1:2">
      <c r="A420" s="6" t="s">
        <v>1451</v>
      </c>
      <c r="B420" s="5" t="s">
        <v>16952</v>
      </c>
    </row>
    <row r="421" ht="15.75" spans="1:2">
      <c r="A421" s="6" t="s">
        <v>1454</v>
      </c>
      <c r="B421" s="5" t="s">
        <v>16952</v>
      </c>
    </row>
    <row r="422" ht="15.75" spans="1:2">
      <c r="A422" s="6" t="s">
        <v>1459</v>
      </c>
      <c r="B422" s="5" t="s">
        <v>16952</v>
      </c>
    </row>
    <row r="423" ht="15.75" spans="1:2">
      <c r="A423" s="6" t="s">
        <v>1463</v>
      </c>
      <c r="B423" s="5" t="s">
        <v>16952</v>
      </c>
    </row>
    <row r="424" ht="15.75" spans="1:2">
      <c r="A424" s="9" t="s">
        <v>1467</v>
      </c>
      <c r="B424" s="10" t="s">
        <v>16952</v>
      </c>
    </row>
    <row r="425" ht="15.75" spans="1:2">
      <c r="A425" s="9" t="s">
        <v>1467</v>
      </c>
      <c r="B425" s="10" t="s">
        <v>16952</v>
      </c>
    </row>
    <row r="426" ht="15.75" spans="1:2">
      <c r="A426" s="6" t="s">
        <v>1472</v>
      </c>
      <c r="B426" s="5" t="s">
        <v>16952</v>
      </c>
    </row>
    <row r="427" ht="15.75" spans="1:2">
      <c r="A427" s="6" t="s">
        <v>1475</v>
      </c>
      <c r="B427" s="5" t="s">
        <v>16952</v>
      </c>
    </row>
    <row r="428" ht="15.75" spans="1:2">
      <c r="A428" s="6" t="s">
        <v>1478</v>
      </c>
      <c r="B428" s="5" t="s">
        <v>16952</v>
      </c>
    </row>
    <row r="429" ht="15.75" spans="1:2">
      <c r="A429" s="6" t="s">
        <v>1481</v>
      </c>
      <c r="B429" s="5" t="s">
        <v>16952</v>
      </c>
    </row>
    <row r="430" ht="15.75" spans="1:2">
      <c r="A430" s="6" t="s">
        <v>1484</v>
      </c>
      <c r="B430" s="5" t="s">
        <v>16952</v>
      </c>
    </row>
    <row r="431" ht="15.75" spans="1:2">
      <c r="A431" s="6" t="s">
        <v>1487</v>
      </c>
      <c r="B431" s="5" t="s">
        <v>16952</v>
      </c>
    </row>
    <row r="432" ht="15.75" spans="1:2">
      <c r="A432" s="6" t="s">
        <v>1490</v>
      </c>
      <c r="B432" s="5" t="s">
        <v>16952</v>
      </c>
    </row>
    <row r="433" ht="15.75" spans="1:2">
      <c r="A433" s="6" t="s">
        <v>1493</v>
      </c>
      <c r="B433" s="5" t="s">
        <v>16952</v>
      </c>
    </row>
    <row r="434" ht="15.75" spans="1:2">
      <c r="A434" s="6" t="s">
        <v>1497</v>
      </c>
      <c r="B434" s="5" t="s">
        <v>16952</v>
      </c>
    </row>
    <row r="435" ht="15.75" spans="1:2">
      <c r="A435" s="6" t="s">
        <v>1500</v>
      </c>
      <c r="B435" s="5" t="s">
        <v>16952</v>
      </c>
    </row>
    <row r="436" ht="15.75" spans="1:2">
      <c r="A436" s="6" t="s">
        <v>1503</v>
      </c>
      <c r="B436" s="5" t="s">
        <v>16952</v>
      </c>
    </row>
    <row r="437" ht="15.75" spans="1:2">
      <c r="A437" s="6" t="s">
        <v>1506</v>
      </c>
      <c r="B437" s="5" t="s">
        <v>16952</v>
      </c>
    </row>
    <row r="438" ht="15.75" spans="1:2">
      <c r="A438" s="6" t="s">
        <v>1510</v>
      </c>
      <c r="B438" s="5" t="s">
        <v>16952</v>
      </c>
    </row>
    <row r="439" ht="15.75" spans="1:2">
      <c r="A439" s="6" t="s">
        <v>1514</v>
      </c>
      <c r="B439" s="5" t="s">
        <v>16952</v>
      </c>
    </row>
    <row r="440" ht="15.75" spans="1:2">
      <c r="A440" s="6" t="s">
        <v>1518</v>
      </c>
      <c r="B440" s="5" t="s">
        <v>16952</v>
      </c>
    </row>
    <row r="441" ht="15.75" spans="1:2">
      <c r="A441" s="6" t="s">
        <v>1521</v>
      </c>
      <c r="B441" s="5" t="s">
        <v>16952</v>
      </c>
    </row>
    <row r="442" ht="15.75" spans="1:2">
      <c r="A442" s="6" t="s">
        <v>1525</v>
      </c>
      <c r="B442" s="8"/>
    </row>
    <row r="443" ht="15.75" spans="1:2">
      <c r="A443" s="6" t="s">
        <v>1526</v>
      </c>
      <c r="B443" s="5" t="s">
        <v>16952</v>
      </c>
    </row>
    <row r="444" ht="31.5" spans="1:2">
      <c r="A444" s="6" t="s">
        <v>1529</v>
      </c>
      <c r="B444" s="8" t="s">
        <v>16955</v>
      </c>
    </row>
    <row r="445" ht="15.75" spans="1:2">
      <c r="A445" s="6" t="s">
        <v>1530</v>
      </c>
      <c r="B445" s="5" t="s">
        <v>16952</v>
      </c>
    </row>
    <row r="446" ht="15.75" spans="1:2">
      <c r="A446" s="6" t="s">
        <v>1535</v>
      </c>
      <c r="B446" s="5" t="s">
        <v>16952</v>
      </c>
    </row>
    <row r="447" ht="15.75" spans="1:2">
      <c r="A447" s="6" t="s">
        <v>1539</v>
      </c>
      <c r="B447" s="5" t="s">
        <v>16952</v>
      </c>
    </row>
    <row r="448" ht="15.75" spans="1:2">
      <c r="A448" s="6" t="s">
        <v>1543</v>
      </c>
      <c r="B448" s="5" t="s">
        <v>16952</v>
      </c>
    </row>
    <row r="449" ht="15.75" spans="1:2">
      <c r="A449" s="6" t="s">
        <v>1546</v>
      </c>
      <c r="B449" s="5" t="s">
        <v>16952</v>
      </c>
    </row>
    <row r="450" ht="15.75" spans="1:2">
      <c r="A450" s="6" t="s">
        <v>1550</v>
      </c>
      <c r="B450" s="5" t="s">
        <v>16952</v>
      </c>
    </row>
    <row r="451" ht="15.75" spans="1:2">
      <c r="A451" s="6" t="s">
        <v>1553</v>
      </c>
      <c r="B451" s="5" t="s">
        <v>16952</v>
      </c>
    </row>
    <row r="452" ht="15.75" spans="1:2">
      <c r="A452" s="6" t="s">
        <v>1557</v>
      </c>
      <c r="B452" s="5" t="s">
        <v>16952</v>
      </c>
    </row>
    <row r="453" ht="15.75" spans="1:2">
      <c r="A453" s="6" t="s">
        <v>1561</v>
      </c>
      <c r="B453" s="5" t="s">
        <v>16952</v>
      </c>
    </row>
    <row r="454" ht="15.75" spans="1:2">
      <c r="A454" s="6" t="s">
        <v>1564</v>
      </c>
      <c r="B454" s="5" t="s">
        <v>16952</v>
      </c>
    </row>
    <row r="455" ht="15.75" spans="1:2">
      <c r="A455" s="6" t="s">
        <v>1567</v>
      </c>
      <c r="B455" s="5" t="s">
        <v>16952</v>
      </c>
    </row>
    <row r="456" ht="15.75" spans="1:2">
      <c r="A456" s="6" t="s">
        <v>1570</v>
      </c>
      <c r="B456" s="5" t="s">
        <v>16952</v>
      </c>
    </row>
    <row r="457" ht="15.75" spans="1:2">
      <c r="A457" s="6" t="s">
        <v>1573</v>
      </c>
      <c r="B457" s="5" t="s">
        <v>16952</v>
      </c>
    </row>
    <row r="458" ht="15.75" spans="1:2">
      <c r="A458" s="6" t="s">
        <v>1577</v>
      </c>
      <c r="B458" s="5" t="s">
        <v>16952</v>
      </c>
    </row>
    <row r="459" ht="15.75" spans="1:2">
      <c r="A459" s="6" t="s">
        <v>1582</v>
      </c>
      <c r="B459" s="5" t="s">
        <v>16952</v>
      </c>
    </row>
    <row r="460" ht="15.75" spans="1:2">
      <c r="A460" s="6" t="s">
        <v>1586</v>
      </c>
      <c r="B460" s="5" t="s">
        <v>16952</v>
      </c>
    </row>
    <row r="461" ht="15.75" spans="1:2">
      <c r="A461" s="6" t="s">
        <v>1590</v>
      </c>
      <c r="B461" s="5" t="s">
        <v>16952</v>
      </c>
    </row>
    <row r="462" ht="15.75" spans="1:2">
      <c r="A462" s="6" t="s">
        <v>1594</v>
      </c>
      <c r="B462" s="5"/>
    </row>
    <row r="463" ht="15.75" spans="1:2">
      <c r="A463" s="6" t="s">
        <v>1599</v>
      </c>
      <c r="B463" s="5" t="s">
        <v>16952</v>
      </c>
    </row>
    <row r="464" ht="15.75" spans="1:2">
      <c r="A464" s="6" t="s">
        <v>1602</v>
      </c>
      <c r="B464" s="5" t="s">
        <v>16952</v>
      </c>
    </row>
    <row r="465" ht="15.75" spans="1:2">
      <c r="A465" s="6" t="s">
        <v>1606</v>
      </c>
      <c r="B465" s="5" t="s">
        <v>16952</v>
      </c>
    </row>
    <row r="466" ht="15.75" spans="1:2">
      <c r="A466" s="6" t="s">
        <v>1610</v>
      </c>
      <c r="B466" s="5" t="s">
        <v>16952</v>
      </c>
    </row>
    <row r="467" ht="15.75" spans="1:2">
      <c r="A467" s="6" t="s">
        <v>1613</v>
      </c>
      <c r="B467" s="5" t="s">
        <v>16952</v>
      </c>
    </row>
    <row r="468" ht="15.75" spans="1:2">
      <c r="A468" s="9" t="s">
        <v>1616</v>
      </c>
      <c r="B468" s="10" t="s">
        <v>16952</v>
      </c>
    </row>
    <row r="469" ht="15.75" spans="1:2">
      <c r="A469" s="9" t="s">
        <v>1616</v>
      </c>
      <c r="B469" s="10" t="s">
        <v>16952</v>
      </c>
    </row>
    <row r="470" ht="15.75" spans="1:2">
      <c r="A470" s="6" t="s">
        <v>1620</v>
      </c>
      <c r="B470" s="5" t="s">
        <v>16952</v>
      </c>
    </row>
    <row r="471" ht="15.75" spans="1:2">
      <c r="A471" s="6" t="s">
        <v>1624</v>
      </c>
      <c r="B471" s="5" t="s">
        <v>16952</v>
      </c>
    </row>
    <row r="472" ht="15.75" spans="1:2">
      <c r="A472" s="6" t="s">
        <v>1628</v>
      </c>
      <c r="B472" s="5" t="s">
        <v>16952</v>
      </c>
    </row>
    <row r="473" ht="15.75" spans="1:2">
      <c r="A473" s="6" t="s">
        <v>1631</v>
      </c>
      <c r="B473" s="5" t="s">
        <v>16952</v>
      </c>
    </row>
    <row r="474" ht="15.75" spans="1:2">
      <c r="A474" s="6" t="s">
        <v>1635</v>
      </c>
      <c r="B474" s="5" t="s">
        <v>16952</v>
      </c>
    </row>
    <row r="475" ht="15.75" spans="1:2">
      <c r="A475" s="6" t="s">
        <v>1639</v>
      </c>
      <c r="B475" s="5" t="s">
        <v>16952</v>
      </c>
    </row>
    <row r="476" ht="15.75" spans="1:2">
      <c r="A476" s="6" t="s">
        <v>1643</v>
      </c>
      <c r="B476" s="5" t="s">
        <v>16952</v>
      </c>
    </row>
    <row r="477" ht="15.75" spans="1:2">
      <c r="A477" s="6" t="s">
        <v>1647</v>
      </c>
      <c r="B477" s="5" t="s">
        <v>16952</v>
      </c>
    </row>
    <row r="478" ht="15.75" spans="1:2">
      <c r="A478" s="6" t="s">
        <v>1650</v>
      </c>
      <c r="B478" s="5" t="s">
        <v>16952</v>
      </c>
    </row>
    <row r="479" ht="15.75" spans="1:2">
      <c r="A479" s="6" t="s">
        <v>1653</v>
      </c>
      <c r="B479" s="5" t="s">
        <v>16952</v>
      </c>
    </row>
    <row r="480" ht="15.75" spans="1:2">
      <c r="A480" s="6" t="s">
        <v>1657</v>
      </c>
      <c r="B480" s="5" t="s">
        <v>16952</v>
      </c>
    </row>
    <row r="481" ht="15.75" spans="1:2">
      <c r="A481" s="6" t="s">
        <v>1661</v>
      </c>
      <c r="B481" s="5" t="s">
        <v>16952</v>
      </c>
    </row>
    <row r="482" ht="15.75" spans="1:2">
      <c r="A482" s="6" t="s">
        <v>1664</v>
      </c>
      <c r="B482" s="5" t="s">
        <v>16952</v>
      </c>
    </row>
    <row r="483" ht="15.75" spans="1:2">
      <c r="A483" s="6" t="s">
        <v>1667</v>
      </c>
      <c r="B483" s="5" t="s">
        <v>16952</v>
      </c>
    </row>
    <row r="484" ht="15.75" spans="1:2">
      <c r="A484" s="6" t="s">
        <v>1670</v>
      </c>
      <c r="B484" s="5" t="s">
        <v>16952</v>
      </c>
    </row>
    <row r="485" ht="15.75" spans="1:2">
      <c r="A485" s="6" t="s">
        <v>1673</v>
      </c>
      <c r="B485" s="5" t="s">
        <v>16952</v>
      </c>
    </row>
    <row r="486" ht="15.75" spans="1:2">
      <c r="A486" s="6" t="s">
        <v>1677</v>
      </c>
      <c r="B486" s="5" t="s">
        <v>16952</v>
      </c>
    </row>
    <row r="487" ht="15.75" spans="1:2">
      <c r="A487" s="6" t="s">
        <v>1680</v>
      </c>
      <c r="B487" s="5" t="s">
        <v>16952</v>
      </c>
    </row>
    <row r="488" ht="15.75" spans="1:2">
      <c r="A488" s="6" t="s">
        <v>1683</v>
      </c>
      <c r="B488" s="5" t="s">
        <v>16952</v>
      </c>
    </row>
    <row r="489" ht="15.75" spans="1:2">
      <c r="A489" s="6" t="s">
        <v>1686</v>
      </c>
      <c r="B489" s="5" t="s">
        <v>16952</v>
      </c>
    </row>
    <row r="490" ht="15.75" spans="1:2">
      <c r="A490" s="6" t="s">
        <v>1690</v>
      </c>
      <c r="B490" s="5" t="s">
        <v>16952</v>
      </c>
    </row>
    <row r="491" ht="15.75" spans="1:2">
      <c r="A491" s="6" t="s">
        <v>1694</v>
      </c>
      <c r="B491" s="5" t="s">
        <v>16952</v>
      </c>
    </row>
    <row r="492" ht="15.75" spans="1:2">
      <c r="A492" s="6" t="s">
        <v>1697</v>
      </c>
      <c r="B492" s="5" t="s">
        <v>16952</v>
      </c>
    </row>
    <row r="493" ht="15.75" spans="1:2">
      <c r="A493" s="6" t="s">
        <v>1703</v>
      </c>
      <c r="B493" s="5" t="s">
        <v>16952</v>
      </c>
    </row>
    <row r="494" ht="15.75" spans="1:2">
      <c r="A494" s="6" t="s">
        <v>1706</v>
      </c>
      <c r="B494" s="5" t="s">
        <v>16952</v>
      </c>
    </row>
    <row r="495" ht="15.75" spans="1:2">
      <c r="A495" s="6" t="s">
        <v>1710</v>
      </c>
      <c r="B495" s="5" t="s">
        <v>16952</v>
      </c>
    </row>
    <row r="496" ht="15.75" spans="1:2">
      <c r="A496" s="6" t="s">
        <v>1713</v>
      </c>
      <c r="B496" s="5" t="s">
        <v>16952</v>
      </c>
    </row>
    <row r="497" ht="31.5" spans="1:2">
      <c r="A497" s="6" t="s">
        <v>1716</v>
      </c>
      <c r="B497" s="11" t="s">
        <v>16956</v>
      </c>
    </row>
    <row r="498" ht="15.75" spans="1:2">
      <c r="A498" s="6" t="s">
        <v>1719</v>
      </c>
      <c r="B498" s="5" t="s">
        <v>16952</v>
      </c>
    </row>
    <row r="499" ht="15.75" spans="1:2">
      <c r="A499" s="6" t="s">
        <v>1723</v>
      </c>
      <c r="B499" s="5" t="s">
        <v>16952</v>
      </c>
    </row>
    <row r="500" ht="15.75" spans="1:2">
      <c r="A500" s="6" t="s">
        <v>1726</v>
      </c>
      <c r="B500" s="5" t="s">
        <v>16952</v>
      </c>
    </row>
    <row r="501" ht="15.75" spans="1:2">
      <c r="A501" s="6" t="s">
        <v>1730</v>
      </c>
      <c r="B501" s="5" t="s">
        <v>16952</v>
      </c>
    </row>
    <row r="502" ht="15.75" spans="1:2">
      <c r="A502" s="6" t="s">
        <v>1734</v>
      </c>
      <c r="B502" s="5" t="s">
        <v>16952</v>
      </c>
    </row>
    <row r="503" ht="15.75" spans="1:2">
      <c r="A503" s="6" t="s">
        <v>1737</v>
      </c>
      <c r="B503" s="5" t="s">
        <v>16952</v>
      </c>
    </row>
    <row r="504" ht="15.75" spans="1:2">
      <c r="A504" s="6" t="s">
        <v>1741</v>
      </c>
      <c r="B504" s="5" t="s">
        <v>16952</v>
      </c>
    </row>
    <row r="505" ht="15.75" spans="1:2">
      <c r="A505" s="6" t="s">
        <v>1744</v>
      </c>
      <c r="B505" s="5" t="s">
        <v>16952</v>
      </c>
    </row>
    <row r="506" ht="15.75" spans="1:2">
      <c r="A506" s="6" t="s">
        <v>1747</v>
      </c>
      <c r="B506" s="5" t="s">
        <v>16952</v>
      </c>
    </row>
    <row r="507" ht="15.75" spans="1:2">
      <c r="A507" s="6" t="s">
        <v>1751</v>
      </c>
      <c r="B507" s="8"/>
    </row>
    <row r="508" ht="15.75" spans="1:2">
      <c r="A508" s="6" t="s">
        <v>1752</v>
      </c>
      <c r="B508" s="5" t="s">
        <v>16952</v>
      </c>
    </row>
    <row r="509" ht="15.75" spans="1:2">
      <c r="A509" s="6" t="s">
        <v>1755</v>
      </c>
      <c r="B509" s="5" t="s">
        <v>16952</v>
      </c>
    </row>
    <row r="510" ht="15.75" spans="1:2">
      <c r="A510" s="6" t="s">
        <v>1759</v>
      </c>
      <c r="B510" s="5" t="s">
        <v>16952</v>
      </c>
    </row>
    <row r="511" ht="15.75" spans="1:2">
      <c r="A511" s="6" t="s">
        <v>1763</v>
      </c>
      <c r="B511" s="5" t="s">
        <v>16952</v>
      </c>
    </row>
    <row r="512" ht="15.75" spans="1:2">
      <c r="A512" s="6" t="s">
        <v>1766</v>
      </c>
      <c r="B512" s="5" t="s">
        <v>16952</v>
      </c>
    </row>
    <row r="513" ht="15.75" spans="1:2">
      <c r="A513" s="6" t="s">
        <v>1770</v>
      </c>
      <c r="B513" s="5" t="s">
        <v>16952</v>
      </c>
    </row>
    <row r="514" ht="15.75" spans="1:2">
      <c r="A514" s="6" t="s">
        <v>1774</v>
      </c>
      <c r="B514" s="5" t="s">
        <v>16952</v>
      </c>
    </row>
    <row r="515" ht="15.75" spans="1:2">
      <c r="A515" s="6" t="s">
        <v>1777</v>
      </c>
      <c r="B515" s="5" t="s">
        <v>16952</v>
      </c>
    </row>
    <row r="516" ht="15.75" spans="1:2">
      <c r="A516" s="6" t="s">
        <v>1781</v>
      </c>
      <c r="B516" s="5" t="s">
        <v>16952</v>
      </c>
    </row>
    <row r="517" ht="15.75" spans="1:2">
      <c r="A517" s="9" t="s">
        <v>1785</v>
      </c>
      <c r="B517" s="10" t="s">
        <v>16952</v>
      </c>
    </row>
    <row r="518" ht="15.75" spans="1:2">
      <c r="A518" s="9" t="s">
        <v>1785</v>
      </c>
      <c r="B518" s="10" t="s">
        <v>16952</v>
      </c>
    </row>
    <row r="519" ht="15.75" spans="1:2">
      <c r="A519" s="6" t="s">
        <v>1789</v>
      </c>
      <c r="B519" s="5" t="s">
        <v>16952</v>
      </c>
    </row>
    <row r="520" ht="15.75" spans="1:2">
      <c r="A520" s="6" t="s">
        <v>1794</v>
      </c>
      <c r="B520" s="5" t="s">
        <v>16952</v>
      </c>
    </row>
    <row r="521" ht="15.75" spans="1:2">
      <c r="A521" s="6" t="s">
        <v>1798</v>
      </c>
      <c r="B521" s="5" t="s">
        <v>16952</v>
      </c>
    </row>
    <row r="522" ht="15.75" spans="1:2">
      <c r="A522" s="6" t="s">
        <v>1803</v>
      </c>
      <c r="B522" s="5" t="s">
        <v>16952</v>
      </c>
    </row>
    <row r="523" ht="15.75" spans="1:2">
      <c r="A523" s="6" t="s">
        <v>1806</v>
      </c>
      <c r="B523" s="5" t="s">
        <v>16952</v>
      </c>
    </row>
    <row r="524" ht="15.75" spans="1:2">
      <c r="A524" s="6" t="s">
        <v>1810</v>
      </c>
      <c r="B524" s="5" t="s">
        <v>16952</v>
      </c>
    </row>
    <row r="525" ht="15.75" spans="1:2">
      <c r="A525" s="6" t="s">
        <v>1814</v>
      </c>
      <c r="B525" s="5" t="s">
        <v>16952</v>
      </c>
    </row>
    <row r="526" ht="15.75" spans="1:2">
      <c r="A526" s="6" t="s">
        <v>1817</v>
      </c>
      <c r="B526" s="5" t="s">
        <v>16952</v>
      </c>
    </row>
    <row r="527" ht="15.75" spans="1:2">
      <c r="A527" s="6" t="s">
        <v>1821</v>
      </c>
      <c r="B527" s="5" t="s">
        <v>16952</v>
      </c>
    </row>
    <row r="528" ht="15.75" spans="1:2">
      <c r="A528" s="6" t="s">
        <v>1825</v>
      </c>
      <c r="B528" s="5" t="s">
        <v>16952</v>
      </c>
    </row>
    <row r="529" ht="15.75" spans="1:2">
      <c r="A529" s="6" t="s">
        <v>1829</v>
      </c>
      <c r="B529" s="5" t="s">
        <v>16952</v>
      </c>
    </row>
    <row r="530" ht="15.75" spans="1:2">
      <c r="A530" s="6" t="s">
        <v>1834</v>
      </c>
      <c r="B530" s="5" t="s">
        <v>16952</v>
      </c>
    </row>
    <row r="531" ht="15.75" spans="1:2">
      <c r="A531" s="6" t="s">
        <v>1837</v>
      </c>
      <c r="B531" s="8"/>
    </row>
    <row r="532" ht="15.75" spans="1:2">
      <c r="A532" s="6" t="s">
        <v>1838</v>
      </c>
      <c r="B532" s="5" t="s">
        <v>16952</v>
      </c>
    </row>
    <row r="533" ht="15.75" spans="1:2">
      <c r="A533" s="6" t="s">
        <v>1842</v>
      </c>
      <c r="B533" s="5" t="s">
        <v>16952</v>
      </c>
    </row>
    <row r="534" ht="15.75" spans="1:2">
      <c r="A534" s="6" t="s">
        <v>1845</v>
      </c>
      <c r="B534" s="5" t="s">
        <v>16952</v>
      </c>
    </row>
    <row r="535" ht="15.75" spans="1:2">
      <c r="A535" s="6" t="s">
        <v>1849</v>
      </c>
      <c r="B535" s="5" t="s">
        <v>16952</v>
      </c>
    </row>
    <row r="536" ht="15.75" spans="1:2">
      <c r="A536" s="6" t="s">
        <v>1853</v>
      </c>
      <c r="B536" s="5" t="s">
        <v>16952</v>
      </c>
    </row>
    <row r="537" ht="15.75" spans="1:2">
      <c r="A537" s="6" t="s">
        <v>1857</v>
      </c>
      <c r="B537" s="5" t="s">
        <v>16952</v>
      </c>
    </row>
    <row r="538" ht="15.75" spans="1:2">
      <c r="A538" s="6" t="s">
        <v>1862</v>
      </c>
      <c r="B538" s="5" t="s">
        <v>16952</v>
      </c>
    </row>
    <row r="539" ht="15.75" spans="1:2">
      <c r="A539" s="6" t="s">
        <v>1865</v>
      </c>
      <c r="B539" s="5" t="s">
        <v>16952</v>
      </c>
    </row>
    <row r="540" ht="15.75" spans="1:2">
      <c r="A540" s="6" t="s">
        <v>1868</v>
      </c>
      <c r="B540" s="5" t="s">
        <v>16952</v>
      </c>
    </row>
    <row r="541" ht="15.75" spans="1:2">
      <c r="A541" s="6" t="s">
        <v>1871</v>
      </c>
      <c r="B541" s="5" t="s">
        <v>16952</v>
      </c>
    </row>
    <row r="542" ht="15.75" spans="1:2">
      <c r="A542" s="6" t="s">
        <v>1874</v>
      </c>
      <c r="B542" s="5" t="s">
        <v>16952</v>
      </c>
    </row>
    <row r="543" ht="15.75" spans="1:2">
      <c r="A543" s="6" t="s">
        <v>1878</v>
      </c>
      <c r="B543" s="5" t="s">
        <v>16952</v>
      </c>
    </row>
    <row r="544" ht="15.75" spans="1:2">
      <c r="A544" s="6" t="s">
        <v>1883</v>
      </c>
      <c r="B544" s="5" t="s">
        <v>16952</v>
      </c>
    </row>
    <row r="545" ht="15.75" spans="1:2">
      <c r="A545" s="6" t="s">
        <v>1887</v>
      </c>
      <c r="B545" s="5" t="s">
        <v>16952</v>
      </c>
    </row>
    <row r="546" ht="15.75" spans="1:2">
      <c r="A546" s="6" t="s">
        <v>1891</v>
      </c>
      <c r="B546" s="5" t="s">
        <v>16952</v>
      </c>
    </row>
    <row r="547" ht="15.75" spans="1:2">
      <c r="A547" s="6" t="s">
        <v>1894</v>
      </c>
      <c r="B547" s="5" t="s">
        <v>16952</v>
      </c>
    </row>
    <row r="548" ht="15.75" spans="1:2">
      <c r="A548" s="6" t="s">
        <v>1899</v>
      </c>
      <c r="B548" s="5" t="s">
        <v>16952</v>
      </c>
    </row>
    <row r="549" ht="15.75" spans="1:2">
      <c r="A549" s="6" t="s">
        <v>1902</v>
      </c>
      <c r="B549" s="5" t="s">
        <v>16952</v>
      </c>
    </row>
    <row r="550" ht="15.75" spans="1:2">
      <c r="A550" s="6" t="s">
        <v>1907</v>
      </c>
      <c r="B550" s="5" t="s">
        <v>16952</v>
      </c>
    </row>
    <row r="551" ht="15.75" spans="1:2">
      <c r="A551" s="6" t="s">
        <v>1911</v>
      </c>
      <c r="B551" s="5" t="s">
        <v>16952</v>
      </c>
    </row>
    <row r="552" ht="15.75" spans="1:2">
      <c r="A552" s="6" t="s">
        <v>1915</v>
      </c>
      <c r="B552" s="5" t="s">
        <v>16952</v>
      </c>
    </row>
    <row r="553" ht="15.75" spans="1:2">
      <c r="A553" s="6" t="s">
        <v>1919</v>
      </c>
      <c r="B553" s="5" t="s">
        <v>16952</v>
      </c>
    </row>
    <row r="554" ht="15.75" spans="1:2">
      <c r="A554" s="6" t="s">
        <v>1923</v>
      </c>
      <c r="B554" s="5" t="s">
        <v>16952</v>
      </c>
    </row>
    <row r="555" ht="15.75" spans="1:2">
      <c r="A555" s="6" t="s">
        <v>1927</v>
      </c>
      <c r="B555" s="5" t="s">
        <v>16952</v>
      </c>
    </row>
    <row r="556" ht="15.75" spans="1:2">
      <c r="A556" s="6" t="s">
        <v>1930</v>
      </c>
      <c r="B556" s="5" t="s">
        <v>16952</v>
      </c>
    </row>
    <row r="557" ht="15.75" spans="1:2">
      <c r="A557" s="6" t="s">
        <v>1934</v>
      </c>
      <c r="B557" s="5" t="s">
        <v>16952</v>
      </c>
    </row>
    <row r="558" ht="15.75" spans="1:2">
      <c r="A558" s="6" t="s">
        <v>1937</v>
      </c>
      <c r="B558" s="5" t="s">
        <v>16952</v>
      </c>
    </row>
    <row r="559" ht="15.75" spans="1:2">
      <c r="A559" s="6" t="s">
        <v>1941</v>
      </c>
      <c r="B559" s="5" t="s">
        <v>16952</v>
      </c>
    </row>
    <row r="560" ht="15.75" spans="1:2">
      <c r="A560" s="6" t="s">
        <v>1945</v>
      </c>
      <c r="B560" s="5" t="s">
        <v>16952</v>
      </c>
    </row>
    <row r="561" ht="15.75" spans="1:2">
      <c r="A561" s="6" t="s">
        <v>1948</v>
      </c>
      <c r="B561" s="5" t="s">
        <v>16952</v>
      </c>
    </row>
    <row r="562" ht="15.75" spans="1:2">
      <c r="A562" s="6" t="s">
        <v>1951</v>
      </c>
      <c r="B562" s="5" t="s">
        <v>16952</v>
      </c>
    </row>
    <row r="563" ht="15.75" spans="1:2">
      <c r="A563" s="6" t="s">
        <v>1955</v>
      </c>
      <c r="B563" s="5" t="s">
        <v>16952</v>
      </c>
    </row>
    <row r="564" ht="15.75" spans="1:2">
      <c r="A564" s="6" t="s">
        <v>1959</v>
      </c>
      <c r="B564" s="5" t="s">
        <v>16952</v>
      </c>
    </row>
    <row r="565" ht="15.75" spans="1:2">
      <c r="A565" s="6" t="s">
        <v>1963</v>
      </c>
      <c r="B565" s="5" t="s">
        <v>16952</v>
      </c>
    </row>
    <row r="566" ht="15.75" spans="1:2">
      <c r="A566" s="6" t="s">
        <v>1967</v>
      </c>
      <c r="B566" s="5" t="s">
        <v>16952</v>
      </c>
    </row>
    <row r="567" ht="15.75" spans="1:2">
      <c r="A567" s="6" t="s">
        <v>1970</v>
      </c>
      <c r="B567" s="5" t="s">
        <v>16952</v>
      </c>
    </row>
    <row r="568" ht="15.75" spans="1:2">
      <c r="A568" s="6" t="s">
        <v>1973</v>
      </c>
      <c r="B568" s="5" t="s">
        <v>16952</v>
      </c>
    </row>
    <row r="569" ht="15.75" spans="1:2">
      <c r="A569" s="6" t="s">
        <v>1976</v>
      </c>
      <c r="B569" s="5" t="s">
        <v>16952</v>
      </c>
    </row>
    <row r="570" ht="15.75" spans="1:2">
      <c r="A570" s="6" t="s">
        <v>1979</v>
      </c>
      <c r="B570" s="5" t="s">
        <v>16952</v>
      </c>
    </row>
    <row r="571" ht="15.75" spans="1:2">
      <c r="A571" s="6" t="s">
        <v>1982</v>
      </c>
      <c r="B571" s="5" t="s">
        <v>16952</v>
      </c>
    </row>
    <row r="572" ht="15.75" spans="1:2">
      <c r="A572" s="6" t="s">
        <v>1985</v>
      </c>
      <c r="B572" s="5" t="s">
        <v>16952</v>
      </c>
    </row>
    <row r="573" ht="15.75" spans="1:2">
      <c r="A573" s="6" t="s">
        <v>1989</v>
      </c>
      <c r="B573" s="5" t="s">
        <v>16952</v>
      </c>
    </row>
    <row r="574" ht="15.75" spans="1:2">
      <c r="A574" s="6" t="s">
        <v>1992</v>
      </c>
      <c r="B574" s="5" t="s">
        <v>16952</v>
      </c>
    </row>
    <row r="575" ht="15.75" spans="1:2">
      <c r="A575" s="6" t="s">
        <v>1995</v>
      </c>
      <c r="B575" s="5" t="s">
        <v>16952</v>
      </c>
    </row>
    <row r="576" ht="15.75" spans="1:2">
      <c r="A576" s="6" t="s">
        <v>1998</v>
      </c>
      <c r="B576" s="5" t="s">
        <v>16952</v>
      </c>
    </row>
    <row r="577" ht="15.75" spans="1:2">
      <c r="A577" s="6" t="s">
        <v>2001</v>
      </c>
      <c r="B577" s="5" t="s">
        <v>16952</v>
      </c>
    </row>
    <row r="578" ht="15.75" spans="1:2">
      <c r="A578" s="6" t="s">
        <v>2005</v>
      </c>
      <c r="B578" s="5" t="s">
        <v>16952</v>
      </c>
    </row>
    <row r="579" ht="15.75" spans="1:2">
      <c r="A579" s="6" t="s">
        <v>2008</v>
      </c>
      <c r="B579" s="5" t="s">
        <v>16952</v>
      </c>
    </row>
    <row r="580" ht="15.75" spans="1:2">
      <c r="A580" s="9" t="s">
        <v>2012</v>
      </c>
      <c r="B580" s="10" t="s">
        <v>16952</v>
      </c>
    </row>
    <row r="581" ht="15.75" spans="1:2">
      <c r="A581" s="9" t="s">
        <v>2012</v>
      </c>
      <c r="B581" s="10" t="s">
        <v>16952</v>
      </c>
    </row>
    <row r="582" ht="15.75" spans="1:2">
      <c r="A582" s="6" t="s">
        <v>2016</v>
      </c>
      <c r="B582" s="5" t="s">
        <v>16952</v>
      </c>
    </row>
    <row r="583" ht="15.75" spans="1:2">
      <c r="A583" s="6" t="s">
        <v>2019</v>
      </c>
      <c r="B583" s="5" t="s">
        <v>16952</v>
      </c>
    </row>
    <row r="584" ht="15.75" spans="1:2">
      <c r="A584" s="6" t="s">
        <v>2023</v>
      </c>
      <c r="B584" s="5" t="s">
        <v>16952</v>
      </c>
    </row>
    <row r="585" ht="15.75" spans="1:2">
      <c r="A585" s="6" t="s">
        <v>2026</v>
      </c>
      <c r="B585" s="5" t="s">
        <v>16952</v>
      </c>
    </row>
    <row r="586" ht="15.75" spans="1:2">
      <c r="A586" s="6" t="s">
        <v>2030</v>
      </c>
      <c r="B586" s="5" t="s">
        <v>16952</v>
      </c>
    </row>
    <row r="587" ht="15.75" spans="1:2">
      <c r="A587" s="6" t="s">
        <v>2034</v>
      </c>
      <c r="B587" s="5" t="s">
        <v>16952</v>
      </c>
    </row>
    <row r="588" ht="15.75" spans="1:2">
      <c r="A588" s="6" t="s">
        <v>2037</v>
      </c>
      <c r="B588" s="5" t="s">
        <v>16952</v>
      </c>
    </row>
    <row r="589" ht="15.75" spans="1:2">
      <c r="A589" s="6" t="s">
        <v>2041</v>
      </c>
      <c r="B589" s="5" t="s">
        <v>16952</v>
      </c>
    </row>
    <row r="590" ht="15.75" spans="1:2">
      <c r="A590" s="6" t="s">
        <v>2045</v>
      </c>
      <c r="B590" s="5" t="s">
        <v>16952</v>
      </c>
    </row>
    <row r="591" ht="15.75" spans="1:2">
      <c r="A591" s="6" t="s">
        <v>2049</v>
      </c>
      <c r="B591" s="5" t="s">
        <v>16952</v>
      </c>
    </row>
    <row r="592" ht="15.75" spans="1:2">
      <c r="A592" s="6" t="s">
        <v>2052</v>
      </c>
      <c r="B592" s="5" t="s">
        <v>16952</v>
      </c>
    </row>
    <row r="593" ht="15.75" spans="1:2">
      <c r="A593" s="6" t="s">
        <v>2055</v>
      </c>
      <c r="B593" s="5" t="s">
        <v>16952</v>
      </c>
    </row>
    <row r="594" ht="15.75" spans="1:2">
      <c r="A594" s="6" t="s">
        <v>2059</v>
      </c>
      <c r="B594" s="5" t="s">
        <v>16952</v>
      </c>
    </row>
    <row r="595" ht="15.75" spans="1:2">
      <c r="A595" s="9" t="s">
        <v>2063</v>
      </c>
      <c r="B595" s="10" t="s">
        <v>16952</v>
      </c>
    </row>
    <row r="596" ht="15.75" spans="1:2">
      <c r="A596" s="9" t="s">
        <v>2063</v>
      </c>
      <c r="B596" s="10" t="s">
        <v>16952</v>
      </c>
    </row>
    <row r="597" ht="15.75" spans="1:2">
      <c r="A597" s="6" t="s">
        <v>2069</v>
      </c>
      <c r="B597" s="5" t="s">
        <v>16952</v>
      </c>
    </row>
    <row r="598" ht="15.75" spans="1:2">
      <c r="A598" s="6" t="s">
        <v>2072</v>
      </c>
      <c r="B598" s="5" t="s">
        <v>16952</v>
      </c>
    </row>
    <row r="599" ht="15.75" spans="1:2">
      <c r="A599" s="6" t="s">
        <v>2075</v>
      </c>
      <c r="B599" s="5" t="s">
        <v>16952</v>
      </c>
    </row>
    <row r="600" ht="15.75" spans="1:2">
      <c r="A600" s="6" t="s">
        <v>2079</v>
      </c>
      <c r="B600" s="8"/>
    </row>
    <row r="601" ht="15.75" spans="1:2">
      <c r="A601" s="6" t="s">
        <v>2080</v>
      </c>
      <c r="B601" s="5" t="s">
        <v>16952</v>
      </c>
    </row>
    <row r="602" ht="15.75" spans="1:2">
      <c r="A602" s="6" t="s">
        <v>2084</v>
      </c>
      <c r="B602" s="5" t="s">
        <v>16952</v>
      </c>
    </row>
    <row r="603" ht="15.75" spans="1:2">
      <c r="A603" s="6" t="s">
        <v>2088</v>
      </c>
      <c r="B603" s="5" t="s">
        <v>16952</v>
      </c>
    </row>
    <row r="604" ht="15.75" spans="1:2">
      <c r="A604" s="6" t="s">
        <v>2091</v>
      </c>
      <c r="B604" s="5" t="s">
        <v>16952</v>
      </c>
    </row>
    <row r="605" ht="15.75" spans="1:2">
      <c r="A605" s="6" t="s">
        <v>2094</v>
      </c>
      <c r="B605" s="5" t="s">
        <v>16952</v>
      </c>
    </row>
    <row r="606" ht="15.75" spans="1:2">
      <c r="A606" s="6" t="s">
        <v>2097</v>
      </c>
      <c r="B606" s="5" t="s">
        <v>16952</v>
      </c>
    </row>
    <row r="607" ht="15.75" spans="1:2">
      <c r="A607" s="6" t="s">
        <v>2101</v>
      </c>
      <c r="B607" s="5" t="s">
        <v>16952</v>
      </c>
    </row>
    <row r="608" ht="15.75" spans="1:2">
      <c r="A608" s="6" t="s">
        <v>2104</v>
      </c>
      <c r="B608" s="5" t="s">
        <v>16952</v>
      </c>
    </row>
    <row r="609" ht="15.75" spans="1:2">
      <c r="A609" s="6" t="s">
        <v>2109</v>
      </c>
      <c r="B609" s="5" t="s">
        <v>16952</v>
      </c>
    </row>
    <row r="610" ht="15.75" spans="1:2">
      <c r="A610" s="6" t="s">
        <v>2112</v>
      </c>
      <c r="B610" s="5" t="s">
        <v>16952</v>
      </c>
    </row>
    <row r="611" ht="15.75" spans="1:2">
      <c r="A611" s="6" t="s">
        <v>2115</v>
      </c>
      <c r="B611" s="5" t="s">
        <v>16952</v>
      </c>
    </row>
    <row r="612" ht="15.75" spans="1:2">
      <c r="A612" s="6" t="s">
        <v>2119</v>
      </c>
      <c r="B612" s="5" t="s">
        <v>16952</v>
      </c>
    </row>
    <row r="613" ht="15.75" spans="1:2">
      <c r="A613" s="6" t="s">
        <v>2122</v>
      </c>
      <c r="B613" s="5" t="s">
        <v>16952</v>
      </c>
    </row>
    <row r="614" ht="15.75" spans="1:2">
      <c r="A614" s="6" t="s">
        <v>2125</v>
      </c>
      <c r="B614" s="5" t="s">
        <v>16952</v>
      </c>
    </row>
    <row r="615" ht="15.75" spans="1:2">
      <c r="A615" s="6" t="s">
        <v>2128</v>
      </c>
      <c r="B615" s="5" t="s">
        <v>16952</v>
      </c>
    </row>
    <row r="616" ht="15.75" spans="1:2">
      <c r="A616" s="6" t="s">
        <v>2131</v>
      </c>
      <c r="B616" s="5" t="s">
        <v>16952</v>
      </c>
    </row>
    <row r="617" ht="15.75" spans="1:2">
      <c r="A617" s="6" t="s">
        <v>2136</v>
      </c>
      <c r="B617" s="5" t="s">
        <v>16952</v>
      </c>
    </row>
    <row r="618" ht="15.75" spans="1:2">
      <c r="A618" s="6" t="s">
        <v>2141</v>
      </c>
      <c r="B618" s="5" t="s">
        <v>16952</v>
      </c>
    </row>
    <row r="619" ht="15.75" spans="1:2">
      <c r="A619" s="6" t="s">
        <v>2144</v>
      </c>
      <c r="B619" s="5" t="s">
        <v>16952</v>
      </c>
    </row>
    <row r="620" ht="15.75" spans="1:2">
      <c r="A620" s="6" t="s">
        <v>2148</v>
      </c>
      <c r="B620" s="8"/>
    </row>
    <row r="621" ht="15.75" spans="1:2">
      <c r="A621" s="6" t="s">
        <v>2149</v>
      </c>
      <c r="B621" s="5" t="s">
        <v>16952</v>
      </c>
    </row>
    <row r="622" ht="15.75" spans="1:2">
      <c r="A622" s="6" t="s">
        <v>2152</v>
      </c>
      <c r="B622" s="5" t="s">
        <v>16952</v>
      </c>
    </row>
    <row r="623" ht="15.75" spans="1:2">
      <c r="A623" s="6" t="s">
        <v>2156</v>
      </c>
      <c r="B623" s="5" t="s">
        <v>16952</v>
      </c>
    </row>
    <row r="624" ht="15.75" spans="1:2">
      <c r="A624" s="6" t="s">
        <v>2160</v>
      </c>
      <c r="B624" s="5" t="s">
        <v>16952</v>
      </c>
    </row>
    <row r="625" ht="15.75" spans="1:2">
      <c r="A625" s="6" t="s">
        <v>2163</v>
      </c>
      <c r="B625" s="5" t="s">
        <v>16952</v>
      </c>
    </row>
    <row r="626" ht="15.75" spans="1:2">
      <c r="A626" s="6" t="s">
        <v>2166</v>
      </c>
      <c r="B626" s="5" t="s">
        <v>16952</v>
      </c>
    </row>
    <row r="627" ht="15.75" spans="1:2">
      <c r="A627" s="6" t="s">
        <v>2170</v>
      </c>
      <c r="B627" s="5" t="s">
        <v>16952</v>
      </c>
    </row>
    <row r="628" ht="15.75" spans="1:2">
      <c r="A628" s="6" t="s">
        <v>2173</v>
      </c>
      <c r="B628" s="5" t="s">
        <v>16952</v>
      </c>
    </row>
    <row r="629" ht="15.75" spans="1:2">
      <c r="A629" s="6" t="s">
        <v>2176</v>
      </c>
      <c r="B629" s="5" t="s">
        <v>16952</v>
      </c>
    </row>
    <row r="630" ht="15.75" spans="1:2">
      <c r="A630" s="6" t="s">
        <v>2179</v>
      </c>
      <c r="B630" s="5" t="s">
        <v>16952</v>
      </c>
    </row>
    <row r="631" ht="15.75" spans="1:2">
      <c r="A631" s="6" t="s">
        <v>2182</v>
      </c>
      <c r="B631" s="5" t="s">
        <v>16952</v>
      </c>
    </row>
    <row r="632" ht="15.75" spans="1:2">
      <c r="A632" s="6" t="s">
        <v>2186</v>
      </c>
      <c r="B632" s="5" t="s">
        <v>16952</v>
      </c>
    </row>
    <row r="633" ht="15.75" spans="1:2">
      <c r="A633" s="6" t="s">
        <v>2189</v>
      </c>
      <c r="B633" s="5" t="s">
        <v>16952</v>
      </c>
    </row>
    <row r="634" ht="15.75" spans="1:2">
      <c r="A634" s="6" t="s">
        <v>2192</v>
      </c>
      <c r="B634" s="5" t="s">
        <v>16952</v>
      </c>
    </row>
    <row r="635" ht="15.75" spans="1:2">
      <c r="A635" s="6" t="s">
        <v>2196</v>
      </c>
      <c r="B635" s="5" t="s">
        <v>16952</v>
      </c>
    </row>
    <row r="636" ht="15.75" spans="1:2">
      <c r="A636" s="6" t="s">
        <v>2199</v>
      </c>
      <c r="B636" s="5" t="s">
        <v>16952</v>
      </c>
    </row>
    <row r="637" ht="15.75" spans="1:2">
      <c r="A637" s="6" t="s">
        <v>2202</v>
      </c>
      <c r="B637" s="5" t="s">
        <v>16952</v>
      </c>
    </row>
    <row r="638" ht="15.75" spans="1:2">
      <c r="A638" s="6" t="s">
        <v>2205</v>
      </c>
      <c r="B638" s="5" t="s">
        <v>16952</v>
      </c>
    </row>
    <row r="639" ht="15.75" spans="1:2">
      <c r="A639" s="6" t="s">
        <v>2208</v>
      </c>
      <c r="B639" s="5" t="s">
        <v>16952</v>
      </c>
    </row>
    <row r="640" ht="15.75" spans="1:2">
      <c r="A640" s="6" t="s">
        <v>2211</v>
      </c>
      <c r="B640" s="5" t="s">
        <v>16952</v>
      </c>
    </row>
    <row r="641" ht="15.75" spans="1:2">
      <c r="A641" s="6" t="s">
        <v>2214</v>
      </c>
      <c r="B641" s="5" t="s">
        <v>16952</v>
      </c>
    </row>
    <row r="642" ht="15.75" spans="1:2">
      <c r="A642" s="6" t="s">
        <v>2218</v>
      </c>
      <c r="B642" s="8"/>
    </row>
    <row r="643" ht="15.75" spans="1:2">
      <c r="A643" s="6" t="s">
        <v>2219</v>
      </c>
      <c r="B643" s="5" t="s">
        <v>16952</v>
      </c>
    </row>
    <row r="644" ht="15.75" spans="1:2">
      <c r="A644" s="6" t="s">
        <v>2224</v>
      </c>
      <c r="B644" s="5" t="s">
        <v>16952</v>
      </c>
    </row>
    <row r="645" ht="15.75" spans="1:2">
      <c r="A645" s="6" t="s">
        <v>2227</v>
      </c>
      <c r="B645" s="5" t="s">
        <v>16952</v>
      </c>
    </row>
    <row r="646" ht="15.75" spans="1:2">
      <c r="A646" s="6" t="s">
        <v>2230</v>
      </c>
      <c r="B646" s="5" t="s">
        <v>16952</v>
      </c>
    </row>
    <row r="647" ht="15.75" spans="1:2">
      <c r="A647" s="6" t="s">
        <v>2235</v>
      </c>
      <c r="B647" s="5" t="s">
        <v>16952</v>
      </c>
    </row>
    <row r="648" ht="15.75" spans="1:2">
      <c r="A648" s="6" t="s">
        <v>2237</v>
      </c>
      <c r="B648" s="5" t="s">
        <v>16952</v>
      </c>
    </row>
    <row r="649" ht="15.75" spans="1:2">
      <c r="A649" s="6" t="s">
        <v>2241</v>
      </c>
      <c r="B649" s="5" t="s">
        <v>16952</v>
      </c>
    </row>
    <row r="650" ht="15.75" spans="1:2">
      <c r="A650" s="6" t="s">
        <v>2244</v>
      </c>
      <c r="B650" s="5" t="s">
        <v>16952</v>
      </c>
    </row>
    <row r="651" ht="15.75" spans="1:2">
      <c r="A651" s="6" t="s">
        <v>2248</v>
      </c>
      <c r="B651" s="5" t="s">
        <v>16952</v>
      </c>
    </row>
    <row r="652" ht="15.75" spans="1:2">
      <c r="A652" s="6" t="s">
        <v>2252</v>
      </c>
      <c r="B652" s="5" t="s">
        <v>16952</v>
      </c>
    </row>
    <row r="653" ht="15.75" spans="1:2">
      <c r="A653" s="6" t="s">
        <v>2256</v>
      </c>
      <c r="B653" s="5" t="s">
        <v>16952</v>
      </c>
    </row>
    <row r="654" ht="15.75" spans="1:2">
      <c r="A654" s="6" t="s">
        <v>2259</v>
      </c>
      <c r="B654" s="5" t="s">
        <v>16952</v>
      </c>
    </row>
    <row r="655" ht="15.75" spans="1:2">
      <c r="A655" s="6" t="s">
        <v>2262</v>
      </c>
      <c r="B655" s="5" t="s">
        <v>16952</v>
      </c>
    </row>
    <row r="656" ht="15.75" spans="1:2">
      <c r="A656" s="6" t="s">
        <v>2265</v>
      </c>
      <c r="B656" s="5" t="s">
        <v>16952</v>
      </c>
    </row>
    <row r="657" ht="15.75" spans="1:2">
      <c r="A657" s="6" t="s">
        <v>2268</v>
      </c>
      <c r="B657" s="5" t="s">
        <v>16952</v>
      </c>
    </row>
    <row r="658" ht="15.75" spans="1:2">
      <c r="A658" s="6" t="s">
        <v>2271</v>
      </c>
      <c r="B658" s="5" t="s">
        <v>16952</v>
      </c>
    </row>
    <row r="659" ht="15.75" spans="1:2">
      <c r="A659" s="6" t="s">
        <v>2274</v>
      </c>
      <c r="B659" s="5" t="s">
        <v>16952</v>
      </c>
    </row>
    <row r="660" ht="15.75" spans="1:2">
      <c r="A660" s="6" t="s">
        <v>2277</v>
      </c>
      <c r="B660" s="5" t="s">
        <v>16952</v>
      </c>
    </row>
    <row r="661" ht="15.75" spans="1:2">
      <c r="A661" s="6" t="s">
        <v>2281</v>
      </c>
      <c r="B661" s="5" t="s">
        <v>16952</v>
      </c>
    </row>
    <row r="662" ht="15.75" spans="1:2">
      <c r="A662" s="6" t="s">
        <v>2285</v>
      </c>
      <c r="B662" s="5" t="s">
        <v>16952</v>
      </c>
    </row>
    <row r="663" ht="15.75" spans="1:2">
      <c r="A663" s="6" t="s">
        <v>2288</v>
      </c>
      <c r="B663" s="5" t="s">
        <v>16952</v>
      </c>
    </row>
    <row r="664" ht="15.75" spans="1:2">
      <c r="A664" s="6" t="s">
        <v>2291</v>
      </c>
      <c r="B664" s="5" t="s">
        <v>16952</v>
      </c>
    </row>
    <row r="665" ht="15.75" spans="1:2">
      <c r="A665" s="6" t="s">
        <v>2294</v>
      </c>
      <c r="B665" s="5" t="s">
        <v>16952</v>
      </c>
    </row>
    <row r="666" ht="15.75" spans="1:2">
      <c r="A666" s="6" t="s">
        <v>2297</v>
      </c>
      <c r="B666" s="5" t="s">
        <v>16952</v>
      </c>
    </row>
    <row r="667" ht="15.75" spans="1:2">
      <c r="A667" s="6" t="s">
        <v>2301</v>
      </c>
      <c r="B667" s="5" t="s">
        <v>16952</v>
      </c>
    </row>
    <row r="668" ht="15.75" spans="1:2">
      <c r="A668" s="6" t="s">
        <v>2305</v>
      </c>
      <c r="B668" s="5" t="s">
        <v>16952</v>
      </c>
    </row>
    <row r="669" ht="15.75" spans="1:2">
      <c r="A669" s="6" t="s">
        <v>2308</v>
      </c>
      <c r="B669" s="5" t="s">
        <v>16952</v>
      </c>
    </row>
    <row r="670" ht="15.75" spans="1:2">
      <c r="A670" s="6" t="s">
        <v>2311</v>
      </c>
      <c r="B670" s="5" t="s">
        <v>16952</v>
      </c>
    </row>
    <row r="671" ht="15.75" spans="1:2">
      <c r="A671" s="6" t="s">
        <v>2314</v>
      </c>
      <c r="B671" s="5" t="s">
        <v>16952</v>
      </c>
    </row>
    <row r="672" ht="15.75" spans="1:2">
      <c r="A672" s="6" t="s">
        <v>2317</v>
      </c>
      <c r="B672" s="5" t="s">
        <v>16952</v>
      </c>
    </row>
    <row r="673" ht="15.75" spans="1:2">
      <c r="A673" s="6" t="s">
        <v>2320</v>
      </c>
      <c r="B673" s="5" t="s">
        <v>16952</v>
      </c>
    </row>
    <row r="674" ht="15.75" spans="1:2">
      <c r="A674" s="6" t="s">
        <v>2324</v>
      </c>
      <c r="B674" s="8"/>
    </row>
    <row r="675" ht="15.75" spans="1:2">
      <c r="A675" s="6" t="s">
        <v>2325</v>
      </c>
      <c r="B675" s="5" t="s">
        <v>16952</v>
      </c>
    </row>
    <row r="676" ht="15.75" spans="1:2">
      <c r="A676" s="6" t="s">
        <v>2328</v>
      </c>
      <c r="B676" s="5" t="s">
        <v>16952</v>
      </c>
    </row>
    <row r="677" ht="15.75" spans="1:2">
      <c r="A677" s="6" t="s">
        <v>2332</v>
      </c>
      <c r="B677" s="8"/>
    </row>
    <row r="678" ht="15.75" spans="1:2">
      <c r="A678" s="6" t="s">
        <v>2333</v>
      </c>
      <c r="B678" s="5" t="s">
        <v>16952</v>
      </c>
    </row>
    <row r="679" ht="15.75" spans="1:2">
      <c r="A679" s="6" t="s">
        <v>2337</v>
      </c>
      <c r="B679" s="5" t="s">
        <v>16952</v>
      </c>
    </row>
    <row r="680" ht="15.75" spans="1:2">
      <c r="A680" s="6" t="s">
        <v>2340</v>
      </c>
      <c r="B680" s="5" t="s">
        <v>16952</v>
      </c>
    </row>
    <row r="681" ht="15.75" spans="1:2">
      <c r="A681" s="6" t="s">
        <v>2344</v>
      </c>
      <c r="B681" s="5" t="s">
        <v>16952</v>
      </c>
    </row>
    <row r="682" ht="15.75" spans="1:2">
      <c r="A682" s="6" t="s">
        <v>2349</v>
      </c>
      <c r="B682" s="5" t="s">
        <v>16952</v>
      </c>
    </row>
    <row r="683" ht="15.75" spans="1:2">
      <c r="A683" s="6" t="s">
        <v>2351</v>
      </c>
      <c r="B683" s="5" t="s">
        <v>16952</v>
      </c>
    </row>
    <row r="684" ht="15.75" spans="1:2">
      <c r="A684" s="6" t="s">
        <v>2354</v>
      </c>
      <c r="B684" s="5" t="s">
        <v>16952</v>
      </c>
    </row>
    <row r="685" ht="15.75" spans="1:2">
      <c r="A685" s="6" t="s">
        <v>2358</v>
      </c>
      <c r="B685" s="8"/>
    </row>
    <row r="686" ht="15.75" spans="1:2">
      <c r="A686" s="6" t="s">
        <v>2359</v>
      </c>
      <c r="B686" s="5" t="s">
        <v>16952</v>
      </c>
    </row>
    <row r="687" ht="15.75" spans="1:2">
      <c r="A687" s="6" t="s">
        <v>2362</v>
      </c>
      <c r="B687" s="5" t="s">
        <v>16952</v>
      </c>
    </row>
    <row r="688" ht="15.75" spans="1:2">
      <c r="A688" s="6" t="s">
        <v>2365</v>
      </c>
      <c r="B688" s="5" t="s">
        <v>16952</v>
      </c>
    </row>
    <row r="689" ht="15.75" spans="1:2">
      <c r="A689" s="6" t="s">
        <v>2369</v>
      </c>
      <c r="B689" s="5" t="s">
        <v>16952</v>
      </c>
    </row>
    <row r="690" ht="15.75" spans="1:2">
      <c r="A690" s="6" t="s">
        <v>2372</v>
      </c>
      <c r="B690" s="5" t="s">
        <v>16952</v>
      </c>
    </row>
    <row r="691" ht="15.75" spans="1:2">
      <c r="A691" s="6" t="s">
        <v>2376</v>
      </c>
      <c r="B691" s="5" t="s">
        <v>16952</v>
      </c>
    </row>
    <row r="692" ht="15.75" spans="1:2">
      <c r="A692" s="6" t="s">
        <v>2379</v>
      </c>
      <c r="B692" s="5" t="s">
        <v>16952</v>
      </c>
    </row>
    <row r="693" ht="15.75" spans="1:2">
      <c r="A693" s="6" t="s">
        <v>2383</v>
      </c>
      <c r="B693" s="5" t="s">
        <v>16952</v>
      </c>
    </row>
    <row r="694" ht="15.75" spans="1:2">
      <c r="A694" s="6" t="s">
        <v>2387</v>
      </c>
      <c r="B694" s="5" t="s">
        <v>16952</v>
      </c>
    </row>
    <row r="695" ht="15.75" spans="1:2">
      <c r="A695" s="6" t="s">
        <v>2390</v>
      </c>
      <c r="B695" s="5" t="s">
        <v>16952</v>
      </c>
    </row>
    <row r="696" ht="15.75" spans="1:2">
      <c r="A696" s="6" t="s">
        <v>2393</v>
      </c>
      <c r="B696" s="5" t="s">
        <v>16952</v>
      </c>
    </row>
    <row r="697" ht="15.75" spans="1:2">
      <c r="A697" s="6" t="s">
        <v>2397</v>
      </c>
      <c r="B697" s="5" t="s">
        <v>16952</v>
      </c>
    </row>
    <row r="698" ht="15.75" spans="1:2">
      <c r="A698" s="6" t="s">
        <v>2401</v>
      </c>
      <c r="B698" s="5" t="s">
        <v>16952</v>
      </c>
    </row>
    <row r="699" ht="15.75" spans="1:2">
      <c r="A699" s="6" t="s">
        <v>2404</v>
      </c>
      <c r="B699" s="5" t="s">
        <v>16952</v>
      </c>
    </row>
    <row r="700" ht="15.75" spans="1:2">
      <c r="A700" s="6" t="s">
        <v>2408</v>
      </c>
      <c r="B700" s="5" t="s">
        <v>16952</v>
      </c>
    </row>
    <row r="701" ht="15.75" spans="1:2">
      <c r="A701" s="6" t="s">
        <v>2411</v>
      </c>
      <c r="B701" s="5" t="s">
        <v>16952</v>
      </c>
    </row>
    <row r="702" ht="15.75" spans="1:2">
      <c r="A702" s="6" t="s">
        <v>2415</v>
      </c>
      <c r="B702" s="5" t="s">
        <v>16952</v>
      </c>
    </row>
    <row r="703" ht="15.75" spans="1:2">
      <c r="A703" s="6" t="s">
        <v>2418</v>
      </c>
      <c r="B703" s="5" t="s">
        <v>16952</v>
      </c>
    </row>
    <row r="704" ht="15.75" spans="1:2">
      <c r="A704" s="6" t="s">
        <v>2422</v>
      </c>
      <c r="B704" s="5" t="s">
        <v>16952</v>
      </c>
    </row>
    <row r="705" ht="15.75" spans="1:2">
      <c r="A705" s="6" t="s">
        <v>2425</v>
      </c>
      <c r="B705" s="5" t="s">
        <v>16952</v>
      </c>
    </row>
    <row r="706" ht="15.75" spans="1:2">
      <c r="A706" s="6" t="s">
        <v>2429</v>
      </c>
      <c r="B706" s="5" t="s">
        <v>16952</v>
      </c>
    </row>
    <row r="707" ht="15.75" spans="1:2">
      <c r="A707" s="6" t="s">
        <v>2432</v>
      </c>
      <c r="B707" s="5" t="s">
        <v>16952</v>
      </c>
    </row>
    <row r="708" ht="15.75" spans="1:2">
      <c r="A708" s="6" t="s">
        <v>2435</v>
      </c>
      <c r="B708" s="5" t="s">
        <v>16952</v>
      </c>
    </row>
    <row r="709" ht="15.75" spans="1:2">
      <c r="A709" s="6" t="s">
        <v>2438</v>
      </c>
      <c r="B709" s="5" t="s">
        <v>16952</v>
      </c>
    </row>
    <row r="710" ht="15.75" spans="1:2">
      <c r="A710" s="6" t="s">
        <v>2441</v>
      </c>
      <c r="B710" s="5" t="s">
        <v>16952</v>
      </c>
    </row>
    <row r="711" ht="15.75" spans="1:2">
      <c r="A711" s="6" t="s">
        <v>2444</v>
      </c>
      <c r="B711" s="5" t="s">
        <v>16952</v>
      </c>
    </row>
    <row r="712" ht="15.75" spans="1:2">
      <c r="A712" s="6" t="s">
        <v>2448</v>
      </c>
      <c r="B712" s="5" t="s">
        <v>16952</v>
      </c>
    </row>
    <row r="713" ht="15.75" spans="1:2">
      <c r="A713" s="6" t="s">
        <v>2451</v>
      </c>
      <c r="B713" s="5" t="s">
        <v>16952</v>
      </c>
    </row>
    <row r="714" ht="15.75" spans="1:2">
      <c r="A714" s="6" t="s">
        <v>2454</v>
      </c>
      <c r="B714" s="5" t="s">
        <v>16952</v>
      </c>
    </row>
    <row r="715" ht="15.75" spans="1:2">
      <c r="A715" s="6" t="s">
        <v>2457</v>
      </c>
      <c r="B715" s="5" t="s">
        <v>16952</v>
      </c>
    </row>
    <row r="716" ht="15.75" spans="1:2">
      <c r="A716" s="6" t="s">
        <v>2460</v>
      </c>
      <c r="B716" s="5" t="s">
        <v>16952</v>
      </c>
    </row>
    <row r="717" ht="15.75" spans="1:2">
      <c r="A717" s="6" t="s">
        <v>2464</v>
      </c>
      <c r="B717" s="5" t="s">
        <v>16952</v>
      </c>
    </row>
    <row r="718" ht="15.75" spans="1:2">
      <c r="A718" s="6" t="s">
        <v>2468</v>
      </c>
      <c r="B718" s="5" t="s">
        <v>16952</v>
      </c>
    </row>
    <row r="719" ht="15.75" spans="1:2">
      <c r="A719" s="6" t="s">
        <v>2472</v>
      </c>
      <c r="B719" s="5" t="s">
        <v>16952</v>
      </c>
    </row>
    <row r="720" ht="15.75" spans="1:2">
      <c r="A720" s="6" t="s">
        <v>2475</v>
      </c>
      <c r="B720" s="5" t="s">
        <v>16952</v>
      </c>
    </row>
    <row r="721" ht="15.75" spans="1:2">
      <c r="A721" s="6" t="s">
        <v>2478</v>
      </c>
      <c r="B721" s="5" t="s">
        <v>16952</v>
      </c>
    </row>
    <row r="722" ht="15.75" spans="1:2">
      <c r="A722" s="6" t="s">
        <v>2483</v>
      </c>
      <c r="B722" s="5" t="s">
        <v>16952</v>
      </c>
    </row>
    <row r="723" ht="15.75" spans="1:2">
      <c r="A723" s="6" t="s">
        <v>2487</v>
      </c>
      <c r="B723" s="5" t="s">
        <v>16952</v>
      </c>
    </row>
    <row r="724" ht="15.75" spans="1:2">
      <c r="A724" s="6" t="s">
        <v>2492</v>
      </c>
      <c r="B724" s="5" t="s">
        <v>16952</v>
      </c>
    </row>
    <row r="725" ht="15.75" spans="1:2">
      <c r="A725" s="6" t="s">
        <v>2495</v>
      </c>
      <c r="B725" s="5" t="s">
        <v>16952</v>
      </c>
    </row>
    <row r="726" ht="15.75" spans="1:2">
      <c r="A726" s="6" t="s">
        <v>2499</v>
      </c>
      <c r="B726" s="5" t="s">
        <v>16952</v>
      </c>
    </row>
    <row r="727" ht="31.5" spans="1:2">
      <c r="A727" s="9" t="s">
        <v>2504</v>
      </c>
      <c r="B727" s="12" t="s">
        <v>16957</v>
      </c>
    </row>
    <row r="728" ht="31.5" spans="1:2">
      <c r="A728" s="9" t="s">
        <v>2504</v>
      </c>
      <c r="B728" s="12" t="s">
        <v>16958</v>
      </c>
    </row>
    <row r="729" ht="15.75" spans="1:2">
      <c r="A729" s="9" t="s">
        <v>2505</v>
      </c>
      <c r="B729" s="10" t="s">
        <v>16952</v>
      </c>
    </row>
    <row r="730" ht="15.75" spans="1:2">
      <c r="A730" s="9" t="s">
        <v>2505</v>
      </c>
      <c r="B730" s="10" t="s">
        <v>16952</v>
      </c>
    </row>
    <row r="731" ht="15.75" spans="1:2">
      <c r="A731" s="6" t="s">
        <v>2510</v>
      </c>
      <c r="B731" s="5" t="s">
        <v>16952</v>
      </c>
    </row>
    <row r="732" ht="15.75" spans="1:2">
      <c r="A732" s="6" t="s">
        <v>2513</v>
      </c>
      <c r="B732" s="8"/>
    </row>
    <row r="733" ht="15.75" spans="1:2">
      <c r="A733" s="6" t="s">
        <v>2514</v>
      </c>
      <c r="B733" s="5" t="s">
        <v>16952</v>
      </c>
    </row>
    <row r="734" ht="15.75" spans="1:2">
      <c r="A734" s="9" t="s">
        <v>2518</v>
      </c>
      <c r="B734" s="10" t="s">
        <v>16952</v>
      </c>
    </row>
    <row r="735" ht="15.75" spans="1:2">
      <c r="A735" s="9" t="s">
        <v>2518</v>
      </c>
      <c r="B735" s="10" t="s">
        <v>16952</v>
      </c>
    </row>
    <row r="736" ht="15.75" spans="1:2">
      <c r="A736" s="4" t="s">
        <v>2523</v>
      </c>
      <c r="B736" s="5" t="s">
        <v>16952</v>
      </c>
    </row>
    <row r="737" ht="15.75" spans="1:2">
      <c r="A737" s="4" t="s">
        <v>2526</v>
      </c>
      <c r="B737" s="15"/>
    </row>
    <row r="738" ht="15.75" spans="1:2">
      <c r="A738" s="4" t="s">
        <v>2526</v>
      </c>
      <c r="B738" s="15"/>
    </row>
    <row r="739" ht="15.75" spans="1:2">
      <c r="A739" s="4" t="s">
        <v>2527</v>
      </c>
      <c r="B739" s="5" t="s">
        <v>16952</v>
      </c>
    </row>
    <row r="740" ht="15.75" spans="1:2">
      <c r="A740" s="4" t="s">
        <v>2530</v>
      </c>
      <c r="B740" s="5" t="s">
        <v>16952</v>
      </c>
    </row>
    <row r="741" ht="15.75" spans="1:2">
      <c r="A741" s="4" t="s">
        <v>2535</v>
      </c>
      <c r="B741" s="5" t="s">
        <v>16952</v>
      </c>
    </row>
    <row r="742" ht="15.75" spans="1:2">
      <c r="A742" s="4" t="s">
        <v>2540</v>
      </c>
      <c r="B742" s="5" t="s">
        <v>16952</v>
      </c>
    </row>
    <row r="743" ht="15.75" spans="1:2">
      <c r="A743" s="4" t="s">
        <v>2543</v>
      </c>
      <c r="B743" s="5" t="s">
        <v>16952</v>
      </c>
    </row>
    <row r="744" ht="15.75" spans="1:2">
      <c r="A744" s="4" t="s">
        <v>2546</v>
      </c>
      <c r="B744" s="5" t="s">
        <v>16952</v>
      </c>
    </row>
    <row r="745" ht="15.75" spans="1:2">
      <c r="A745" s="4" t="s">
        <v>2549</v>
      </c>
      <c r="B745" s="5" t="s">
        <v>16952</v>
      </c>
    </row>
    <row r="746" ht="15.75" spans="1:2">
      <c r="A746" s="4" t="s">
        <v>2552</v>
      </c>
      <c r="B746" s="5" t="s">
        <v>16952</v>
      </c>
    </row>
    <row r="747" ht="15.75" spans="1:2">
      <c r="A747" s="4" t="s">
        <v>2555</v>
      </c>
      <c r="B747" s="5" t="s">
        <v>16952</v>
      </c>
    </row>
    <row r="748" ht="15.75" spans="1:2">
      <c r="A748" s="4" t="s">
        <v>2558</v>
      </c>
      <c r="B748" s="5" t="s">
        <v>16952</v>
      </c>
    </row>
    <row r="749" ht="15.75" spans="1:2">
      <c r="A749" s="4" t="s">
        <v>2561</v>
      </c>
      <c r="B749" s="5" t="s">
        <v>16952</v>
      </c>
    </row>
    <row r="750" ht="15.75" spans="1:2">
      <c r="A750" s="4" t="s">
        <v>2564</v>
      </c>
      <c r="B750" s="5" t="s">
        <v>16952</v>
      </c>
    </row>
    <row r="751" ht="15.75" spans="1:2">
      <c r="A751" s="4" t="s">
        <v>2567</v>
      </c>
      <c r="B751" s="5" t="s">
        <v>16952</v>
      </c>
    </row>
    <row r="752" ht="15.75" spans="1:2">
      <c r="A752" s="4" t="s">
        <v>2570</v>
      </c>
      <c r="B752" s="5" t="s">
        <v>16952</v>
      </c>
    </row>
    <row r="753" ht="15.75" spans="1:2">
      <c r="A753" s="4" t="s">
        <v>2574</v>
      </c>
      <c r="B753" s="5" t="s">
        <v>16952</v>
      </c>
    </row>
    <row r="754" ht="15.75" spans="1:2">
      <c r="A754" s="4" t="s">
        <v>2578</v>
      </c>
      <c r="B754" s="5" t="s">
        <v>16952</v>
      </c>
    </row>
    <row r="755" ht="15.75" spans="1:2">
      <c r="A755" s="4" t="s">
        <v>2581</v>
      </c>
      <c r="B755" s="5" t="s">
        <v>16952</v>
      </c>
    </row>
    <row r="756" ht="15.75" spans="1:2">
      <c r="A756" s="4" t="s">
        <v>2584</v>
      </c>
      <c r="B756" s="5" t="s">
        <v>16952</v>
      </c>
    </row>
    <row r="757" ht="15.75" spans="1:2">
      <c r="A757" s="4" t="s">
        <v>2587</v>
      </c>
      <c r="B757" s="5" t="s">
        <v>16952</v>
      </c>
    </row>
    <row r="758" ht="15.75" spans="1:2">
      <c r="A758" s="4" t="s">
        <v>2591</v>
      </c>
      <c r="B758" s="5" t="s">
        <v>16952</v>
      </c>
    </row>
    <row r="759" ht="15.75" spans="1:2">
      <c r="A759" s="4" t="s">
        <v>2595</v>
      </c>
      <c r="B759" s="5" t="s">
        <v>16952</v>
      </c>
    </row>
    <row r="760" ht="15.75" spans="1:2">
      <c r="A760" s="4" t="s">
        <v>2599</v>
      </c>
      <c r="B760" s="5" t="s">
        <v>16952</v>
      </c>
    </row>
    <row r="761" ht="15.75" spans="1:2">
      <c r="A761" s="4" t="s">
        <v>2603</v>
      </c>
      <c r="B761" s="5" t="s">
        <v>16952</v>
      </c>
    </row>
    <row r="762" ht="15.75" spans="1:2">
      <c r="A762" s="4" t="s">
        <v>2606</v>
      </c>
      <c r="B762" s="5" t="s">
        <v>16952</v>
      </c>
    </row>
    <row r="763" ht="15.75" spans="1:2">
      <c r="A763" s="4" t="s">
        <v>2610</v>
      </c>
      <c r="B763" s="5" t="s">
        <v>16952</v>
      </c>
    </row>
    <row r="764" ht="15.75" spans="1:2">
      <c r="A764" s="4" t="s">
        <v>2614</v>
      </c>
      <c r="B764" s="5" t="s">
        <v>16952</v>
      </c>
    </row>
    <row r="765" ht="15.75" spans="1:2">
      <c r="A765" s="4" t="s">
        <v>2617</v>
      </c>
      <c r="B765" s="5" t="s">
        <v>16952</v>
      </c>
    </row>
    <row r="766" ht="15.75" spans="1:2">
      <c r="A766" s="4" t="s">
        <v>2621</v>
      </c>
      <c r="B766" s="5" t="s">
        <v>16952</v>
      </c>
    </row>
    <row r="767" ht="15.75" spans="1:2">
      <c r="A767" s="4" t="s">
        <v>2624</v>
      </c>
      <c r="B767" s="5" t="s">
        <v>16952</v>
      </c>
    </row>
    <row r="768" ht="15.75" spans="1:2">
      <c r="A768" s="4" t="s">
        <v>2627</v>
      </c>
      <c r="B768" s="5"/>
    </row>
    <row r="769" ht="15.75" spans="1:2">
      <c r="A769" s="4" t="s">
        <v>2631</v>
      </c>
      <c r="B769" s="5" t="s">
        <v>16952</v>
      </c>
    </row>
    <row r="770" ht="15.75" spans="1:2">
      <c r="A770" s="4" t="s">
        <v>2636</v>
      </c>
      <c r="B770" s="5" t="s">
        <v>16952</v>
      </c>
    </row>
    <row r="771" ht="15.75" spans="1:2">
      <c r="A771" s="4" t="s">
        <v>2639</v>
      </c>
      <c r="B771" s="13"/>
    </row>
    <row r="772" ht="15.75" spans="1:2">
      <c r="A772" s="4" t="s">
        <v>2643</v>
      </c>
      <c r="B772" s="5" t="s">
        <v>16952</v>
      </c>
    </row>
    <row r="773" ht="15.75" spans="1:2">
      <c r="A773" s="4" t="s">
        <v>2646</v>
      </c>
      <c r="B773" s="5" t="s">
        <v>16952</v>
      </c>
    </row>
    <row r="774" ht="15.75" spans="1:2">
      <c r="A774" s="4" t="s">
        <v>2649</v>
      </c>
      <c r="B774" s="5" t="s">
        <v>16952</v>
      </c>
    </row>
    <row r="775" ht="15.75" spans="1:2">
      <c r="A775" s="4" t="s">
        <v>2653</v>
      </c>
      <c r="B775" s="5" t="s">
        <v>16952</v>
      </c>
    </row>
    <row r="776" ht="15.75" spans="1:2">
      <c r="A776" s="4" t="s">
        <v>2657</v>
      </c>
      <c r="B776" s="5" t="s">
        <v>16952</v>
      </c>
    </row>
    <row r="777" ht="15.75" spans="1:2">
      <c r="A777" s="4" t="s">
        <v>2661</v>
      </c>
      <c r="B777" s="5" t="s">
        <v>16952</v>
      </c>
    </row>
    <row r="778" ht="15.75" spans="1:2">
      <c r="A778" s="4" t="s">
        <v>2665</v>
      </c>
      <c r="B778" s="5" t="s">
        <v>16952</v>
      </c>
    </row>
    <row r="779" ht="15.75" spans="1:2">
      <c r="A779" s="4" t="s">
        <v>2669</v>
      </c>
      <c r="B779" s="11"/>
    </row>
    <row r="780" ht="15.75" spans="1:2">
      <c r="A780" s="4" t="s">
        <v>2670</v>
      </c>
      <c r="B780" s="5" t="s">
        <v>16952</v>
      </c>
    </row>
    <row r="781" ht="15.75" spans="1:2">
      <c r="A781" s="4" t="s">
        <v>2673</v>
      </c>
      <c r="B781" s="5" t="s">
        <v>16952</v>
      </c>
    </row>
    <row r="782" ht="15.75" spans="1:2">
      <c r="A782" s="4" t="s">
        <v>2677</v>
      </c>
      <c r="B782" s="5" t="s">
        <v>16952</v>
      </c>
    </row>
    <row r="783" ht="15.75" spans="1:2">
      <c r="A783" s="4" t="s">
        <v>2681</v>
      </c>
      <c r="B783" s="5" t="s">
        <v>16952</v>
      </c>
    </row>
    <row r="784" ht="15.75" spans="1:2">
      <c r="A784" s="4" t="s">
        <v>2685</v>
      </c>
      <c r="B784" s="5" t="s">
        <v>16952</v>
      </c>
    </row>
    <row r="785" ht="15.75" spans="1:2">
      <c r="A785" s="4" t="s">
        <v>2689</v>
      </c>
      <c r="B785" s="5" t="s">
        <v>16952</v>
      </c>
    </row>
    <row r="786" ht="15.75" spans="1:2">
      <c r="A786" s="4" t="s">
        <v>2694</v>
      </c>
      <c r="B786" s="5" t="s">
        <v>16952</v>
      </c>
    </row>
    <row r="787" ht="15.75" spans="1:2">
      <c r="A787" s="4" t="s">
        <v>2698</v>
      </c>
      <c r="B787" s="5" t="s">
        <v>16952</v>
      </c>
    </row>
    <row r="788" ht="15.75" spans="1:2">
      <c r="A788" s="4" t="s">
        <v>2702</v>
      </c>
      <c r="B788" s="5" t="s">
        <v>16952</v>
      </c>
    </row>
    <row r="789" ht="15.75" spans="1:2">
      <c r="A789" s="4" t="s">
        <v>2705</v>
      </c>
      <c r="B789" s="5" t="s">
        <v>16952</v>
      </c>
    </row>
    <row r="790" ht="15.75" spans="1:2">
      <c r="A790" s="4" t="s">
        <v>2708</v>
      </c>
      <c r="B790" s="5" t="s">
        <v>16952</v>
      </c>
    </row>
    <row r="791" ht="15.75" spans="1:2">
      <c r="A791" s="4" t="s">
        <v>2713</v>
      </c>
      <c r="B791" s="5" t="s">
        <v>16952</v>
      </c>
    </row>
    <row r="792" ht="15.75" spans="1:2">
      <c r="A792" s="4" t="s">
        <v>2716</v>
      </c>
      <c r="B792" s="5" t="s">
        <v>16952</v>
      </c>
    </row>
    <row r="793" ht="15.75" spans="1:2">
      <c r="A793" s="4" t="s">
        <v>2720</v>
      </c>
      <c r="B793" s="5" t="s">
        <v>16952</v>
      </c>
    </row>
    <row r="794" ht="15.75" spans="1:2">
      <c r="A794" s="4" t="s">
        <v>2723</v>
      </c>
      <c r="B794" s="5" t="s">
        <v>16952</v>
      </c>
    </row>
    <row r="795" ht="15.75" spans="1:2">
      <c r="A795" s="4" t="s">
        <v>2728</v>
      </c>
      <c r="B795" s="5" t="s">
        <v>16952</v>
      </c>
    </row>
    <row r="796" ht="15.75" spans="1:2">
      <c r="A796" s="4" t="s">
        <v>2734</v>
      </c>
      <c r="B796" s="5" t="s">
        <v>16952</v>
      </c>
    </row>
    <row r="797" ht="15.75" spans="1:2">
      <c r="A797" s="4" t="s">
        <v>2738</v>
      </c>
      <c r="B797" s="5" t="s">
        <v>16952</v>
      </c>
    </row>
    <row r="798" ht="15.75" spans="1:2">
      <c r="A798" s="4" t="s">
        <v>2741</v>
      </c>
      <c r="B798" s="5" t="s">
        <v>16952</v>
      </c>
    </row>
    <row r="799" ht="15.75" spans="1:2">
      <c r="A799" s="4" t="s">
        <v>2746</v>
      </c>
      <c r="B799" s="8"/>
    </row>
    <row r="800" ht="15.75" spans="1:2">
      <c r="A800" s="4" t="s">
        <v>2747</v>
      </c>
      <c r="B800" s="5" t="s">
        <v>16952</v>
      </c>
    </row>
    <row r="801" ht="15.75" spans="1:2">
      <c r="A801" s="4" t="s">
        <v>2750</v>
      </c>
      <c r="B801" s="5" t="s">
        <v>16952</v>
      </c>
    </row>
    <row r="802" ht="15.75" spans="1:2">
      <c r="A802" s="4" t="s">
        <v>2755</v>
      </c>
      <c r="B802" s="5" t="s">
        <v>16952</v>
      </c>
    </row>
    <row r="803" ht="15.75" spans="1:2">
      <c r="A803" s="4" t="s">
        <v>2758</v>
      </c>
      <c r="B803" s="5" t="s">
        <v>16952</v>
      </c>
    </row>
    <row r="804" ht="15.75" spans="1:2">
      <c r="A804" s="4" t="s">
        <v>2761</v>
      </c>
      <c r="B804" s="5" t="s">
        <v>16952</v>
      </c>
    </row>
    <row r="805" ht="15.75" spans="1:2">
      <c r="A805" s="4" t="s">
        <v>2764</v>
      </c>
      <c r="B805" s="5" t="s">
        <v>16952</v>
      </c>
    </row>
    <row r="806" ht="15.75" spans="1:2">
      <c r="A806" s="4" t="s">
        <v>2767</v>
      </c>
      <c r="B806" s="5" t="s">
        <v>16952</v>
      </c>
    </row>
    <row r="807" ht="15.75" spans="1:2">
      <c r="A807" s="4" t="s">
        <v>2770</v>
      </c>
      <c r="B807" s="5" t="s">
        <v>16952</v>
      </c>
    </row>
    <row r="808" ht="15.75" spans="1:2">
      <c r="A808" s="4" t="s">
        <v>2773</v>
      </c>
      <c r="B808" s="5" t="s">
        <v>16952</v>
      </c>
    </row>
    <row r="809" ht="15.75" spans="1:2">
      <c r="A809" s="4" t="s">
        <v>2776</v>
      </c>
      <c r="B809" s="5" t="s">
        <v>16952</v>
      </c>
    </row>
    <row r="810" ht="15.75" spans="1:2">
      <c r="A810" s="4" t="s">
        <v>2779</v>
      </c>
      <c r="B810" s="5" t="s">
        <v>16952</v>
      </c>
    </row>
    <row r="811" ht="15.75" spans="1:2">
      <c r="A811" s="4" t="s">
        <v>2784</v>
      </c>
      <c r="B811" s="5" t="s">
        <v>16952</v>
      </c>
    </row>
    <row r="812" ht="15.75" spans="1:2">
      <c r="A812" s="4" t="s">
        <v>2787</v>
      </c>
      <c r="B812" s="5" t="s">
        <v>16952</v>
      </c>
    </row>
    <row r="813" ht="15.75" spans="1:2">
      <c r="A813" s="4" t="s">
        <v>2791</v>
      </c>
      <c r="B813" s="5" t="s">
        <v>16952</v>
      </c>
    </row>
    <row r="814" ht="15.75" spans="1:2">
      <c r="A814" s="9" t="s">
        <v>2795</v>
      </c>
      <c r="B814" s="10" t="s">
        <v>16952</v>
      </c>
    </row>
    <row r="815" ht="15.75" spans="1:2">
      <c r="A815" s="9" t="s">
        <v>2795</v>
      </c>
      <c r="B815" s="10" t="s">
        <v>16952</v>
      </c>
    </row>
    <row r="816" ht="15.75" spans="1:2">
      <c r="A816" s="6" t="s">
        <v>2800</v>
      </c>
      <c r="B816" s="5" t="s">
        <v>16952</v>
      </c>
    </row>
    <row r="817" ht="15.75" spans="1:2">
      <c r="A817" s="6" t="s">
        <v>2804</v>
      </c>
      <c r="B817" s="5" t="s">
        <v>16952</v>
      </c>
    </row>
    <row r="818" ht="15.75" spans="1:2">
      <c r="A818" s="6" t="s">
        <v>2807</v>
      </c>
      <c r="B818" s="5" t="s">
        <v>16952</v>
      </c>
    </row>
    <row r="819" ht="15.75" spans="1:2">
      <c r="A819" s="6" t="s">
        <v>2811</v>
      </c>
      <c r="B819" s="5" t="s">
        <v>16952</v>
      </c>
    </row>
    <row r="820" ht="15.75" spans="1:2">
      <c r="A820" s="6" t="s">
        <v>2814</v>
      </c>
      <c r="B820" s="5" t="s">
        <v>16952</v>
      </c>
    </row>
    <row r="821" ht="15.75" spans="1:2">
      <c r="A821" s="6" t="s">
        <v>2817</v>
      </c>
      <c r="B821" s="5" t="s">
        <v>16952</v>
      </c>
    </row>
    <row r="822" ht="15.75" spans="1:2">
      <c r="A822" s="6" t="s">
        <v>2821</v>
      </c>
      <c r="B822" s="5" t="s">
        <v>16952</v>
      </c>
    </row>
    <row r="823" ht="15.75" spans="1:2">
      <c r="A823" s="6" t="s">
        <v>2826</v>
      </c>
      <c r="B823" s="5" t="s">
        <v>16952</v>
      </c>
    </row>
    <row r="824" ht="15.75" spans="1:2">
      <c r="A824" s="6" t="s">
        <v>2830</v>
      </c>
      <c r="B824" s="5" t="s">
        <v>16952</v>
      </c>
    </row>
    <row r="825" ht="15.75" spans="1:2">
      <c r="A825" s="6" t="s">
        <v>2834</v>
      </c>
      <c r="B825" s="5" t="s">
        <v>16952</v>
      </c>
    </row>
    <row r="826" ht="15.75" spans="1:2">
      <c r="A826" s="6" t="s">
        <v>2838</v>
      </c>
      <c r="B826" s="5" t="s">
        <v>16952</v>
      </c>
    </row>
    <row r="827" ht="15.75" spans="1:2">
      <c r="A827" s="6" t="s">
        <v>2841</v>
      </c>
      <c r="B827" s="5" t="s">
        <v>16952</v>
      </c>
    </row>
    <row r="828" ht="15.75" spans="1:2">
      <c r="A828" s="6" t="s">
        <v>2844</v>
      </c>
      <c r="B828" s="5" t="s">
        <v>16952</v>
      </c>
    </row>
    <row r="829" ht="15.75" spans="1:2">
      <c r="A829" s="6" t="s">
        <v>2848</v>
      </c>
      <c r="B829" s="5" t="s">
        <v>16952</v>
      </c>
    </row>
    <row r="830" ht="15.75" spans="1:2">
      <c r="A830" s="6" t="s">
        <v>2852</v>
      </c>
      <c r="B830" s="5" t="s">
        <v>16952</v>
      </c>
    </row>
    <row r="831" ht="15.75" spans="1:2">
      <c r="A831" s="6" t="s">
        <v>2855</v>
      </c>
      <c r="B831" s="5" t="s">
        <v>16952</v>
      </c>
    </row>
    <row r="832" ht="15.75" spans="1:2">
      <c r="A832" s="6" t="s">
        <v>2858</v>
      </c>
      <c r="B832" s="5" t="s">
        <v>16952</v>
      </c>
    </row>
    <row r="833" ht="15.75" spans="1:2">
      <c r="A833" s="6" t="s">
        <v>2862</v>
      </c>
      <c r="B833" s="5" t="s">
        <v>16952</v>
      </c>
    </row>
    <row r="834" ht="15.75" spans="1:2">
      <c r="A834" s="6" t="s">
        <v>2866</v>
      </c>
      <c r="B834" s="5" t="s">
        <v>16952</v>
      </c>
    </row>
    <row r="835" ht="15.75" spans="1:2">
      <c r="A835" s="6" t="s">
        <v>2869</v>
      </c>
      <c r="B835" s="5" t="s">
        <v>16952</v>
      </c>
    </row>
    <row r="836" ht="15.75" spans="1:2">
      <c r="A836" s="6" t="s">
        <v>2873</v>
      </c>
      <c r="B836" s="5" t="s">
        <v>16952</v>
      </c>
    </row>
    <row r="837" ht="15.75" spans="1:2">
      <c r="A837" s="6" t="s">
        <v>2877</v>
      </c>
      <c r="B837" s="5" t="s">
        <v>16952</v>
      </c>
    </row>
    <row r="838" ht="15.75" spans="1:2">
      <c r="A838" s="6" t="s">
        <v>2881</v>
      </c>
      <c r="B838" s="5" t="s">
        <v>16952</v>
      </c>
    </row>
    <row r="839" ht="15.75" spans="1:2">
      <c r="A839" s="6" t="s">
        <v>2885</v>
      </c>
      <c r="B839" s="5" t="s">
        <v>16952</v>
      </c>
    </row>
    <row r="840" ht="15.75" spans="1:2">
      <c r="A840" s="6" t="s">
        <v>2888</v>
      </c>
      <c r="B840" s="5" t="s">
        <v>16952</v>
      </c>
    </row>
    <row r="841" ht="15.75" spans="1:2">
      <c r="A841" s="6" t="s">
        <v>2893</v>
      </c>
      <c r="B841" s="5" t="s">
        <v>16952</v>
      </c>
    </row>
    <row r="842" ht="15.75" spans="1:2">
      <c r="A842" s="9" t="s">
        <v>2897</v>
      </c>
      <c r="B842" s="10" t="s">
        <v>16952</v>
      </c>
    </row>
    <row r="843" ht="15.75" spans="1:2">
      <c r="A843" s="9" t="s">
        <v>2897</v>
      </c>
      <c r="B843" s="10" t="s">
        <v>16952</v>
      </c>
    </row>
    <row r="844" ht="15.75" spans="1:2">
      <c r="A844" s="6" t="s">
        <v>2901</v>
      </c>
      <c r="B844" s="5" t="s">
        <v>16952</v>
      </c>
    </row>
    <row r="845" ht="15.75" spans="1:2">
      <c r="A845" s="6" t="s">
        <v>2904</v>
      </c>
      <c r="B845" s="8"/>
    </row>
    <row r="846" ht="15.75" spans="1:2">
      <c r="A846" s="6" t="s">
        <v>2905</v>
      </c>
      <c r="B846" s="5" t="s">
        <v>16952</v>
      </c>
    </row>
    <row r="847" ht="15.75" spans="1:2">
      <c r="A847" s="6" t="s">
        <v>2908</v>
      </c>
      <c r="B847" s="5" t="s">
        <v>16952</v>
      </c>
    </row>
    <row r="848" ht="15.75" spans="1:2">
      <c r="A848" s="6" t="s">
        <v>2912</v>
      </c>
      <c r="B848" s="5" t="s">
        <v>16952</v>
      </c>
    </row>
    <row r="849" ht="15.75" spans="1:2">
      <c r="A849" s="6" t="s">
        <v>2915</v>
      </c>
      <c r="B849" s="5" t="s">
        <v>16952</v>
      </c>
    </row>
    <row r="850" ht="15.75" spans="1:2">
      <c r="A850" s="6" t="s">
        <v>2919</v>
      </c>
      <c r="B850" s="5" t="s">
        <v>16952</v>
      </c>
    </row>
    <row r="851" ht="31.5" spans="1:2">
      <c r="A851" s="6" t="s">
        <v>2923</v>
      </c>
      <c r="B851" s="8" t="s">
        <v>16959</v>
      </c>
    </row>
    <row r="852" ht="15.75" spans="1:2">
      <c r="A852" s="6" t="s">
        <v>2924</v>
      </c>
      <c r="B852" s="5" t="s">
        <v>16952</v>
      </c>
    </row>
    <row r="853" ht="15.75" spans="1:2">
      <c r="A853" s="6" t="s">
        <v>2927</v>
      </c>
      <c r="B853" s="5" t="s">
        <v>16952</v>
      </c>
    </row>
    <row r="854" ht="15.75" spans="1:2">
      <c r="A854" s="6" t="s">
        <v>2930</v>
      </c>
      <c r="B854" s="5" t="s">
        <v>16952</v>
      </c>
    </row>
    <row r="855" ht="15.75" spans="1:2">
      <c r="A855" s="6" t="s">
        <v>2934</v>
      </c>
      <c r="B855" s="5" t="s">
        <v>16952</v>
      </c>
    </row>
    <row r="856" ht="15.75" spans="1:2">
      <c r="A856" s="6" t="s">
        <v>2938</v>
      </c>
      <c r="B856" s="8"/>
    </row>
    <row r="857" ht="15.75" spans="1:2">
      <c r="A857" s="6" t="s">
        <v>2939</v>
      </c>
      <c r="B857" s="5" t="s">
        <v>16952</v>
      </c>
    </row>
    <row r="858" ht="15.75" spans="1:2">
      <c r="A858" s="6" t="s">
        <v>2942</v>
      </c>
      <c r="B858" s="5" t="s">
        <v>16952</v>
      </c>
    </row>
    <row r="859" ht="15.75" spans="1:2">
      <c r="A859" s="6" t="s">
        <v>2945</v>
      </c>
      <c r="B859" s="5" t="s">
        <v>16952</v>
      </c>
    </row>
    <row r="860" ht="15.75" spans="1:2">
      <c r="A860" s="6" t="s">
        <v>2949</v>
      </c>
      <c r="B860" s="5" t="s">
        <v>16952</v>
      </c>
    </row>
    <row r="861" ht="15.75" spans="1:2">
      <c r="A861" s="6" t="s">
        <v>2952</v>
      </c>
      <c r="B861" s="5" t="s">
        <v>16952</v>
      </c>
    </row>
    <row r="862" ht="15.75" spans="1:2">
      <c r="A862" s="6" t="s">
        <v>2953</v>
      </c>
      <c r="B862" s="5" t="s">
        <v>16952</v>
      </c>
    </row>
    <row r="863" ht="15.75" spans="1:2">
      <c r="A863" s="6" t="s">
        <v>2957</v>
      </c>
      <c r="B863" s="5" t="s">
        <v>16952</v>
      </c>
    </row>
    <row r="864" ht="15.75" spans="1:2">
      <c r="A864" s="6" t="s">
        <v>2961</v>
      </c>
      <c r="B864" s="8"/>
    </row>
    <row r="865" ht="15.75" spans="1:2">
      <c r="A865" s="6" t="s">
        <v>2962</v>
      </c>
      <c r="B865" s="5" t="s">
        <v>16952</v>
      </c>
    </row>
    <row r="866" ht="15.75" spans="1:2">
      <c r="A866" s="6" t="s">
        <v>2965</v>
      </c>
      <c r="B866" s="5" t="s">
        <v>16952</v>
      </c>
    </row>
    <row r="867" ht="15.75" spans="1:2">
      <c r="A867" s="6" t="s">
        <v>2969</v>
      </c>
      <c r="B867" s="5" t="s">
        <v>16952</v>
      </c>
    </row>
    <row r="868" ht="15.75" spans="1:2">
      <c r="A868" s="6" t="s">
        <v>2972</v>
      </c>
      <c r="B868" s="5" t="s">
        <v>16952</v>
      </c>
    </row>
    <row r="869" ht="15.75" spans="1:2">
      <c r="A869" s="6" t="s">
        <v>2975</v>
      </c>
      <c r="B869" s="5" t="s">
        <v>16952</v>
      </c>
    </row>
    <row r="870" ht="15.75" spans="1:2">
      <c r="A870" s="9" t="s">
        <v>2979</v>
      </c>
      <c r="B870" s="10" t="s">
        <v>16952</v>
      </c>
    </row>
    <row r="871" ht="15.75" spans="1:2">
      <c r="A871" s="9" t="s">
        <v>2979</v>
      </c>
      <c r="B871" s="10" t="s">
        <v>16952</v>
      </c>
    </row>
    <row r="872" ht="15.75" spans="1:2">
      <c r="A872" s="6" t="s">
        <v>2983</v>
      </c>
      <c r="B872" s="5" t="s">
        <v>16952</v>
      </c>
    </row>
    <row r="873" ht="15.75" spans="1:2">
      <c r="A873" s="6" t="s">
        <v>2988</v>
      </c>
      <c r="B873" s="5" t="s">
        <v>16952</v>
      </c>
    </row>
    <row r="874" ht="15.75" spans="1:2">
      <c r="A874" s="6" t="s">
        <v>2991</v>
      </c>
      <c r="B874" s="5" t="s">
        <v>16952</v>
      </c>
    </row>
    <row r="875" ht="15.75" spans="1:2">
      <c r="A875" s="6" t="s">
        <v>2995</v>
      </c>
      <c r="B875" s="5" t="s">
        <v>16952</v>
      </c>
    </row>
    <row r="876" ht="15.75" spans="1:2">
      <c r="A876" s="6" t="s">
        <v>2999</v>
      </c>
      <c r="B876" s="5" t="s">
        <v>16952</v>
      </c>
    </row>
    <row r="877" ht="15.75" spans="1:2">
      <c r="A877" s="6" t="s">
        <v>3002</v>
      </c>
      <c r="B877" s="5" t="s">
        <v>16952</v>
      </c>
    </row>
    <row r="878" ht="15.75" spans="1:2">
      <c r="A878" s="6" t="s">
        <v>3005</v>
      </c>
      <c r="B878" s="5" t="s">
        <v>16952</v>
      </c>
    </row>
    <row r="879" ht="15.75" spans="1:2">
      <c r="A879" s="6" t="s">
        <v>3009</v>
      </c>
      <c r="B879" s="11" t="s">
        <v>16960</v>
      </c>
    </row>
    <row r="880" ht="15.75" spans="1:2">
      <c r="A880" s="6" t="s">
        <v>3010</v>
      </c>
      <c r="B880" s="5" t="s">
        <v>16952</v>
      </c>
    </row>
    <row r="881" ht="15.75" spans="1:2">
      <c r="A881" s="6" t="s">
        <v>3014</v>
      </c>
      <c r="B881" s="5" t="s">
        <v>16952</v>
      </c>
    </row>
    <row r="882" ht="15.75" spans="1:2">
      <c r="A882" s="6" t="s">
        <v>3018</v>
      </c>
      <c r="B882" s="5" t="s">
        <v>16952</v>
      </c>
    </row>
    <row r="883" ht="15.75" spans="1:2">
      <c r="A883" s="6" t="s">
        <v>3021</v>
      </c>
      <c r="B883" s="5" t="s">
        <v>16952</v>
      </c>
    </row>
    <row r="884" ht="15.75" spans="1:2">
      <c r="A884" s="6" t="s">
        <v>3025</v>
      </c>
      <c r="B884" s="5" t="s">
        <v>16952</v>
      </c>
    </row>
    <row r="885" ht="15.75" spans="1:2">
      <c r="A885" s="6" t="s">
        <v>3028</v>
      </c>
      <c r="B885" s="5" t="s">
        <v>16952</v>
      </c>
    </row>
    <row r="886" ht="15.75" spans="1:2">
      <c r="A886" s="6" t="s">
        <v>3031</v>
      </c>
      <c r="B886" s="5" t="s">
        <v>16952</v>
      </c>
    </row>
    <row r="887" ht="15.75" spans="1:2">
      <c r="A887" s="6" t="s">
        <v>3034</v>
      </c>
      <c r="B887" s="5" t="s">
        <v>16952</v>
      </c>
    </row>
    <row r="888" ht="15.75" spans="1:2">
      <c r="A888" s="6" t="s">
        <v>3037</v>
      </c>
      <c r="B888" s="5" t="s">
        <v>16952</v>
      </c>
    </row>
    <row r="889" ht="15.75" spans="1:2">
      <c r="A889" s="6" t="s">
        <v>3040</v>
      </c>
      <c r="B889" s="5" t="s">
        <v>16952</v>
      </c>
    </row>
    <row r="890" ht="15.75" spans="1:2">
      <c r="A890" s="6" t="s">
        <v>3043</v>
      </c>
      <c r="B890" s="5" t="s">
        <v>16952</v>
      </c>
    </row>
    <row r="891" ht="15.75" spans="1:2">
      <c r="A891" s="6" t="s">
        <v>3047</v>
      </c>
      <c r="B891" s="5" t="s">
        <v>16952</v>
      </c>
    </row>
    <row r="892" ht="15.75" spans="1:2">
      <c r="A892" s="6" t="s">
        <v>3051</v>
      </c>
      <c r="B892" s="5" t="s">
        <v>16952</v>
      </c>
    </row>
    <row r="893" ht="15.75" spans="1:2">
      <c r="A893" s="6" t="s">
        <v>3055</v>
      </c>
      <c r="B893" s="5" t="s">
        <v>16952</v>
      </c>
    </row>
    <row r="894" ht="15.75" spans="1:2">
      <c r="A894" s="6" t="s">
        <v>3059</v>
      </c>
      <c r="B894" s="5" t="s">
        <v>16952</v>
      </c>
    </row>
    <row r="895" ht="15.75" spans="1:2">
      <c r="A895" s="6" t="s">
        <v>3063</v>
      </c>
      <c r="B895" s="5" t="s">
        <v>16952</v>
      </c>
    </row>
    <row r="896" ht="15.75" spans="1:2">
      <c r="A896" s="6" t="s">
        <v>3066</v>
      </c>
      <c r="B896" s="5" t="s">
        <v>16952</v>
      </c>
    </row>
    <row r="897" ht="15.75" spans="1:2">
      <c r="A897" s="6" t="s">
        <v>3070</v>
      </c>
      <c r="B897" s="5" t="s">
        <v>16952</v>
      </c>
    </row>
    <row r="898" ht="15.75" spans="1:2">
      <c r="A898" s="6" t="s">
        <v>3073</v>
      </c>
      <c r="B898" s="5" t="s">
        <v>16952</v>
      </c>
    </row>
    <row r="899" ht="15.75" spans="1:2">
      <c r="A899" s="6" t="s">
        <v>3077</v>
      </c>
      <c r="B899" s="5" t="s">
        <v>16952</v>
      </c>
    </row>
    <row r="900" ht="15.75" spans="1:2">
      <c r="A900" s="6" t="s">
        <v>3080</v>
      </c>
      <c r="B900" s="5" t="s">
        <v>16952</v>
      </c>
    </row>
    <row r="901" ht="15.75" spans="1:2">
      <c r="A901" s="6" t="s">
        <v>3083</v>
      </c>
      <c r="B901" s="5" t="s">
        <v>16952</v>
      </c>
    </row>
    <row r="902" ht="15.75" spans="1:2">
      <c r="A902" s="6" t="s">
        <v>3086</v>
      </c>
      <c r="B902" s="5" t="s">
        <v>16952</v>
      </c>
    </row>
    <row r="903" ht="15.75" spans="1:2">
      <c r="A903" s="6" t="s">
        <v>3091</v>
      </c>
      <c r="B903" s="5" t="s">
        <v>16952</v>
      </c>
    </row>
    <row r="904" ht="15.75" spans="1:2">
      <c r="A904" s="6" t="s">
        <v>3094</v>
      </c>
      <c r="B904" s="5" t="s">
        <v>16952</v>
      </c>
    </row>
    <row r="905" ht="15.75" spans="1:2">
      <c r="A905" s="6" t="s">
        <v>3098</v>
      </c>
      <c r="B905" s="5" t="s">
        <v>16952</v>
      </c>
    </row>
    <row r="906" ht="15.75" spans="1:2">
      <c r="A906" s="6" t="s">
        <v>3101</v>
      </c>
      <c r="B906" s="5" t="s">
        <v>16952</v>
      </c>
    </row>
    <row r="907" ht="15.75" spans="1:2">
      <c r="A907" s="6" t="s">
        <v>3105</v>
      </c>
      <c r="B907" s="5" t="s">
        <v>16952</v>
      </c>
    </row>
    <row r="908" ht="15.75" spans="1:2">
      <c r="A908" s="6" t="s">
        <v>3109</v>
      </c>
      <c r="B908" s="5" t="s">
        <v>16952</v>
      </c>
    </row>
    <row r="909" ht="15.75" spans="1:2">
      <c r="A909" s="6" t="s">
        <v>3113</v>
      </c>
      <c r="B909" s="5" t="s">
        <v>16952</v>
      </c>
    </row>
    <row r="910" ht="15.75" spans="1:2">
      <c r="A910" s="6" t="s">
        <v>3116</v>
      </c>
      <c r="B910" s="5" t="s">
        <v>16952</v>
      </c>
    </row>
    <row r="911" ht="15.75" spans="1:2">
      <c r="A911" s="6" t="s">
        <v>3120</v>
      </c>
      <c r="B911" s="5" t="s">
        <v>16952</v>
      </c>
    </row>
    <row r="912" ht="15.75" spans="1:2">
      <c r="A912" s="6" t="s">
        <v>3123</v>
      </c>
      <c r="B912" s="5" t="s">
        <v>16952</v>
      </c>
    </row>
    <row r="913" ht="15.75" spans="1:2">
      <c r="A913" s="6" t="s">
        <v>3126</v>
      </c>
      <c r="B913" s="5" t="s">
        <v>16952</v>
      </c>
    </row>
    <row r="914" ht="15.75" spans="1:2">
      <c r="A914" s="6" t="s">
        <v>3130</v>
      </c>
      <c r="B914" s="5" t="s">
        <v>16952</v>
      </c>
    </row>
    <row r="915" ht="15.75" spans="1:2">
      <c r="A915" s="6" t="s">
        <v>3133</v>
      </c>
      <c r="B915" s="5" t="s">
        <v>16952</v>
      </c>
    </row>
    <row r="916" ht="15.75" spans="1:2">
      <c r="A916" s="6" t="s">
        <v>3136</v>
      </c>
      <c r="B916" s="5" t="s">
        <v>16952</v>
      </c>
    </row>
    <row r="917" ht="15.75" spans="1:2">
      <c r="A917" s="6" t="s">
        <v>3139</v>
      </c>
      <c r="B917" s="5" t="s">
        <v>16952</v>
      </c>
    </row>
    <row r="918" ht="15.75" spans="1:2">
      <c r="A918" s="6" t="s">
        <v>3143</v>
      </c>
      <c r="B918" s="5" t="s">
        <v>16952</v>
      </c>
    </row>
    <row r="919" ht="15.75" spans="1:2">
      <c r="A919" s="6" t="s">
        <v>3146</v>
      </c>
      <c r="B919" s="5" t="s">
        <v>16952</v>
      </c>
    </row>
    <row r="920" ht="15.75" spans="1:2">
      <c r="A920" s="6" t="s">
        <v>3150</v>
      </c>
      <c r="B920" s="5" t="s">
        <v>16952</v>
      </c>
    </row>
    <row r="921" ht="15.75" spans="1:2">
      <c r="A921" s="6" t="s">
        <v>3154</v>
      </c>
      <c r="B921" s="5" t="s">
        <v>16952</v>
      </c>
    </row>
    <row r="922" ht="15.75" spans="1:2">
      <c r="A922" s="6" t="s">
        <v>3157</v>
      </c>
      <c r="B922" s="5" t="s">
        <v>16952</v>
      </c>
    </row>
    <row r="923" ht="15.75" spans="1:2">
      <c r="A923" s="6" t="s">
        <v>3160</v>
      </c>
      <c r="B923" s="5" t="s">
        <v>16952</v>
      </c>
    </row>
    <row r="924" ht="15.75" spans="1:2">
      <c r="A924" s="6" t="s">
        <v>3163</v>
      </c>
      <c r="B924" s="5" t="s">
        <v>16952</v>
      </c>
    </row>
    <row r="925" ht="15.75" spans="1:2">
      <c r="A925" s="6" t="s">
        <v>3167</v>
      </c>
      <c r="B925" s="5" t="s">
        <v>16952</v>
      </c>
    </row>
    <row r="926" ht="15.75" spans="1:2">
      <c r="A926" s="6" t="s">
        <v>3170</v>
      </c>
      <c r="B926" s="5" t="s">
        <v>16952</v>
      </c>
    </row>
    <row r="927" ht="15.75" spans="1:2">
      <c r="A927" s="6" t="s">
        <v>3173</v>
      </c>
      <c r="B927" s="5" t="s">
        <v>16952</v>
      </c>
    </row>
    <row r="928" ht="15.75" spans="1:2">
      <c r="A928" s="6" t="s">
        <v>3176</v>
      </c>
      <c r="B928" s="5" t="s">
        <v>16952</v>
      </c>
    </row>
    <row r="929" ht="15.75" spans="1:2">
      <c r="A929" s="6" t="s">
        <v>3179</v>
      </c>
      <c r="B929" s="5" t="s">
        <v>16952</v>
      </c>
    </row>
    <row r="930" ht="31.5" spans="1:2">
      <c r="A930" s="6" t="s">
        <v>3182</v>
      </c>
      <c r="B930" s="8" t="s">
        <v>16961</v>
      </c>
    </row>
    <row r="931" ht="15.75" spans="1:2">
      <c r="A931" s="9" t="s">
        <v>3183</v>
      </c>
      <c r="B931" s="10" t="s">
        <v>16952</v>
      </c>
    </row>
    <row r="932" ht="15.75" spans="1:2">
      <c r="A932" s="9" t="s">
        <v>3183</v>
      </c>
      <c r="B932" s="10" t="s">
        <v>16952</v>
      </c>
    </row>
    <row r="933" ht="15.75" spans="1:2">
      <c r="A933" s="9" t="s">
        <v>3183</v>
      </c>
      <c r="B933" s="14"/>
    </row>
    <row r="934" ht="15.75" spans="1:2">
      <c r="A934" s="6" t="s">
        <v>3187</v>
      </c>
      <c r="B934" s="5" t="s">
        <v>16952</v>
      </c>
    </row>
    <row r="935" ht="15.75" spans="1:2">
      <c r="A935" s="6" t="s">
        <v>3190</v>
      </c>
      <c r="B935" s="5" t="s">
        <v>16952</v>
      </c>
    </row>
    <row r="936" ht="15.75" spans="1:2">
      <c r="A936" s="6" t="s">
        <v>3193</v>
      </c>
      <c r="B936" s="5" t="s">
        <v>16952</v>
      </c>
    </row>
    <row r="937" ht="15.75" spans="1:2">
      <c r="A937" s="6" t="s">
        <v>3196</v>
      </c>
      <c r="B937" s="5" t="s">
        <v>16952</v>
      </c>
    </row>
    <row r="938" ht="15.75" spans="1:2">
      <c r="A938" s="6" t="s">
        <v>3199</v>
      </c>
      <c r="B938" s="5" t="s">
        <v>16952</v>
      </c>
    </row>
    <row r="939" ht="15.75" spans="1:2">
      <c r="A939" s="6" t="s">
        <v>3202</v>
      </c>
      <c r="B939" s="5" t="s">
        <v>16952</v>
      </c>
    </row>
    <row r="940" ht="15.75" spans="1:2">
      <c r="A940" s="6" t="s">
        <v>3205</v>
      </c>
      <c r="B940" s="5" t="s">
        <v>16952</v>
      </c>
    </row>
    <row r="941" ht="15.75" spans="1:2">
      <c r="A941" s="6" t="s">
        <v>3209</v>
      </c>
      <c r="B941" s="5" t="s">
        <v>16952</v>
      </c>
    </row>
    <row r="942" ht="15.75" spans="1:2">
      <c r="A942" s="6" t="s">
        <v>3212</v>
      </c>
      <c r="B942" s="5" t="s">
        <v>16952</v>
      </c>
    </row>
    <row r="943" ht="15.75" spans="1:2">
      <c r="A943" s="6" t="s">
        <v>3216</v>
      </c>
      <c r="B943" s="5" t="s">
        <v>16952</v>
      </c>
    </row>
    <row r="944" ht="15.75" spans="1:2">
      <c r="A944" s="6" t="s">
        <v>3219</v>
      </c>
      <c r="B944" s="5" t="s">
        <v>16952</v>
      </c>
    </row>
    <row r="945" ht="15.75" spans="1:2">
      <c r="A945" s="9" t="s">
        <v>3222</v>
      </c>
      <c r="B945" s="10" t="s">
        <v>16952</v>
      </c>
    </row>
    <row r="946" ht="15.75" spans="1:2">
      <c r="A946" s="9" t="s">
        <v>3222</v>
      </c>
      <c r="B946" s="10" t="s">
        <v>16952</v>
      </c>
    </row>
    <row r="947" ht="15.75" spans="1:2">
      <c r="A947" s="6" t="s">
        <v>3227</v>
      </c>
      <c r="B947" s="5" t="s">
        <v>16952</v>
      </c>
    </row>
    <row r="948" ht="15.75" spans="1:2">
      <c r="A948" s="6" t="s">
        <v>3230</v>
      </c>
      <c r="B948" s="5" t="s">
        <v>16952</v>
      </c>
    </row>
    <row r="949" ht="15.75" spans="1:2">
      <c r="A949" s="6" t="s">
        <v>3233</v>
      </c>
      <c r="B949" s="5" t="s">
        <v>16952</v>
      </c>
    </row>
    <row r="950" ht="15.75" spans="1:2">
      <c r="A950" s="6" t="s">
        <v>3236</v>
      </c>
      <c r="B950" s="5" t="s">
        <v>16952</v>
      </c>
    </row>
    <row r="951" ht="15.75" spans="1:2">
      <c r="A951" s="6" t="s">
        <v>3239</v>
      </c>
      <c r="B951" s="5" t="s">
        <v>16952</v>
      </c>
    </row>
    <row r="952" ht="15.75" spans="1:2">
      <c r="A952" s="6" t="s">
        <v>3242</v>
      </c>
      <c r="B952" s="5" t="s">
        <v>16952</v>
      </c>
    </row>
    <row r="953" ht="15.75" spans="1:2">
      <c r="A953" s="6" t="s">
        <v>3245</v>
      </c>
      <c r="B953" s="5" t="s">
        <v>16952</v>
      </c>
    </row>
    <row r="954" ht="15.75" spans="1:2">
      <c r="A954" s="6" t="s">
        <v>3250</v>
      </c>
      <c r="B954" s="5" t="s">
        <v>16952</v>
      </c>
    </row>
    <row r="955" ht="15.75" spans="1:2">
      <c r="A955" s="6" t="s">
        <v>3254</v>
      </c>
      <c r="B955" s="5" t="s">
        <v>16952</v>
      </c>
    </row>
    <row r="956" ht="15.75" spans="1:2">
      <c r="A956" s="6" t="s">
        <v>3257</v>
      </c>
      <c r="B956" s="5" t="s">
        <v>16952</v>
      </c>
    </row>
    <row r="957" ht="15.75" spans="1:2">
      <c r="A957" s="6" t="s">
        <v>3261</v>
      </c>
      <c r="B957" s="5" t="s">
        <v>16952</v>
      </c>
    </row>
    <row r="958" ht="15.75" spans="1:2">
      <c r="A958" s="6" t="s">
        <v>3265</v>
      </c>
      <c r="B958" s="5" t="s">
        <v>16952</v>
      </c>
    </row>
    <row r="959" ht="15.75" spans="1:2">
      <c r="A959" s="6" t="s">
        <v>3269</v>
      </c>
      <c r="B959" s="5" t="s">
        <v>16952</v>
      </c>
    </row>
    <row r="960" ht="15.75" spans="1:2">
      <c r="A960" s="6" t="s">
        <v>3272</v>
      </c>
      <c r="B960" s="5" t="s">
        <v>16952</v>
      </c>
    </row>
    <row r="961" ht="15.75" spans="1:2">
      <c r="A961" s="6" t="s">
        <v>3275</v>
      </c>
      <c r="B961" s="5" t="s">
        <v>16952</v>
      </c>
    </row>
    <row r="962" ht="15.75" spans="1:2">
      <c r="A962" s="6" t="s">
        <v>3278</v>
      </c>
      <c r="B962" s="5" t="s">
        <v>16952</v>
      </c>
    </row>
    <row r="963" ht="15.75" spans="1:2">
      <c r="A963" s="6" t="s">
        <v>3282</v>
      </c>
      <c r="B963" s="5" t="s">
        <v>16952</v>
      </c>
    </row>
    <row r="964" ht="15.75" spans="1:2">
      <c r="A964" s="6" t="s">
        <v>3285</v>
      </c>
      <c r="B964" s="5" t="s">
        <v>16952</v>
      </c>
    </row>
    <row r="965" ht="15.75" spans="1:2">
      <c r="A965" s="6" t="s">
        <v>3289</v>
      </c>
      <c r="B965" s="5" t="s">
        <v>16952</v>
      </c>
    </row>
    <row r="966" ht="15.75" spans="1:2">
      <c r="A966" s="6" t="s">
        <v>3292</v>
      </c>
      <c r="B966" s="5" t="s">
        <v>16952</v>
      </c>
    </row>
    <row r="967" ht="15.75" spans="1:2">
      <c r="A967" s="6" t="s">
        <v>3295</v>
      </c>
      <c r="B967" s="5" t="s">
        <v>16952</v>
      </c>
    </row>
    <row r="968" ht="15.75" spans="1:2">
      <c r="A968" s="6" t="s">
        <v>3299</v>
      </c>
      <c r="B968" s="5" t="s">
        <v>16952</v>
      </c>
    </row>
    <row r="969" ht="15.75" spans="1:2">
      <c r="A969" s="6" t="s">
        <v>3303</v>
      </c>
      <c r="B969" s="8"/>
    </row>
    <row r="970" ht="15.75" spans="1:2">
      <c r="A970" s="6" t="s">
        <v>3304</v>
      </c>
      <c r="B970" s="5" t="s">
        <v>16952</v>
      </c>
    </row>
    <row r="971" ht="15.75" spans="1:2">
      <c r="A971" s="6" t="s">
        <v>3309</v>
      </c>
      <c r="B971" s="5" t="s">
        <v>16952</v>
      </c>
    </row>
    <row r="972" ht="15.75" spans="1:2">
      <c r="A972" s="6" t="s">
        <v>3312</v>
      </c>
      <c r="B972" s="5" t="s">
        <v>16952</v>
      </c>
    </row>
    <row r="973" ht="15.75" spans="1:2">
      <c r="A973" s="6" t="s">
        <v>3316</v>
      </c>
      <c r="B973" s="5" t="s">
        <v>16952</v>
      </c>
    </row>
    <row r="974" ht="15.75" spans="1:2">
      <c r="A974" s="6" t="s">
        <v>3320</v>
      </c>
      <c r="B974" s="5" t="s">
        <v>16952</v>
      </c>
    </row>
    <row r="975" ht="15.75" spans="1:2">
      <c r="A975" s="6" t="s">
        <v>3323</v>
      </c>
      <c r="B975" s="5" t="s">
        <v>16952</v>
      </c>
    </row>
    <row r="976" ht="15.75" spans="1:2">
      <c r="A976" s="6" t="s">
        <v>3327</v>
      </c>
      <c r="B976" s="5" t="s">
        <v>16952</v>
      </c>
    </row>
    <row r="977" ht="15.75" spans="1:2">
      <c r="A977" s="6" t="s">
        <v>3330</v>
      </c>
      <c r="B977" s="5" t="s">
        <v>16952</v>
      </c>
    </row>
    <row r="978" ht="15.75" spans="1:2">
      <c r="A978" s="6" t="s">
        <v>3334</v>
      </c>
      <c r="B978" s="5" t="s">
        <v>16952</v>
      </c>
    </row>
    <row r="979" ht="15.75" spans="1:2">
      <c r="A979" s="6" t="s">
        <v>3337</v>
      </c>
      <c r="B979" s="5" t="s">
        <v>16952</v>
      </c>
    </row>
    <row r="980" ht="15.75" spans="1:2">
      <c r="A980" s="6" t="s">
        <v>3342</v>
      </c>
      <c r="B980" s="5" t="s">
        <v>16952</v>
      </c>
    </row>
    <row r="981" ht="15.75" spans="1:2">
      <c r="A981" s="6" t="s">
        <v>3345</v>
      </c>
      <c r="B981" s="5" t="s">
        <v>16952</v>
      </c>
    </row>
    <row r="982" ht="15.75" spans="1:2">
      <c r="A982" s="6" t="s">
        <v>3350</v>
      </c>
      <c r="B982" s="5" t="s">
        <v>16952</v>
      </c>
    </row>
    <row r="983" ht="15.75" spans="1:2">
      <c r="A983" s="6" t="s">
        <v>3353</v>
      </c>
      <c r="B983" s="5" t="s">
        <v>16952</v>
      </c>
    </row>
    <row r="984" ht="15.75" spans="1:2">
      <c r="A984" s="6" t="s">
        <v>3357</v>
      </c>
      <c r="B984" s="5" t="s">
        <v>16952</v>
      </c>
    </row>
    <row r="985" ht="15.75" spans="1:2">
      <c r="A985" s="6" t="s">
        <v>3361</v>
      </c>
      <c r="B985" s="5" t="s">
        <v>16952</v>
      </c>
    </row>
    <row r="986" ht="15.75" spans="1:2">
      <c r="A986" s="6" t="s">
        <v>3364</v>
      </c>
      <c r="B986" s="5" t="s">
        <v>16952</v>
      </c>
    </row>
    <row r="987" ht="15.75" spans="1:2">
      <c r="A987" s="6" t="s">
        <v>3367</v>
      </c>
      <c r="B987" s="5" t="s">
        <v>16952</v>
      </c>
    </row>
    <row r="988" ht="15.75" spans="1:2">
      <c r="A988" s="6" t="s">
        <v>3371</v>
      </c>
      <c r="B988" s="5" t="s">
        <v>16952</v>
      </c>
    </row>
    <row r="989" ht="15.75" spans="1:2">
      <c r="A989" s="6" t="s">
        <v>3376</v>
      </c>
      <c r="B989" s="5" t="s">
        <v>16952</v>
      </c>
    </row>
    <row r="990" ht="15.75" spans="1:2">
      <c r="A990" s="6" t="s">
        <v>3379</v>
      </c>
      <c r="B990" s="5" t="s">
        <v>16952</v>
      </c>
    </row>
    <row r="991" ht="15.75" spans="1:2">
      <c r="A991" s="6" t="s">
        <v>3382</v>
      </c>
      <c r="B991" s="5" t="s">
        <v>16952</v>
      </c>
    </row>
    <row r="992" ht="15.75" spans="1:2">
      <c r="A992" s="6" t="s">
        <v>3385</v>
      </c>
      <c r="B992" s="5" t="s">
        <v>16952</v>
      </c>
    </row>
    <row r="993" ht="15.75" spans="1:2">
      <c r="A993" s="6" t="s">
        <v>3388</v>
      </c>
      <c r="B993" s="5" t="s">
        <v>16952</v>
      </c>
    </row>
    <row r="994" ht="15.75" spans="1:2">
      <c r="A994" s="6" t="s">
        <v>3393</v>
      </c>
      <c r="B994" s="5" t="s">
        <v>16952</v>
      </c>
    </row>
    <row r="995" ht="15.75" spans="1:2">
      <c r="A995" s="6" t="s">
        <v>3397</v>
      </c>
      <c r="B995" s="8"/>
    </row>
    <row r="996" ht="15.75" spans="1:2">
      <c r="A996" s="6" t="s">
        <v>3398</v>
      </c>
      <c r="B996" s="8"/>
    </row>
    <row r="997" ht="15.75" spans="1:2">
      <c r="A997" s="6" t="s">
        <v>3399</v>
      </c>
      <c r="B997" s="5" t="s">
        <v>16952</v>
      </c>
    </row>
    <row r="998" ht="15.75" spans="1:2">
      <c r="A998" s="6" t="s">
        <v>3404</v>
      </c>
      <c r="B998" s="5" t="s">
        <v>16952</v>
      </c>
    </row>
    <row r="999" ht="15.75" spans="1:2">
      <c r="A999" s="6" t="s">
        <v>3408</v>
      </c>
      <c r="B999" s="5" t="s">
        <v>16952</v>
      </c>
    </row>
    <row r="1000" ht="15.75" spans="1:2">
      <c r="A1000" s="6" t="s">
        <v>3412</v>
      </c>
      <c r="B1000" s="5" t="s">
        <v>16952</v>
      </c>
    </row>
    <row r="1001" ht="15.75" spans="1:2">
      <c r="A1001" s="6" t="s">
        <v>3417</v>
      </c>
      <c r="B1001" s="5" t="s">
        <v>16952</v>
      </c>
    </row>
    <row r="1002" ht="15.75" spans="1:2">
      <c r="A1002" s="6" t="s">
        <v>3421</v>
      </c>
      <c r="B1002" s="5" t="s">
        <v>16952</v>
      </c>
    </row>
    <row r="1003" ht="15.75" spans="1:2">
      <c r="A1003" s="6" t="s">
        <v>3424</v>
      </c>
      <c r="B1003" s="5" t="s">
        <v>16952</v>
      </c>
    </row>
    <row r="1004" ht="15.75" spans="1:2">
      <c r="A1004" s="6" t="s">
        <v>3427</v>
      </c>
      <c r="B1004" s="5" t="s">
        <v>16952</v>
      </c>
    </row>
    <row r="1005" ht="15.75" spans="1:2">
      <c r="A1005" s="6" t="s">
        <v>3431</v>
      </c>
      <c r="B1005" s="5" t="s">
        <v>16952</v>
      </c>
    </row>
    <row r="1006" ht="15.75" spans="1:2">
      <c r="A1006" s="6" t="s">
        <v>3435</v>
      </c>
      <c r="B1006" s="5" t="s">
        <v>16952</v>
      </c>
    </row>
    <row r="1007" ht="15.75" spans="1:2">
      <c r="A1007" s="6" t="s">
        <v>3438</v>
      </c>
      <c r="B1007" s="5" t="s">
        <v>16952</v>
      </c>
    </row>
    <row r="1008" ht="15.75" spans="1:2">
      <c r="A1008" s="6" t="s">
        <v>3441</v>
      </c>
      <c r="B1008" s="5" t="s">
        <v>16952</v>
      </c>
    </row>
    <row r="1009" ht="15.75" spans="1:2">
      <c r="A1009" s="6" t="s">
        <v>3444</v>
      </c>
      <c r="B1009" s="5" t="s">
        <v>16952</v>
      </c>
    </row>
    <row r="1010" ht="15.75" spans="1:2">
      <c r="A1010" s="6" t="s">
        <v>3447</v>
      </c>
      <c r="B1010" s="5" t="s">
        <v>16952</v>
      </c>
    </row>
    <row r="1011" ht="15.75" spans="1:2">
      <c r="A1011" s="6" t="s">
        <v>3450</v>
      </c>
      <c r="B1011" s="5" t="s">
        <v>16952</v>
      </c>
    </row>
    <row r="1012" ht="15.75" spans="1:2">
      <c r="A1012" s="6" t="s">
        <v>3453</v>
      </c>
      <c r="B1012" s="5" t="s">
        <v>16952</v>
      </c>
    </row>
    <row r="1013" ht="15.75" spans="1:2">
      <c r="A1013" s="6" t="s">
        <v>3457</v>
      </c>
      <c r="B1013" s="5" t="s">
        <v>16952</v>
      </c>
    </row>
    <row r="1014" ht="15.75" spans="1:2">
      <c r="A1014" s="6" t="s">
        <v>3461</v>
      </c>
      <c r="B1014" s="5" t="s">
        <v>16952</v>
      </c>
    </row>
    <row r="1015" ht="15.75" spans="1:2">
      <c r="A1015" s="6" t="s">
        <v>3465</v>
      </c>
      <c r="B1015" s="5" t="s">
        <v>16952</v>
      </c>
    </row>
    <row r="1016" ht="15.75" spans="1:2">
      <c r="A1016" s="6" t="s">
        <v>3468</v>
      </c>
      <c r="B1016" s="5" t="s">
        <v>16952</v>
      </c>
    </row>
    <row r="1017" ht="15.75" spans="1:2">
      <c r="A1017" s="6" t="s">
        <v>3472</v>
      </c>
      <c r="B1017" s="5" t="s">
        <v>16952</v>
      </c>
    </row>
    <row r="1018" ht="15.75" spans="1:2">
      <c r="A1018" s="6" t="s">
        <v>3476</v>
      </c>
      <c r="B1018" s="5" t="s">
        <v>16952</v>
      </c>
    </row>
    <row r="1019" ht="15.75" spans="1:2">
      <c r="A1019" s="6" t="s">
        <v>3479</v>
      </c>
      <c r="B1019" s="5" t="s">
        <v>16952</v>
      </c>
    </row>
    <row r="1020" ht="15.75" spans="1:2">
      <c r="A1020" s="6" t="s">
        <v>3483</v>
      </c>
      <c r="B1020" s="8"/>
    </row>
    <row r="1021" ht="15.75" spans="1:2">
      <c r="A1021" s="6" t="s">
        <v>3484</v>
      </c>
      <c r="B1021" s="5" t="s">
        <v>16952</v>
      </c>
    </row>
    <row r="1022" ht="15.75" spans="1:2">
      <c r="A1022" s="6" t="s">
        <v>3488</v>
      </c>
      <c r="B1022" s="5" t="s">
        <v>16952</v>
      </c>
    </row>
    <row r="1023" ht="15.75" spans="1:2">
      <c r="A1023" s="6" t="s">
        <v>3492</v>
      </c>
      <c r="B1023" s="5" t="s">
        <v>16952</v>
      </c>
    </row>
    <row r="1024" ht="15.75" spans="1:2">
      <c r="A1024" s="6" t="s">
        <v>3496</v>
      </c>
      <c r="B1024" s="5" t="s">
        <v>16952</v>
      </c>
    </row>
    <row r="1025" ht="15.75" spans="1:2">
      <c r="A1025" s="6" t="s">
        <v>3499</v>
      </c>
      <c r="B1025" s="5" t="s">
        <v>16952</v>
      </c>
    </row>
    <row r="1026" ht="15.75" spans="1:2">
      <c r="A1026" s="6" t="s">
        <v>3503</v>
      </c>
      <c r="B1026" s="5" t="s">
        <v>16952</v>
      </c>
    </row>
    <row r="1027" ht="15.75" spans="1:2">
      <c r="A1027" s="6" t="s">
        <v>3507</v>
      </c>
      <c r="B1027" s="5" t="s">
        <v>16952</v>
      </c>
    </row>
    <row r="1028" ht="15.75" spans="1:2">
      <c r="A1028" s="6" t="s">
        <v>3511</v>
      </c>
      <c r="B1028" s="5" t="s">
        <v>16952</v>
      </c>
    </row>
    <row r="1029" ht="15.75" spans="1:2">
      <c r="A1029" s="6" t="s">
        <v>3514</v>
      </c>
      <c r="B1029" s="5" t="s">
        <v>16952</v>
      </c>
    </row>
    <row r="1030" ht="15.75" spans="1:2">
      <c r="A1030" s="6" t="s">
        <v>3517</v>
      </c>
      <c r="B1030" s="5" t="s">
        <v>16952</v>
      </c>
    </row>
    <row r="1031" ht="15.75" spans="1:2">
      <c r="A1031" s="6" t="s">
        <v>3520</v>
      </c>
      <c r="B1031" s="8"/>
    </row>
    <row r="1032" ht="15.75" spans="1:2">
      <c r="A1032" s="6" t="s">
        <v>3521</v>
      </c>
      <c r="B1032" s="5" t="s">
        <v>16952</v>
      </c>
    </row>
    <row r="1033" ht="15.75" spans="1:2">
      <c r="A1033" s="9" t="s">
        <v>3524</v>
      </c>
      <c r="B1033" s="5" t="s">
        <v>16952</v>
      </c>
    </row>
    <row r="1034" ht="15.75" spans="1:2">
      <c r="A1034" s="9" t="s">
        <v>3528</v>
      </c>
      <c r="B1034" s="5" t="s">
        <v>16952</v>
      </c>
    </row>
    <row r="1035" ht="15.75" spans="1:2">
      <c r="A1035" s="9" t="s">
        <v>3531</v>
      </c>
      <c r="B1035" s="5" t="s">
        <v>16952</v>
      </c>
    </row>
    <row r="1036" ht="15.75" spans="1:2">
      <c r="A1036" s="9" t="s">
        <v>3535</v>
      </c>
      <c r="B1036" s="5" t="s">
        <v>16952</v>
      </c>
    </row>
    <row r="1037" ht="15.75" spans="1:2">
      <c r="A1037" s="9" t="s">
        <v>3539</v>
      </c>
      <c r="B1037" s="5" t="s">
        <v>16952</v>
      </c>
    </row>
    <row r="1038" ht="15.75" spans="1:2">
      <c r="A1038" s="9" t="s">
        <v>3543</v>
      </c>
      <c r="B1038" s="5" t="s">
        <v>16952</v>
      </c>
    </row>
    <row r="1039" ht="15.75" spans="1:2">
      <c r="A1039" s="9" t="s">
        <v>3548</v>
      </c>
      <c r="B1039" s="5" t="s">
        <v>16952</v>
      </c>
    </row>
    <row r="1040" ht="15.75" spans="1:2">
      <c r="A1040" s="9" t="s">
        <v>3552</v>
      </c>
      <c r="B1040" s="5" t="s">
        <v>16952</v>
      </c>
    </row>
    <row r="1041" ht="15.75" spans="1:2">
      <c r="A1041" s="9" t="s">
        <v>3556</v>
      </c>
      <c r="B1041" s="5" t="s">
        <v>16952</v>
      </c>
    </row>
    <row r="1042" ht="15.75" spans="1:2">
      <c r="A1042" s="9" t="s">
        <v>3559</v>
      </c>
      <c r="B1042" s="5" t="s">
        <v>16952</v>
      </c>
    </row>
    <row r="1043" ht="15.75" spans="1:2">
      <c r="A1043" s="9" t="s">
        <v>3562</v>
      </c>
      <c r="B1043" s="5" t="s">
        <v>16952</v>
      </c>
    </row>
    <row r="1044" ht="15.75" spans="1:2">
      <c r="A1044" s="9" t="s">
        <v>3566</v>
      </c>
      <c r="B1044" s="5" t="s">
        <v>16952</v>
      </c>
    </row>
    <row r="1045" ht="15.75" spans="1:2">
      <c r="A1045" s="9" t="s">
        <v>3569</v>
      </c>
      <c r="B1045" s="5" t="s">
        <v>16952</v>
      </c>
    </row>
    <row r="1046" ht="15.75" spans="1:2">
      <c r="A1046" s="9" t="s">
        <v>3572</v>
      </c>
      <c r="B1046" s="5" t="s">
        <v>16952</v>
      </c>
    </row>
    <row r="1047" ht="15.75" spans="1:2">
      <c r="A1047" s="9" t="s">
        <v>3576</v>
      </c>
      <c r="B1047" s="8"/>
    </row>
    <row r="1048" ht="15.75" spans="1:2">
      <c r="A1048" s="9" t="s">
        <v>3577</v>
      </c>
      <c r="B1048" s="5" t="s">
        <v>16952</v>
      </c>
    </row>
    <row r="1049" ht="15.75" spans="1:2">
      <c r="A1049" s="9" t="s">
        <v>3581</v>
      </c>
      <c r="B1049" s="5" t="s">
        <v>16952</v>
      </c>
    </row>
    <row r="1050" ht="15.75" spans="1:2">
      <c r="A1050" s="9" t="s">
        <v>3586</v>
      </c>
      <c r="B1050" s="5" t="s">
        <v>16952</v>
      </c>
    </row>
    <row r="1051" ht="15.75" spans="1:2">
      <c r="A1051" s="9" t="s">
        <v>3589</v>
      </c>
      <c r="B1051" s="5" t="s">
        <v>16952</v>
      </c>
    </row>
    <row r="1052" ht="15.75" spans="1:2">
      <c r="A1052" s="9" t="s">
        <v>3593</v>
      </c>
      <c r="B1052" s="5" t="s">
        <v>16952</v>
      </c>
    </row>
    <row r="1053" ht="15.75" spans="1:2">
      <c r="A1053" s="9" t="s">
        <v>3598</v>
      </c>
      <c r="B1053" s="5" t="s">
        <v>16952</v>
      </c>
    </row>
    <row r="1054" ht="15.75" spans="1:2">
      <c r="A1054" s="9" t="s">
        <v>3602</v>
      </c>
      <c r="B1054" s="5" t="s">
        <v>16952</v>
      </c>
    </row>
    <row r="1055" ht="15.75" spans="1:2">
      <c r="A1055" s="9" t="s">
        <v>3605</v>
      </c>
      <c r="B1055" s="5" t="s">
        <v>16952</v>
      </c>
    </row>
    <row r="1056" ht="15.75" spans="1:2">
      <c r="A1056" s="9" t="s">
        <v>3608</v>
      </c>
      <c r="B1056" s="5" t="s">
        <v>16952</v>
      </c>
    </row>
    <row r="1057" ht="15.75" spans="1:2">
      <c r="A1057" s="9" t="s">
        <v>3612</v>
      </c>
      <c r="B1057" s="5" t="s">
        <v>16952</v>
      </c>
    </row>
    <row r="1058" ht="15.75" spans="1:2">
      <c r="A1058" s="9" t="s">
        <v>3616</v>
      </c>
      <c r="B1058" s="5" t="s">
        <v>16952</v>
      </c>
    </row>
    <row r="1059" ht="15.75" spans="1:2">
      <c r="A1059" s="9" t="s">
        <v>3619</v>
      </c>
      <c r="B1059" s="5" t="s">
        <v>16952</v>
      </c>
    </row>
    <row r="1060" ht="15.75" spans="1:2">
      <c r="A1060" s="9" t="s">
        <v>3622</v>
      </c>
      <c r="B1060" s="5" t="s">
        <v>16952</v>
      </c>
    </row>
    <row r="1061" ht="15.75" spans="1:2">
      <c r="A1061" s="9" t="s">
        <v>3625</v>
      </c>
      <c r="B1061" s="5" t="s">
        <v>16952</v>
      </c>
    </row>
    <row r="1062" ht="15.75" spans="1:2">
      <c r="A1062" s="9" t="s">
        <v>3629</v>
      </c>
      <c r="B1062" s="5" t="s">
        <v>16952</v>
      </c>
    </row>
    <row r="1063" ht="15.75" spans="1:2">
      <c r="A1063" s="9" t="s">
        <v>3633</v>
      </c>
      <c r="B1063" s="5" t="s">
        <v>16952</v>
      </c>
    </row>
    <row r="1064" ht="15.75" spans="1:2">
      <c r="A1064" s="9" t="s">
        <v>3636</v>
      </c>
      <c r="B1064" s="5" t="s">
        <v>16952</v>
      </c>
    </row>
    <row r="1065" ht="15.75" spans="1:2">
      <c r="A1065" s="9" t="s">
        <v>3640</v>
      </c>
      <c r="B1065" s="5" t="s">
        <v>16952</v>
      </c>
    </row>
    <row r="1066" ht="15.75" spans="1:2">
      <c r="A1066" s="9" t="s">
        <v>3645</v>
      </c>
      <c r="B1066" s="5" t="s">
        <v>16952</v>
      </c>
    </row>
    <row r="1067" ht="15.75" spans="1:2">
      <c r="A1067" s="9" t="s">
        <v>3648</v>
      </c>
      <c r="B1067" s="5" t="s">
        <v>16952</v>
      </c>
    </row>
    <row r="1068" ht="15.75" spans="1:2">
      <c r="A1068" s="9" t="s">
        <v>3653</v>
      </c>
      <c r="B1068" s="5" t="s">
        <v>16952</v>
      </c>
    </row>
    <row r="1069" ht="15.75" spans="1:2">
      <c r="A1069" s="9" t="s">
        <v>3657</v>
      </c>
      <c r="B1069" s="5" t="s">
        <v>16952</v>
      </c>
    </row>
    <row r="1070" ht="15.75" spans="1:2">
      <c r="A1070" s="9" t="s">
        <v>3660</v>
      </c>
      <c r="B1070" s="5" t="s">
        <v>16952</v>
      </c>
    </row>
    <row r="1071" ht="15.75" spans="1:2">
      <c r="A1071" s="9" t="s">
        <v>3665</v>
      </c>
      <c r="B1071" s="5" t="s">
        <v>16952</v>
      </c>
    </row>
    <row r="1072" ht="15.75" spans="1:2">
      <c r="A1072" s="9" t="s">
        <v>3669</v>
      </c>
      <c r="B1072" s="5" t="s">
        <v>16952</v>
      </c>
    </row>
    <row r="1073" ht="15.75" spans="1:2">
      <c r="A1073" s="9" t="s">
        <v>3673</v>
      </c>
      <c r="B1073" s="8"/>
    </row>
    <row r="1074" ht="15.75" spans="1:2">
      <c r="A1074" s="9" t="s">
        <v>3674</v>
      </c>
      <c r="B1074" s="10" t="s">
        <v>16952</v>
      </c>
    </row>
    <row r="1075" ht="15.75" spans="1:2">
      <c r="A1075" s="9" t="s">
        <v>3674</v>
      </c>
      <c r="B1075" s="10" t="s">
        <v>16952</v>
      </c>
    </row>
    <row r="1076" ht="15.75" spans="1:2">
      <c r="A1076" s="9" t="s">
        <v>3674</v>
      </c>
      <c r="B1076" s="10" t="s">
        <v>16952</v>
      </c>
    </row>
    <row r="1077" ht="15.75" spans="1:2">
      <c r="A1077" s="9" t="s">
        <v>3678</v>
      </c>
      <c r="B1077" s="12"/>
    </row>
    <row r="1078" ht="15.75" spans="1:2">
      <c r="A1078" s="9" t="s">
        <v>3678</v>
      </c>
      <c r="B1078" s="12"/>
    </row>
    <row r="1079" ht="15.75" spans="1:2">
      <c r="A1079" s="9" t="s">
        <v>3678</v>
      </c>
      <c r="B1079" s="10" t="s">
        <v>16952</v>
      </c>
    </row>
    <row r="1080" ht="15.75" spans="1:2">
      <c r="A1080" s="9" t="s">
        <v>3678</v>
      </c>
      <c r="B1080" s="10" t="s">
        <v>16952</v>
      </c>
    </row>
    <row r="1081" ht="15.75" spans="1:2">
      <c r="A1081" s="9" t="s">
        <v>3679</v>
      </c>
      <c r="B1081" s="5" t="s">
        <v>16952</v>
      </c>
    </row>
    <row r="1082" ht="15.75" spans="1:2">
      <c r="A1082" s="9" t="s">
        <v>3682</v>
      </c>
      <c r="B1082" s="5" t="s">
        <v>16952</v>
      </c>
    </row>
    <row r="1083" ht="15.75" spans="1:2">
      <c r="A1083" s="9" t="s">
        <v>3686</v>
      </c>
      <c r="B1083" s="5" t="s">
        <v>16952</v>
      </c>
    </row>
    <row r="1084" ht="15.75" spans="1:2">
      <c r="A1084" s="9" t="s">
        <v>3689</v>
      </c>
      <c r="B1084" s="5" t="s">
        <v>16952</v>
      </c>
    </row>
    <row r="1085" ht="15.75" spans="1:2">
      <c r="A1085" s="9" t="s">
        <v>3692</v>
      </c>
      <c r="B1085" s="5" t="s">
        <v>16952</v>
      </c>
    </row>
    <row r="1086" ht="15.75" spans="1:2">
      <c r="A1086" s="9" t="s">
        <v>3696</v>
      </c>
      <c r="B1086" s="5" t="s">
        <v>16952</v>
      </c>
    </row>
    <row r="1087" ht="15.75" spans="1:2">
      <c r="A1087" s="9" t="s">
        <v>3700</v>
      </c>
      <c r="B1087" s="5" t="s">
        <v>16952</v>
      </c>
    </row>
    <row r="1088" ht="15.75" spans="1:2">
      <c r="A1088" s="9" t="s">
        <v>3704</v>
      </c>
      <c r="B1088" s="5" t="s">
        <v>16952</v>
      </c>
    </row>
    <row r="1089" ht="15.75" spans="1:2">
      <c r="A1089" s="9" t="s">
        <v>3708</v>
      </c>
      <c r="B1089" s="5" t="s">
        <v>16952</v>
      </c>
    </row>
    <row r="1090" ht="15.75" spans="1:2">
      <c r="A1090" s="9" t="s">
        <v>3711</v>
      </c>
      <c r="B1090" s="5" t="s">
        <v>16952</v>
      </c>
    </row>
    <row r="1091" ht="15.75" spans="1:2">
      <c r="A1091" s="9" t="s">
        <v>3715</v>
      </c>
      <c r="B1091" s="5" t="s">
        <v>16952</v>
      </c>
    </row>
    <row r="1092" ht="15.75" spans="1:2">
      <c r="A1092" s="9" t="s">
        <v>3719</v>
      </c>
      <c r="B1092" s="5" t="s">
        <v>16952</v>
      </c>
    </row>
    <row r="1093" ht="15.75" spans="1:2">
      <c r="A1093" s="9" t="s">
        <v>3723</v>
      </c>
      <c r="B1093" s="5" t="s">
        <v>16952</v>
      </c>
    </row>
    <row r="1094" ht="15.75" spans="1:2">
      <c r="A1094" s="9" t="s">
        <v>3726</v>
      </c>
      <c r="B1094" s="5" t="s">
        <v>16952</v>
      </c>
    </row>
    <row r="1095" ht="15.75" spans="1:2">
      <c r="A1095" s="9" t="s">
        <v>3729</v>
      </c>
      <c r="B1095" s="5" t="s">
        <v>16952</v>
      </c>
    </row>
    <row r="1096" ht="15.75" spans="1:2">
      <c r="A1096" s="9" t="s">
        <v>3733</v>
      </c>
      <c r="B1096" s="5" t="s">
        <v>16952</v>
      </c>
    </row>
    <row r="1097" ht="15.75" spans="1:2">
      <c r="A1097" s="9" t="s">
        <v>3737</v>
      </c>
      <c r="B1097" s="5" t="s">
        <v>16952</v>
      </c>
    </row>
    <row r="1098" ht="15.75" spans="1:2">
      <c r="A1098" s="9" t="s">
        <v>3742</v>
      </c>
      <c r="B1098" s="5" t="s">
        <v>16952</v>
      </c>
    </row>
    <row r="1099" ht="15.75" spans="1:2">
      <c r="A1099" s="9" t="s">
        <v>3746</v>
      </c>
      <c r="B1099" s="5" t="s">
        <v>16952</v>
      </c>
    </row>
    <row r="1100" ht="15.75" spans="1:2">
      <c r="A1100" s="9" t="s">
        <v>3749</v>
      </c>
      <c r="B1100" s="5" t="s">
        <v>16952</v>
      </c>
    </row>
    <row r="1101" ht="15.75" spans="1:2">
      <c r="A1101" s="9" t="s">
        <v>3752</v>
      </c>
      <c r="B1101" s="5" t="s">
        <v>16952</v>
      </c>
    </row>
    <row r="1102" ht="15.75" spans="1:2">
      <c r="A1102" s="9" t="s">
        <v>3756</v>
      </c>
      <c r="B1102" s="5" t="s">
        <v>16952</v>
      </c>
    </row>
    <row r="1103" ht="15.75" spans="1:2">
      <c r="A1103" s="9" t="s">
        <v>3758</v>
      </c>
      <c r="B1103" s="5" t="s">
        <v>16952</v>
      </c>
    </row>
    <row r="1104" ht="15.75" spans="1:2">
      <c r="A1104" s="9" t="s">
        <v>3762</v>
      </c>
      <c r="B1104" s="5" t="s">
        <v>16952</v>
      </c>
    </row>
    <row r="1105" ht="15.75" spans="1:2">
      <c r="A1105" s="9" t="s">
        <v>3766</v>
      </c>
      <c r="B1105" s="5" t="s">
        <v>16952</v>
      </c>
    </row>
    <row r="1106" ht="15.75" spans="1:2">
      <c r="A1106" s="9" t="s">
        <v>3770</v>
      </c>
      <c r="B1106" s="5" t="s">
        <v>16952</v>
      </c>
    </row>
    <row r="1107" ht="15.75" spans="1:2">
      <c r="A1107" s="9" t="s">
        <v>3773</v>
      </c>
      <c r="B1107" s="5" t="s">
        <v>16952</v>
      </c>
    </row>
    <row r="1108" ht="15.75" spans="1:2">
      <c r="A1108" s="9" t="s">
        <v>3776</v>
      </c>
      <c r="B1108" s="5" t="s">
        <v>16952</v>
      </c>
    </row>
    <row r="1109" ht="15.75" spans="1:2">
      <c r="A1109" s="9" t="s">
        <v>3779</v>
      </c>
      <c r="B1109" s="5" t="s">
        <v>16952</v>
      </c>
    </row>
    <row r="1110" ht="15.75" spans="1:2">
      <c r="A1110" s="9" t="s">
        <v>3782</v>
      </c>
      <c r="B1110" s="5" t="s">
        <v>16952</v>
      </c>
    </row>
    <row r="1111" ht="15.75" spans="1:2">
      <c r="A1111" s="9" t="s">
        <v>3785</v>
      </c>
      <c r="B1111" s="8"/>
    </row>
    <row r="1112" ht="15.75" spans="1:2">
      <c r="A1112" s="9" t="s">
        <v>3786</v>
      </c>
      <c r="B1112" s="5" t="s">
        <v>16952</v>
      </c>
    </row>
    <row r="1113" ht="15.75" spans="1:2">
      <c r="A1113" s="9" t="s">
        <v>3789</v>
      </c>
      <c r="B1113" s="5" t="s">
        <v>16952</v>
      </c>
    </row>
    <row r="1114" ht="15.75" spans="1:2">
      <c r="A1114" s="9" t="s">
        <v>3793</v>
      </c>
      <c r="B1114" s="5" t="s">
        <v>16952</v>
      </c>
    </row>
    <row r="1115" ht="15.75" spans="1:2">
      <c r="A1115" s="9" t="s">
        <v>3796</v>
      </c>
      <c r="B1115" s="5" t="s">
        <v>16952</v>
      </c>
    </row>
    <row r="1116" ht="15.75" spans="1:2">
      <c r="A1116" s="9" t="s">
        <v>3799</v>
      </c>
      <c r="B1116" s="5" t="s">
        <v>16952</v>
      </c>
    </row>
    <row r="1117" ht="15.75" spans="1:2">
      <c r="A1117" s="9" t="s">
        <v>3802</v>
      </c>
      <c r="B1117" s="5" t="s">
        <v>16952</v>
      </c>
    </row>
    <row r="1118" ht="15.75" spans="1:2">
      <c r="A1118" s="9" t="s">
        <v>3805</v>
      </c>
      <c r="B1118" s="5" t="s">
        <v>16952</v>
      </c>
    </row>
    <row r="1119" ht="15.75" spans="1:2">
      <c r="A1119" s="9" t="s">
        <v>3808</v>
      </c>
      <c r="B1119" s="5" t="s">
        <v>16952</v>
      </c>
    </row>
    <row r="1120" ht="15.75" spans="1:2">
      <c r="A1120" s="9" t="s">
        <v>3812</v>
      </c>
      <c r="B1120" s="5" t="s">
        <v>16952</v>
      </c>
    </row>
    <row r="1121" ht="15.75" spans="1:2">
      <c r="A1121" s="9" t="s">
        <v>3816</v>
      </c>
      <c r="B1121" s="5" t="s">
        <v>16952</v>
      </c>
    </row>
    <row r="1122" ht="15.75" spans="1:2">
      <c r="A1122" s="9" t="s">
        <v>3819</v>
      </c>
      <c r="B1122" s="5" t="s">
        <v>16952</v>
      </c>
    </row>
    <row r="1123" ht="15.75" spans="1:2">
      <c r="A1123" s="9" t="s">
        <v>3823</v>
      </c>
      <c r="B1123" s="5" t="s">
        <v>16952</v>
      </c>
    </row>
    <row r="1124" ht="15.75" spans="1:2">
      <c r="A1124" s="9" t="s">
        <v>3826</v>
      </c>
      <c r="B1124" s="5" t="s">
        <v>16952</v>
      </c>
    </row>
    <row r="1125" ht="15.75" spans="1:2">
      <c r="A1125" s="9" t="s">
        <v>3829</v>
      </c>
      <c r="B1125" s="5" t="s">
        <v>16952</v>
      </c>
    </row>
    <row r="1126" ht="15.75" spans="1:2">
      <c r="A1126" s="9" t="s">
        <v>3832</v>
      </c>
      <c r="B1126" s="5" t="s">
        <v>16952</v>
      </c>
    </row>
    <row r="1127" ht="15.75" spans="1:2">
      <c r="A1127" s="9" t="s">
        <v>3835</v>
      </c>
      <c r="B1127" s="5" t="s">
        <v>16952</v>
      </c>
    </row>
    <row r="1128" ht="15.75" spans="1:2">
      <c r="A1128" s="9" t="s">
        <v>3838</v>
      </c>
      <c r="B1128" s="5" t="s">
        <v>16952</v>
      </c>
    </row>
    <row r="1129" ht="15.75" spans="1:2">
      <c r="A1129" s="9" t="s">
        <v>3842</v>
      </c>
      <c r="B1129" s="5" t="s">
        <v>16952</v>
      </c>
    </row>
    <row r="1130" ht="15.75" spans="1:2">
      <c r="A1130" s="9" t="s">
        <v>3845</v>
      </c>
      <c r="B1130" s="5" t="s">
        <v>16952</v>
      </c>
    </row>
    <row r="1131" ht="15.75" spans="1:2">
      <c r="A1131" s="9" t="s">
        <v>3849</v>
      </c>
      <c r="B1131" s="5" t="s">
        <v>16952</v>
      </c>
    </row>
    <row r="1132" ht="15.75" spans="1:2">
      <c r="A1132" s="9" t="s">
        <v>3854</v>
      </c>
      <c r="B1132" s="5" t="s">
        <v>16952</v>
      </c>
    </row>
    <row r="1133" ht="15.75" spans="1:2">
      <c r="A1133" s="9" t="s">
        <v>3858</v>
      </c>
      <c r="B1133" s="5" t="s">
        <v>16952</v>
      </c>
    </row>
    <row r="1134" ht="15.75" spans="1:2">
      <c r="A1134" s="9" t="s">
        <v>3861</v>
      </c>
      <c r="B1134" s="5" t="s">
        <v>16952</v>
      </c>
    </row>
    <row r="1135" ht="15.75" spans="1:2">
      <c r="A1135" s="9" t="s">
        <v>3864</v>
      </c>
      <c r="B1135" s="5" t="s">
        <v>16952</v>
      </c>
    </row>
    <row r="1136" ht="15.75" spans="1:2">
      <c r="A1136" s="9" t="s">
        <v>3867</v>
      </c>
      <c r="B1136" s="5" t="s">
        <v>16952</v>
      </c>
    </row>
    <row r="1137" ht="15.75" spans="1:2">
      <c r="A1137" s="9" t="s">
        <v>3871</v>
      </c>
      <c r="B1137" s="5" t="s">
        <v>16952</v>
      </c>
    </row>
    <row r="1138" ht="15.75" spans="1:2">
      <c r="A1138" s="9" t="s">
        <v>3875</v>
      </c>
      <c r="B1138" s="5" t="s">
        <v>16952</v>
      </c>
    </row>
    <row r="1139" ht="15.75" spans="1:2">
      <c r="A1139" s="9" t="s">
        <v>3879</v>
      </c>
      <c r="B1139" s="5" t="s">
        <v>16952</v>
      </c>
    </row>
    <row r="1140" ht="15.75" spans="1:2">
      <c r="A1140" s="9" t="s">
        <v>3882</v>
      </c>
      <c r="B1140" s="5" t="s">
        <v>16952</v>
      </c>
    </row>
    <row r="1141" ht="15.75" spans="1:2">
      <c r="A1141" s="9" t="s">
        <v>3885</v>
      </c>
      <c r="B1141" s="5" t="s">
        <v>16952</v>
      </c>
    </row>
    <row r="1142" ht="15.75" spans="1:2">
      <c r="A1142" s="9" t="s">
        <v>3888</v>
      </c>
      <c r="B1142" s="5" t="s">
        <v>16952</v>
      </c>
    </row>
    <row r="1143" ht="15.75" spans="1:2">
      <c r="A1143" s="9" t="s">
        <v>3891</v>
      </c>
      <c r="B1143" s="5" t="s">
        <v>16952</v>
      </c>
    </row>
    <row r="1144" ht="15.75" spans="1:2">
      <c r="A1144" s="9" t="s">
        <v>3894</v>
      </c>
      <c r="B1144" s="5" t="s">
        <v>16952</v>
      </c>
    </row>
    <row r="1145" ht="15.75" spans="1:2">
      <c r="A1145" s="9" t="s">
        <v>3897</v>
      </c>
      <c r="B1145" s="5" t="s">
        <v>16952</v>
      </c>
    </row>
    <row r="1146" ht="15.75" spans="1:2">
      <c r="A1146" s="9" t="s">
        <v>3900</v>
      </c>
      <c r="B1146" s="5" t="s">
        <v>16952</v>
      </c>
    </row>
    <row r="1147" ht="15.75" spans="1:2">
      <c r="A1147" s="9" t="s">
        <v>3903</v>
      </c>
      <c r="B1147" s="5" t="s">
        <v>16952</v>
      </c>
    </row>
    <row r="1148" ht="15.75" spans="1:2">
      <c r="A1148" s="9" t="s">
        <v>3907</v>
      </c>
      <c r="B1148" s="5" t="s">
        <v>16952</v>
      </c>
    </row>
    <row r="1149" ht="15.75" spans="1:2">
      <c r="A1149" s="9" t="s">
        <v>3911</v>
      </c>
      <c r="B1149" s="5" t="s">
        <v>16952</v>
      </c>
    </row>
    <row r="1150" ht="15.75" spans="1:2">
      <c r="A1150" s="9" t="s">
        <v>3915</v>
      </c>
      <c r="B1150" s="8"/>
    </row>
    <row r="1151" ht="15.75" spans="1:2">
      <c r="A1151" s="9" t="s">
        <v>3916</v>
      </c>
      <c r="B1151" s="5" t="s">
        <v>16952</v>
      </c>
    </row>
    <row r="1152" ht="15.75" spans="1:2">
      <c r="A1152" s="9" t="s">
        <v>3919</v>
      </c>
      <c r="B1152" s="5" t="s">
        <v>16952</v>
      </c>
    </row>
    <row r="1153" ht="15.75" spans="1:2">
      <c r="A1153" s="9" t="s">
        <v>3922</v>
      </c>
      <c r="B1153" s="5" t="s">
        <v>16952</v>
      </c>
    </row>
    <row r="1154" ht="15.75" spans="1:2">
      <c r="A1154" s="9" t="s">
        <v>3925</v>
      </c>
      <c r="B1154" s="5" t="s">
        <v>16952</v>
      </c>
    </row>
    <row r="1155" ht="15.75" spans="1:2">
      <c r="A1155" s="9" t="s">
        <v>3928</v>
      </c>
      <c r="B1155" s="5" t="s">
        <v>16952</v>
      </c>
    </row>
    <row r="1156" ht="15.75" spans="1:2">
      <c r="A1156" s="9" t="s">
        <v>3931</v>
      </c>
      <c r="B1156" s="5" t="s">
        <v>16952</v>
      </c>
    </row>
    <row r="1157" ht="15.75" spans="1:2">
      <c r="A1157" s="9" t="s">
        <v>3934</v>
      </c>
      <c r="B1157" s="5" t="s">
        <v>16952</v>
      </c>
    </row>
    <row r="1158" ht="15.75" spans="1:2">
      <c r="A1158" s="9" t="s">
        <v>3937</v>
      </c>
      <c r="B1158" s="5" t="s">
        <v>16952</v>
      </c>
    </row>
    <row r="1159" ht="15.75" spans="1:2">
      <c r="A1159" s="9" t="s">
        <v>3941</v>
      </c>
      <c r="B1159" s="5" t="s">
        <v>16952</v>
      </c>
    </row>
    <row r="1160" ht="15.75" spans="1:2">
      <c r="A1160" s="9" t="s">
        <v>3944</v>
      </c>
      <c r="B1160" s="5" t="s">
        <v>16952</v>
      </c>
    </row>
    <row r="1161" ht="15.75" spans="1:2">
      <c r="A1161" s="9" t="s">
        <v>3947</v>
      </c>
      <c r="B1161" s="5" t="s">
        <v>16952</v>
      </c>
    </row>
    <row r="1162" ht="15.75" spans="1:2">
      <c r="A1162" s="9" t="s">
        <v>3950</v>
      </c>
      <c r="B1162" s="5" t="s">
        <v>16952</v>
      </c>
    </row>
    <row r="1163" ht="15.75" spans="1:2">
      <c r="A1163" s="9" t="s">
        <v>3953</v>
      </c>
      <c r="B1163" s="5" t="s">
        <v>16952</v>
      </c>
    </row>
    <row r="1164" ht="15.75" spans="1:2">
      <c r="A1164" s="9" t="s">
        <v>3956</v>
      </c>
      <c r="B1164" s="5" t="s">
        <v>16952</v>
      </c>
    </row>
    <row r="1165" ht="15.75" spans="1:2">
      <c r="A1165" s="9" t="s">
        <v>3960</v>
      </c>
      <c r="B1165" s="5" t="s">
        <v>16952</v>
      </c>
    </row>
    <row r="1166" ht="15.75" spans="1:2">
      <c r="A1166" s="9" t="s">
        <v>3964</v>
      </c>
      <c r="B1166" s="5" t="s">
        <v>16952</v>
      </c>
    </row>
    <row r="1167" ht="15.75" spans="1:2">
      <c r="A1167" s="9" t="s">
        <v>3968</v>
      </c>
      <c r="B1167" s="5" t="s">
        <v>16952</v>
      </c>
    </row>
    <row r="1168" ht="15.75" spans="1:2">
      <c r="A1168" s="9" t="s">
        <v>3971</v>
      </c>
      <c r="B1168" s="5" t="s">
        <v>16952</v>
      </c>
    </row>
    <row r="1169" ht="15.75" spans="1:2">
      <c r="A1169" s="9" t="s">
        <v>3975</v>
      </c>
      <c r="B1169" s="5" t="s">
        <v>16952</v>
      </c>
    </row>
    <row r="1170" ht="15.75" spans="1:2">
      <c r="A1170" s="9" t="s">
        <v>3979</v>
      </c>
      <c r="B1170" s="5" t="s">
        <v>16952</v>
      </c>
    </row>
    <row r="1171" ht="15.75" spans="1:2">
      <c r="A1171" s="9" t="s">
        <v>3982</v>
      </c>
      <c r="B1171" s="5" t="s">
        <v>16952</v>
      </c>
    </row>
    <row r="1172" ht="15.75" spans="1:2">
      <c r="A1172" s="9" t="s">
        <v>3987</v>
      </c>
      <c r="B1172" s="5" t="s">
        <v>16952</v>
      </c>
    </row>
    <row r="1173" ht="15.75" spans="1:2">
      <c r="A1173" s="9" t="s">
        <v>3990</v>
      </c>
      <c r="B1173" s="5" t="s">
        <v>16952</v>
      </c>
    </row>
    <row r="1174" ht="15.75" spans="1:2">
      <c r="A1174" s="9" t="s">
        <v>3993</v>
      </c>
      <c r="B1174" s="5" t="s">
        <v>16952</v>
      </c>
    </row>
    <row r="1175" ht="15.75" spans="1:2">
      <c r="A1175" s="9" t="s">
        <v>3997</v>
      </c>
      <c r="B1175" s="5" t="s">
        <v>16952</v>
      </c>
    </row>
    <row r="1176" ht="15.75" spans="1:2">
      <c r="A1176" s="9" t="s">
        <v>4001</v>
      </c>
      <c r="B1176" s="5" t="s">
        <v>16952</v>
      </c>
    </row>
    <row r="1177" ht="15.75" spans="1:2">
      <c r="A1177" s="9" t="s">
        <v>4004</v>
      </c>
      <c r="B1177" s="5" t="s">
        <v>16952</v>
      </c>
    </row>
    <row r="1178" ht="15.75" spans="1:2">
      <c r="A1178" s="9" t="s">
        <v>4007</v>
      </c>
      <c r="B1178" s="5" t="s">
        <v>16952</v>
      </c>
    </row>
    <row r="1179" ht="15.75" spans="1:2">
      <c r="A1179" s="9" t="s">
        <v>4010</v>
      </c>
      <c r="B1179" s="5" t="s">
        <v>16952</v>
      </c>
    </row>
    <row r="1180" ht="15.75" spans="1:2">
      <c r="A1180" s="9" t="s">
        <v>4013</v>
      </c>
      <c r="B1180" s="5" t="s">
        <v>16952</v>
      </c>
    </row>
    <row r="1181" ht="15.75" spans="1:2">
      <c r="A1181" s="9" t="s">
        <v>4016</v>
      </c>
      <c r="B1181" s="5" t="s">
        <v>16952</v>
      </c>
    </row>
    <row r="1182" ht="15.75" spans="1:2">
      <c r="A1182" s="9" t="s">
        <v>4019</v>
      </c>
      <c r="B1182" s="5" t="s">
        <v>16952</v>
      </c>
    </row>
    <row r="1183" ht="15.75" spans="1:2">
      <c r="A1183" s="9" t="s">
        <v>4023</v>
      </c>
      <c r="B1183" s="5" t="s">
        <v>16952</v>
      </c>
    </row>
    <row r="1184" ht="15.75" spans="1:2">
      <c r="A1184" s="9" t="s">
        <v>4026</v>
      </c>
      <c r="B1184" s="5" t="s">
        <v>16952</v>
      </c>
    </row>
    <row r="1185" ht="15.75" spans="1:2">
      <c r="A1185" s="9" t="s">
        <v>4029</v>
      </c>
      <c r="B1185" s="5" t="s">
        <v>16952</v>
      </c>
    </row>
    <row r="1186" ht="15.75" spans="1:2">
      <c r="A1186" s="9" t="s">
        <v>4032</v>
      </c>
      <c r="B1186" s="5" t="s">
        <v>16952</v>
      </c>
    </row>
    <row r="1187" ht="15.75" spans="1:2">
      <c r="A1187" s="9" t="s">
        <v>4035</v>
      </c>
      <c r="B1187" s="5" t="s">
        <v>16952</v>
      </c>
    </row>
    <row r="1188" ht="15.75" spans="1:2">
      <c r="A1188" s="9" t="s">
        <v>4038</v>
      </c>
      <c r="B1188" s="5" t="s">
        <v>16952</v>
      </c>
    </row>
    <row r="1189" ht="15.75" spans="1:2">
      <c r="A1189" s="9" t="s">
        <v>4041</v>
      </c>
      <c r="B1189" s="5" t="s">
        <v>16952</v>
      </c>
    </row>
    <row r="1190" ht="15.75" spans="1:2">
      <c r="A1190" s="9" t="s">
        <v>4044</v>
      </c>
      <c r="B1190" s="5" t="s">
        <v>16952</v>
      </c>
    </row>
    <row r="1191" ht="15.75" spans="1:2">
      <c r="A1191" s="9" t="s">
        <v>4046</v>
      </c>
      <c r="B1191" s="5" t="s">
        <v>16952</v>
      </c>
    </row>
    <row r="1192" ht="15.75" spans="1:2">
      <c r="A1192" s="9" t="s">
        <v>4050</v>
      </c>
      <c r="B1192" s="12"/>
    </row>
    <row r="1193" ht="15.75" spans="1:2">
      <c r="A1193" s="9" t="s">
        <v>4050</v>
      </c>
      <c r="B1193" s="12"/>
    </row>
    <row r="1194" ht="15.75" spans="1:2">
      <c r="A1194" s="9" t="s">
        <v>4051</v>
      </c>
      <c r="B1194" s="5" t="s">
        <v>16952</v>
      </c>
    </row>
    <row r="1195" ht="15.75" spans="1:2">
      <c r="A1195" s="9" t="s">
        <v>4055</v>
      </c>
      <c r="B1195" s="5" t="s">
        <v>16952</v>
      </c>
    </row>
    <row r="1196" ht="15.75" spans="1:2">
      <c r="A1196" s="9" t="s">
        <v>4059</v>
      </c>
      <c r="B1196" s="5" t="s">
        <v>16952</v>
      </c>
    </row>
    <row r="1197" ht="15.75" spans="1:2">
      <c r="A1197" s="9" t="s">
        <v>4062</v>
      </c>
      <c r="B1197" s="5" t="s">
        <v>16952</v>
      </c>
    </row>
    <row r="1198" ht="15.75" spans="1:2">
      <c r="A1198" s="9" t="s">
        <v>4066</v>
      </c>
      <c r="B1198" s="5" t="s">
        <v>16952</v>
      </c>
    </row>
    <row r="1199" ht="15.75" spans="1:2">
      <c r="A1199" s="9" t="s">
        <v>4069</v>
      </c>
      <c r="B1199" s="5" t="s">
        <v>16952</v>
      </c>
    </row>
    <row r="1200" ht="15.75" spans="1:2">
      <c r="A1200" s="9" t="s">
        <v>4072</v>
      </c>
      <c r="B1200" s="5" t="s">
        <v>16952</v>
      </c>
    </row>
    <row r="1201" ht="15.75" spans="1:2">
      <c r="A1201" s="9" t="s">
        <v>4075</v>
      </c>
      <c r="B1201" s="5" t="s">
        <v>16952</v>
      </c>
    </row>
    <row r="1202" ht="15.75" spans="1:2">
      <c r="A1202" s="9" t="s">
        <v>4078</v>
      </c>
      <c r="B1202" s="5" t="s">
        <v>16952</v>
      </c>
    </row>
    <row r="1203" ht="15.75" spans="1:2">
      <c r="A1203" s="9" t="s">
        <v>4081</v>
      </c>
      <c r="B1203" s="5" t="s">
        <v>16952</v>
      </c>
    </row>
    <row r="1204" ht="15.75" spans="1:2">
      <c r="A1204" s="9" t="s">
        <v>4084</v>
      </c>
      <c r="B1204" s="5" t="s">
        <v>16952</v>
      </c>
    </row>
    <row r="1205" ht="15.75" spans="1:2">
      <c r="A1205" s="9" t="s">
        <v>4087</v>
      </c>
      <c r="B1205" s="5" t="s">
        <v>16952</v>
      </c>
    </row>
    <row r="1206" ht="15.75" spans="1:2">
      <c r="A1206" s="9" t="s">
        <v>4090</v>
      </c>
      <c r="B1206" s="5" t="s">
        <v>16952</v>
      </c>
    </row>
    <row r="1207" ht="15.75" spans="1:2">
      <c r="A1207" s="9" t="s">
        <v>4094</v>
      </c>
      <c r="B1207" s="5" t="s">
        <v>16952</v>
      </c>
    </row>
    <row r="1208" ht="15.75" spans="1:2">
      <c r="A1208" s="9" t="s">
        <v>4097</v>
      </c>
      <c r="B1208" s="5" t="s">
        <v>16952</v>
      </c>
    </row>
    <row r="1209" ht="15.75" spans="1:2">
      <c r="A1209" s="9" t="s">
        <v>4101</v>
      </c>
      <c r="B1209" s="5" t="s">
        <v>16952</v>
      </c>
    </row>
    <row r="1210" ht="15.75" spans="1:2">
      <c r="A1210" s="9" t="s">
        <v>4104</v>
      </c>
      <c r="B1210" s="5" t="s">
        <v>16952</v>
      </c>
    </row>
    <row r="1211" ht="15.75" spans="1:2">
      <c r="A1211" s="9" t="s">
        <v>4107</v>
      </c>
      <c r="B1211" s="5" t="s">
        <v>16952</v>
      </c>
    </row>
    <row r="1212" ht="15.75" spans="1:2">
      <c r="A1212" s="9" t="s">
        <v>4110</v>
      </c>
      <c r="B1212" s="5" t="s">
        <v>16952</v>
      </c>
    </row>
    <row r="1213" ht="15.75" spans="1:2">
      <c r="A1213" s="9" t="s">
        <v>4113</v>
      </c>
      <c r="B1213" s="5" t="s">
        <v>16952</v>
      </c>
    </row>
    <row r="1214" ht="15.75" spans="1:2">
      <c r="A1214" s="9" t="s">
        <v>4116</v>
      </c>
      <c r="B1214" s="5" t="s">
        <v>16952</v>
      </c>
    </row>
    <row r="1215" ht="15.75" spans="1:2">
      <c r="A1215" s="9" t="s">
        <v>4119</v>
      </c>
      <c r="B1215" s="5" t="s">
        <v>16952</v>
      </c>
    </row>
    <row r="1216" ht="15.75" spans="1:2">
      <c r="A1216" s="9" t="s">
        <v>4122</v>
      </c>
      <c r="B1216" s="5" t="s">
        <v>16952</v>
      </c>
    </row>
    <row r="1217" ht="15.75" spans="1:2">
      <c r="A1217" s="9" t="s">
        <v>4125</v>
      </c>
      <c r="B1217" s="5" t="s">
        <v>16952</v>
      </c>
    </row>
    <row r="1218" ht="15.75" spans="1:2">
      <c r="A1218" s="9" t="s">
        <v>4129</v>
      </c>
      <c r="B1218" s="5" t="s">
        <v>16952</v>
      </c>
    </row>
    <row r="1219" ht="15.75" spans="1:2">
      <c r="A1219" s="9" t="s">
        <v>4132</v>
      </c>
      <c r="B1219" s="5" t="s">
        <v>16952</v>
      </c>
    </row>
    <row r="1220" ht="15.75" spans="1:2">
      <c r="A1220" s="9" t="s">
        <v>4136</v>
      </c>
      <c r="B1220" s="5" t="s">
        <v>16952</v>
      </c>
    </row>
    <row r="1221" ht="15.75" spans="1:2">
      <c r="A1221" s="9" t="s">
        <v>4139</v>
      </c>
      <c r="B1221" s="5" t="s">
        <v>16952</v>
      </c>
    </row>
    <row r="1222" ht="15.75" spans="1:2">
      <c r="A1222" s="9" t="s">
        <v>4143</v>
      </c>
      <c r="B1222" s="5" t="s">
        <v>16952</v>
      </c>
    </row>
    <row r="1223" ht="15.75" spans="1:2">
      <c r="A1223" s="9" t="s">
        <v>4147</v>
      </c>
      <c r="B1223" s="5" t="s">
        <v>16952</v>
      </c>
    </row>
    <row r="1224" ht="15.75" spans="1:2">
      <c r="A1224" s="9" t="s">
        <v>4151</v>
      </c>
      <c r="B1224" s="8"/>
    </row>
    <row r="1225" ht="15.75" spans="1:2">
      <c r="A1225" s="9" t="s">
        <v>4152</v>
      </c>
      <c r="B1225" s="5" t="s">
        <v>16952</v>
      </c>
    </row>
    <row r="1226" ht="15.75" spans="1:2">
      <c r="A1226" s="9" t="s">
        <v>4155</v>
      </c>
      <c r="B1226" s="5" t="s">
        <v>16952</v>
      </c>
    </row>
    <row r="1227" ht="15.75" spans="1:2">
      <c r="A1227" s="9" t="s">
        <v>4158</v>
      </c>
      <c r="B1227" s="5" t="s">
        <v>16952</v>
      </c>
    </row>
    <row r="1228" ht="15.75" spans="1:2">
      <c r="A1228" s="9" t="s">
        <v>4161</v>
      </c>
      <c r="B1228" s="5" t="s">
        <v>16952</v>
      </c>
    </row>
    <row r="1229" ht="15.75" spans="1:2">
      <c r="A1229" s="9" t="s">
        <v>4164</v>
      </c>
      <c r="B1229" s="5" t="s">
        <v>16952</v>
      </c>
    </row>
    <row r="1230" ht="15.75" spans="1:2">
      <c r="A1230" s="9" t="s">
        <v>4167</v>
      </c>
      <c r="B1230" s="5" t="s">
        <v>16952</v>
      </c>
    </row>
    <row r="1231" ht="15.75" spans="1:2">
      <c r="A1231" s="9" t="s">
        <v>4171</v>
      </c>
      <c r="B1231" s="5" t="s">
        <v>16952</v>
      </c>
    </row>
    <row r="1232" ht="15.75" spans="1:2">
      <c r="A1232" s="9" t="s">
        <v>4175</v>
      </c>
      <c r="B1232" s="5" t="s">
        <v>16952</v>
      </c>
    </row>
    <row r="1233" ht="15.75" spans="1:2">
      <c r="A1233" s="9" t="s">
        <v>4179</v>
      </c>
      <c r="B1233" s="5" t="s">
        <v>16952</v>
      </c>
    </row>
    <row r="1234" ht="15.75" spans="1:2">
      <c r="A1234" s="9" t="s">
        <v>4182</v>
      </c>
      <c r="B1234" s="5" t="s">
        <v>16952</v>
      </c>
    </row>
    <row r="1235" ht="15.75" spans="1:2">
      <c r="A1235" s="9" t="s">
        <v>4185</v>
      </c>
      <c r="B1235" s="5" t="s">
        <v>16952</v>
      </c>
    </row>
    <row r="1236" ht="15.75" spans="1:2">
      <c r="A1236" s="9" t="s">
        <v>4189</v>
      </c>
      <c r="B1236" s="10" t="s">
        <v>16952</v>
      </c>
    </row>
    <row r="1237" ht="15.75" spans="1:2">
      <c r="A1237" s="9" t="s">
        <v>4189</v>
      </c>
      <c r="B1237" s="10" t="s">
        <v>16952</v>
      </c>
    </row>
    <row r="1238" ht="15.75" spans="1:2">
      <c r="A1238" s="9" t="s">
        <v>4192</v>
      </c>
      <c r="B1238" s="5" t="s">
        <v>16952</v>
      </c>
    </row>
    <row r="1239" ht="15.75" spans="1:2">
      <c r="A1239" s="9" t="s">
        <v>4195</v>
      </c>
      <c r="B1239" s="5" t="s">
        <v>16952</v>
      </c>
    </row>
    <row r="1240" ht="15.75" spans="1:2">
      <c r="A1240" s="9" t="s">
        <v>4198</v>
      </c>
      <c r="B1240" s="5" t="s">
        <v>16952</v>
      </c>
    </row>
    <row r="1241" ht="15.75" spans="1:2">
      <c r="A1241" s="9" t="s">
        <v>4201</v>
      </c>
      <c r="B1241" s="5" t="s">
        <v>16952</v>
      </c>
    </row>
    <row r="1242" ht="15.75" spans="1:2">
      <c r="A1242" s="9" t="s">
        <v>4204</v>
      </c>
      <c r="B1242" s="5" t="s">
        <v>16952</v>
      </c>
    </row>
    <row r="1243" ht="15.75" spans="1:2">
      <c r="A1243" s="9" t="s">
        <v>4208</v>
      </c>
      <c r="B1243" s="5" t="s">
        <v>16952</v>
      </c>
    </row>
    <row r="1244" ht="15.75" spans="1:2">
      <c r="A1244" s="9" t="s">
        <v>4213</v>
      </c>
      <c r="B1244" s="5" t="s">
        <v>16952</v>
      </c>
    </row>
    <row r="1245" ht="15.75" spans="1:2">
      <c r="A1245" s="9" t="s">
        <v>4217</v>
      </c>
      <c r="B1245" s="5" t="s">
        <v>16952</v>
      </c>
    </row>
    <row r="1246" ht="15.75" spans="1:2">
      <c r="A1246" s="9" t="s">
        <v>4220</v>
      </c>
      <c r="B1246" s="5" t="s">
        <v>16952</v>
      </c>
    </row>
    <row r="1247" ht="15.75" spans="1:2">
      <c r="A1247" s="9" t="s">
        <v>4223</v>
      </c>
      <c r="B1247" s="5" t="s">
        <v>16952</v>
      </c>
    </row>
    <row r="1248" ht="15.75" spans="1:2">
      <c r="A1248" s="9" t="s">
        <v>4226</v>
      </c>
      <c r="B1248" s="5" t="s">
        <v>16952</v>
      </c>
    </row>
    <row r="1249" ht="15.75" spans="1:2">
      <c r="A1249" s="9" t="s">
        <v>4230</v>
      </c>
      <c r="B1249" s="5" t="s">
        <v>16952</v>
      </c>
    </row>
    <row r="1250" ht="15.75" spans="1:2">
      <c r="A1250" s="9" t="s">
        <v>4234</v>
      </c>
      <c r="B1250" s="5" t="s">
        <v>16952</v>
      </c>
    </row>
    <row r="1251" ht="15.75" spans="1:2">
      <c r="A1251" s="9" t="s">
        <v>4237</v>
      </c>
      <c r="B1251" s="5" t="s">
        <v>16952</v>
      </c>
    </row>
    <row r="1252" ht="15.75" spans="1:2">
      <c r="A1252" s="9" t="s">
        <v>4240</v>
      </c>
      <c r="B1252" s="5" t="s">
        <v>16952</v>
      </c>
    </row>
    <row r="1253" ht="15.75" spans="1:2">
      <c r="A1253" s="9" t="s">
        <v>4243</v>
      </c>
      <c r="B1253" s="5" t="s">
        <v>16952</v>
      </c>
    </row>
    <row r="1254" ht="15.75" spans="1:2">
      <c r="A1254" s="9" t="s">
        <v>4246</v>
      </c>
      <c r="B1254" s="5" t="s">
        <v>16952</v>
      </c>
    </row>
    <row r="1255" ht="15.75" spans="1:2">
      <c r="A1255" s="9" t="s">
        <v>4250</v>
      </c>
      <c r="B1255" s="5" t="s">
        <v>16952</v>
      </c>
    </row>
    <row r="1256" ht="15.75" spans="1:2">
      <c r="A1256" s="9" t="s">
        <v>4254</v>
      </c>
      <c r="B1256" s="5" t="s">
        <v>16952</v>
      </c>
    </row>
    <row r="1257" ht="15.75" spans="1:2">
      <c r="A1257" s="9" t="s">
        <v>4257</v>
      </c>
      <c r="B1257" s="5" t="s">
        <v>16952</v>
      </c>
    </row>
    <row r="1258" ht="15.75" spans="1:2">
      <c r="A1258" s="9" t="s">
        <v>4260</v>
      </c>
      <c r="B1258" s="5" t="s">
        <v>16952</v>
      </c>
    </row>
    <row r="1259" ht="15.75" spans="1:2">
      <c r="A1259" s="9" t="s">
        <v>4263</v>
      </c>
      <c r="B1259" s="5" t="s">
        <v>16952</v>
      </c>
    </row>
    <row r="1260" ht="15.75" spans="1:2">
      <c r="A1260" s="9" t="s">
        <v>4266</v>
      </c>
      <c r="B1260" s="5" t="s">
        <v>16952</v>
      </c>
    </row>
    <row r="1261" ht="15.75" spans="1:2">
      <c r="A1261" s="9" t="s">
        <v>4269</v>
      </c>
      <c r="B1261" s="5" t="s">
        <v>16952</v>
      </c>
    </row>
    <row r="1262" ht="15.75" spans="1:2">
      <c r="A1262" s="9" t="s">
        <v>4272</v>
      </c>
      <c r="B1262" s="5" t="s">
        <v>16952</v>
      </c>
    </row>
    <row r="1263" ht="15.75" spans="1:2">
      <c r="A1263" s="9" t="s">
        <v>4276</v>
      </c>
      <c r="B1263" s="8"/>
    </row>
    <row r="1264" ht="15.75" spans="1:2">
      <c r="A1264" s="9" t="s">
        <v>4277</v>
      </c>
      <c r="B1264" s="5" t="s">
        <v>16952</v>
      </c>
    </row>
    <row r="1265" ht="15.75" spans="1:2">
      <c r="A1265" s="9" t="s">
        <v>4280</v>
      </c>
      <c r="B1265" s="5" t="s">
        <v>16952</v>
      </c>
    </row>
    <row r="1266" ht="15.75" spans="1:2">
      <c r="A1266" s="9" t="s">
        <v>4284</v>
      </c>
      <c r="B1266" s="5" t="s">
        <v>16952</v>
      </c>
    </row>
    <row r="1267" ht="15.75" spans="1:2">
      <c r="A1267" s="9" t="s">
        <v>4288</v>
      </c>
      <c r="B1267" s="5" t="s">
        <v>16952</v>
      </c>
    </row>
    <row r="1268" ht="15.75" spans="1:2">
      <c r="A1268" s="9" t="s">
        <v>4292</v>
      </c>
      <c r="B1268" s="5" t="s">
        <v>16952</v>
      </c>
    </row>
    <row r="1269" ht="15.75" spans="1:2">
      <c r="A1269" s="9" t="s">
        <v>4296</v>
      </c>
      <c r="B1269" s="5" t="s">
        <v>16952</v>
      </c>
    </row>
    <row r="1270" ht="15.75" spans="1:2">
      <c r="A1270" s="9" t="s">
        <v>4299</v>
      </c>
      <c r="B1270" s="5" t="s">
        <v>16952</v>
      </c>
    </row>
    <row r="1271" ht="15.75" spans="1:2">
      <c r="A1271" s="9" t="s">
        <v>4302</v>
      </c>
      <c r="B1271" s="5" t="s">
        <v>16952</v>
      </c>
    </row>
    <row r="1272" ht="15.75" spans="1:2">
      <c r="A1272" s="9" t="s">
        <v>4305</v>
      </c>
      <c r="B1272" s="10" t="s">
        <v>16952</v>
      </c>
    </row>
    <row r="1273" ht="15.75" spans="1:2">
      <c r="A1273" s="9" t="s">
        <v>4305</v>
      </c>
      <c r="B1273" s="10" t="s">
        <v>16952</v>
      </c>
    </row>
    <row r="1274" ht="15.75" spans="1:2">
      <c r="A1274" s="9" t="s">
        <v>4312</v>
      </c>
      <c r="B1274" s="5" t="s">
        <v>16952</v>
      </c>
    </row>
    <row r="1275" ht="15.75" spans="1:2">
      <c r="A1275" s="9" t="s">
        <v>4315</v>
      </c>
      <c r="B1275" s="5" t="s">
        <v>16952</v>
      </c>
    </row>
    <row r="1276" ht="15.75" spans="1:2">
      <c r="A1276" s="9" t="s">
        <v>4318</v>
      </c>
      <c r="B1276" s="5" t="s">
        <v>16952</v>
      </c>
    </row>
    <row r="1277" ht="15.75" spans="1:2">
      <c r="A1277" s="9" t="s">
        <v>4321</v>
      </c>
      <c r="B1277" s="5" t="s">
        <v>16952</v>
      </c>
    </row>
    <row r="1278" ht="15.75" spans="1:2">
      <c r="A1278" s="9" t="s">
        <v>4325</v>
      </c>
      <c r="B1278" s="5" t="s">
        <v>16952</v>
      </c>
    </row>
    <row r="1279" ht="15.75" spans="1:2">
      <c r="A1279" s="9" t="s">
        <v>4328</v>
      </c>
      <c r="B1279" s="5" t="s">
        <v>16952</v>
      </c>
    </row>
    <row r="1280" ht="15.75" spans="1:2">
      <c r="A1280" s="9" t="s">
        <v>4333</v>
      </c>
      <c r="B1280" s="10" t="s">
        <v>16952</v>
      </c>
    </row>
    <row r="1281" ht="15.75" spans="1:2">
      <c r="A1281" s="9" t="s">
        <v>4333</v>
      </c>
      <c r="B1281" s="10" t="s">
        <v>16952</v>
      </c>
    </row>
    <row r="1282" ht="15.75" spans="1:2">
      <c r="A1282" s="9" t="s">
        <v>4337</v>
      </c>
      <c r="B1282" s="5" t="s">
        <v>16952</v>
      </c>
    </row>
    <row r="1283" ht="15.75" spans="1:2">
      <c r="A1283" s="9" t="s">
        <v>4342</v>
      </c>
      <c r="B1283" s="5" t="s">
        <v>16952</v>
      </c>
    </row>
    <row r="1284" ht="15.75" spans="1:2">
      <c r="A1284" s="9" t="s">
        <v>4345</v>
      </c>
      <c r="B1284" s="5" t="s">
        <v>16952</v>
      </c>
    </row>
    <row r="1285" ht="15.75" spans="1:2">
      <c r="A1285" s="9" t="s">
        <v>4348</v>
      </c>
      <c r="B1285" s="5" t="s">
        <v>16952</v>
      </c>
    </row>
    <row r="1286" ht="15.75" spans="1:2">
      <c r="A1286" s="9" t="s">
        <v>4351</v>
      </c>
      <c r="B1286" s="5" t="s">
        <v>16952</v>
      </c>
    </row>
    <row r="1287" ht="15.75" spans="1:2">
      <c r="A1287" s="9" t="s">
        <v>4354</v>
      </c>
      <c r="B1287" s="5" t="s">
        <v>16952</v>
      </c>
    </row>
    <row r="1288" ht="15.75" spans="1:2">
      <c r="A1288" s="9" t="s">
        <v>4358</v>
      </c>
      <c r="B1288" s="5" t="s">
        <v>16952</v>
      </c>
    </row>
    <row r="1289" ht="15.75" spans="1:2">
      <c r="A1289" s="9" t="s">
        <v>4362</v>
      </c>
      <c r="B1289" s="5" t="s">
        <v>16952</v>
      </c>
    </row>
    <row r="1290" ht="15.75" spans="1:2">
      <c r="A1290" s="9" t="s">
        <v>4367</v>
      </c>
      <c r="B1290" s="5" t="s">
        <v>16952</v>
      </c>
    </row>
    <row r="1291" ht="15.75" spans="1:2">
      <c r="A1291" s="9" t="s">
        <v>4370</v>
      </c>
      <c r="B1291" s="5" t="s">
        <v>16952</v>
      </c>
    </row>
    <row r="1292" ht="15.75" spans="1:2">
      <c r="A1292" s="9" t="s">
        <v>4373</v>
      </c>
      <c r="B1292" s="5" t="s">
        <v>16952</v>
      </c>
    </row>
    <row r="1293" ht="15.75" spans="1:2">
      <c r="A1293" s="9" t="s">
        <v>4377</v>
      </c>
      <c r="B1293" s="5" t="s">
        <v>16952</v>
      </c>
    </row>
    <row r="1294" ht="15.75" spans="1:2">
      <c r="A1294" s="9" t="s">
        <v>4380</v>
      </c>
      <c r="B1294" s="5" t="s">
        <v>16952</v>
      </c>
    </row>
    <row r="1295" ht="15.75" spans="1:2">
      <c r="A1295" s="9" t="s">
        <v>4383</v>
      </c>
      <c r="B1295" s="5" t="s">
        <v>16952</v>
      </c>
    </row>
    <row r="1296" ht="15.75" spans="1:2">
      <c r="A1296" s="9" t="s">
        <v>4386</v>
      </c>
      <c r="B1296" s="5" t="s">
        <v>16952</v>
      </c>
    </row>
    <row r="1297" ht="15.75" spans="1:2">
      <c r="A1297" s="9" t="s">
        <v>4391</v>
      </c>
      <c r="B1297" s="5" t="s">
        <v>16952</v>
      </c>
    </row>
    <row r="1298" ht="15.75" spans="1:2">
      <c r="A1298" s="9" t="s">
        <v>4394</v>
      </c>
      <c r="B1298" s="5" t="s">
        <v>16952</v>
      </c>
    </row>
    <row r="1299" ht="15.75" spans="1:2">
      <c r="A1299" s="9" t="s">
        <v>4397</v>
      </c>
      <c r="B1299" s="5" t="s">
        <v>16952</v>
      </c>
    </row>
    <row r="1300" ht="15.75" spans="1:2">
      <c r="A1300" s="9" t="s">
        <v>4400</v>
      </c>
      <c r="B1300" s="5" t="s">
        <v>16952</v>
      </c>
    </row>
    <row r="1301" ht="15.75" spans="1:2">
      <c r="A1301" s="9" t="s">
        <v>4403</v>
      </c>
      <c r="B1301" s="5" t="s">
        <v>16952</v>
      </c>
    </row>
    <row r="1302" ht="15.75" spans="1:2">
      <c r="A1302" s="9" t="s">
        <v>4406</v>
      </c>
      <c r="B1302" s="5" t="s">
        <v>16952</v>
      </c>
    </row>
    <row r="1303" ht="15.75" spans="1:2">
      <c r="A1303" s="9" t="s">
        <v>4409</v>
      </c>
      <c r="B1303" s="5" t="s">
        <v>16952</v>
      </c>
    </row>
    <row r="1304" ht="15.75" spans="1:2">
      <c r="A1304" s="9" t="s">
        <v>4412</v>
      </c>
      <c r="B1304" s="5" t="s">
        <v>16952</v>
      </c>
    </row>
    <row r="1305" ht="15.75" spans="1:2">
      <c r="A1305" s="9" t="s">
        <v>4415</v>
      </c>
      <c r="B1305" s="5" t="s">
        <v>16952</v>
      </c>
    </row>
    <row r="1306" ht="15.75" spans="1:2">
      <c r="A1306" s="9" t="s">
        <v>4418</v>
      </c>
      <c r="B1306" s="5" t="s">
        <v>16952</v>
      </c>
    </row>
    <row r="1307" ht="15.75" spans="1:2">
      <c r="A1307" s="9" t="s">
        <v>4421</v>
      </c>
      <c r="B1307" s="5" t="s">
        <v>16952</v>
      </c>
    </row>
    <row r="1308" ht="15.75" spans="1:2">
      <c r="A1308" s="9" t="s">
        <v>4424</v>
      </c>
      <c r="B1308" s="5" t="s">
        <v>16952</v>
      </c>
    </row>
    <row r="1309" ht="15.75" spans="1:2">
      <c r="A1309" s="9" t="s">
        <v>4428</v>
      </c>
      <c r="B1309" s="5" t="s">
        <v>16952</v>
      </c>
    </row>
    <row r="1310" ht="15.75" spans="1:2">
      <c r="A1310" s="9" t="s">
        <v>4432</v>
      </c>
      <c r="B1310" s="10" t="s">
        <v>16952</v>
      </c>
    </row>
    <row r="1311" ht="15.75" spans="1:2">
      <c r="A1311" s="9" t="s">
        <v>4432</v>
      </c>
      <c r="B1311" s="10" t="s">
        <v>16952</v>
      </c>
    </row>
    <row r="1312" ht="15.75" spans="1:2">
      <c r="A1312" s="9" t="s">
        <v>4437</v>
      </c>
      <c r="B1312" s="5" t="s">
        <v>16952</v>
      </c>
    </row>
    <row r="1313" ht="15.75" spans="1:2">
      <c r="A1313" s="9" t="s">
        <v>4441</v>
      </c>
      <c r="B1313" s="5" t="s">
        <v>16952</v>
      </c>
    </row>
    <row r="1314" ht="15.75" spans="1:2">
      <c r="A1314" s="9" t="s">
        <v>4444</v>
      </c>
      <c r="B1314" s="5" t="s">
        <v>16952</v>
      </c>
    </row>
    <row r="1315" ht="15.75" spans="1:2">
      <c r="A1315" s="9" t="s">
        <v>4448</v>
      </c>
      <c r="B1315" s="5" t="s">
        <v>16952</v>
      </c>
    </row>
    <row r="1316" ht="15.75" spans="1:2">
      <c r="A1316" s="9" t="s">
        <v>4452</v>
      </c>
      <c r="B1316" s="5" t="s">
        <v>16952</v>
      </c>
    </row>
    <row r="1317" ht="15.75" spans="1:2">
      <c r="A1317" s="9" t="s">
        <v>4456</v>
      </c>
      <c r="B1317" s="5" t="s">
        <v>16952</v>
      </c>
    </row>
    <row r="1318" ht="15.75" spans="1:2">
      <c r="A1318" s="9" t="s">
        <v>4460</v>
      </c>
      <c r="B1318" s="5" t="s">
        <v>16952</v>
      </c>
    </row>
    <row r="1319" ht="15.75" spans="1:2">
      <c r="A1319" s="9" t="s">
        <v>4463</v>
      </c>
      <c r="B1319" s="5" t="s">
        <v>16952</v>
      </c>
    </row>
    <row r="1320" ht="15.75" spans="1:2">
      <c r="A1320" s="9" t="s">
        <v>4466</v>
      </c>
      <c r="B1320" s="5" t="s">
        <v>16952</v>
      </c>
    </row>
    <row r="1321" ht="15.75" spans="1:2">
      <c r="A1321" s="9" t="s">
        <v>4469</v>
      </c>
      <c r="B1321" s="5" t="s">
        <v>16952</v>
      </c>
    </row>
    <row r="1322" ht="15.75" spans="1:2">
      <c r="A1322" s="9" t="s">
        <v>4472</v>
      </c>
      <c r="B1322" s="5" t="s">
        <v>16952</v>
      </c>
    </row>
    <row r="1323" ht="15.75" spans="1:2">
      <c r="A1323" s="9" t="s">
        <v>4476</v>
      </c>
      <c r="B1323" s="5" t="s">
        <v>16952</v>
      </c>
    </row>
    <row r="1324" ht="15.75" spans="1:2">
      <c r="A1324" s="9" t="s">
        <v>4480</v>
      </c>
      <c r="B1324" s="5" t="s">
        <v>16952</v>
      </c>
    </row>
    <row r="1325" ht="15.75" spans="1:2">
      <c r="A1325" s="9" t="s">
        <v>4483</v>
      </c>
      <c r="B1325" s="5" t="s">
        <v>16952</v>
      </c>
    </row>
    <row r="1326" ht="15.75" spans="1:2">
      <c r="A1326" s="9" t="s">
        <v>4486</v>
      </c>
      <c r="B1326" s="5" t="s">
        <v>16952</v>
      </c>
    </row>
    <row r="1327" ht="15.75" spans="1:2">
      <c r="A1327" s="9" t="s">
        <v>4489</v>
      </c>
      <c r="B1327" s="5" t="s">
        <v>16952</v>
      </c>
    </row>
    <row r="1328" ht="15.75" spans="1:2">
      <c r="A1328" s="9" t="s">
        <v>4492</v>
      </c>
      <c r="B1328" s="5" t="s">
        <v>16952</v>
      </c>
    </row>
    <row r="1329" ht="15.75" spans="1:2">
      <c r="A1329" s="9" t="s">
        <v>4495</v>
      </c>
      <c r="B1329" s="5" t="s">
        <v>16952</v>
      </c>
    </row>
    <row r="1330" ht="15.75" spans="1:2">
      <c r="A1330" s="9" t="s">
        <v>4498</v>
      </c>
      <c r="B1330" s="5" t="s">
        <v>16952</v>
      </c>
    </row>
    <row r="1331" ht="15.75" spans="1:2">
      <c r="A1331" s="9" t="s">
        <v>4502</v>
      </c>
      <c r="B1331" s="5" t="s">
        <v>16952</v>
      </c>
    </row>
    <row r="1332" ht="15.75" spans="1:2">
      <c r="A1332" s="9" t="s">
        <v>4506</v>
      </c>
      <c r="B1332" s="5" t="s">
        <v>16952</v>
      </c>
    </row>
    <row r="1333" ht="15.75" spans="1:2">
      <c r="A1333" s="9" t="s">
        <v>4509</v>
      </c>
      <c r="B1333" s="5" t="s">
        <v>16952</v>
      </c>
    </row>
    <row r="1334" ht="15.75" spans="1:2">
      <c r="A1334" s="9" t="s">
        <v>4512</v>
      </c>
      <c r="B1334" s="5" t="s">
        <v>16952</v>
      </c>
    </row>
    <row r="1335" ht="15.75" spans="1:2">
      <c r="A1335" s="9" t="s">
        <v>4515</v>
      </c>
      <c r="B1335" s="5" t="s">
        <v>16952</v>
      </c>
    </row>
    <row r="1336" ht="15.75" spans="1:2">
      <c r="A1336" s="9" t="s">
        <v>4518</v>
      </c>
      <c r="B1336" s="5" t="s">
        <v>16952</v>
      </c>
    </row>
    <row r="1337" ht="15.75" spans="1:2">
      <c r="A1337" s="9" t="s">
        <v>4521</v>
      </c>
      <c r="B1337" s="5" t="s">
        <v>16952</v>
      </c>
    </row>
    <row r="1338" ht="15.75" spans="1:2">
      <c r="A1338" s="9" t="s">
        <v>4524</v>
      </c>
      <c r="B1338" s="5" t="s">
        <v>16952</v>
      </c>
    </row>
    <row r="1339" ht="15.75" spans="1:2">
      <c r="A1339" s="9" t="s">
        <v>4528</v>
      </c>
      <c r="B1339" s="5" t="s">
        <v>16952</v>
      </c>
    </row>
    <row r="1340" ht="15.75" spans="1:2">
      <c r="A1340" s="9" t="s">
        <v>4532</v>
      </c>
      <c r="B1340" s="5" t="s">
        <v>16952</v>
      </c>
    </row>
    <row r="1341" ht="15.75" spans="1:2">
      <c r="A1341" s="9" t="s">
        <v>4536</v>
      </c>
      <c r="B1341" s="5" t="s">
        <v>16952</v>
      </c>
    </row>
    <row r="1342" ht="15.75" spans="1:2">
      <c r="A1342" s="9" t="s">
        <v>4539</v>
      </c>
      <c r="B1342" s="5" t="s">
        <v>16952</v>
      </c>
    </row>
    <row r="1343" ht="15.75" spans="1:2">
      <c r="A1343" s="9" t="s">
        <v>4543</v>
      </c>
      <c r="B1343" s="5" t="s">
        <v>16952</v>
      </c>
    </row>
    <row r="1344" ht="15.75" spans="1:2">
      <c r="A1344" s="9" t="s">
        <v>4547</v>
      </c>
      <c r="B1344" s="5" t="s">
        <v>16952</v>
      </c>
    </row>
    <row r="1345" ht="15.75" spans="1:2">
      <c r="A1345" s="9" t="s">
        <v>4550</v>
      </c>
      <c r="B1345" s="5" t="s">
        <v>16952</v>
      </c>
    </row>
    <row r="1346" ht="15.75" spans="1:2">
      <c r="A1346" s="9" t="s">
        <v>4553</v>
      </c>
      <c r="B1346" s="5" t="s">
        <v>16952</v>
      </c>
    </row>
    <row r="1347" ht="15.75" spans="1:2">
      <c r="A1347" s="9" t="s">
        <v>4557</v>
      </c>
      <c r="B1347" s="5" t="s">
        <v>16952</v>
      </c>
    </row>
    <row r="1348" ht="15.75" spans="1:2">
      <c r="A1348" s="9" t="s">
        <v>4561</v>
      </c>
      <c r="B1348" s="5" t="s">
        <v>16952</v>
      </c>
    </row>
    <row r="1349" ht="15.75" spans="1:2">
      <c r="A1349" s="9" t="s">
        <v>4564</v>
      </c>
      <c r="B1349" s="5" t="s">
        <v>16952</v>
      </c>
    </row>
    <row r="1350" ht="15.75" spans="1:2">
      <c r="A1350" s="9" t="s">
        <v>4568</v>
      </c>
      <c r="B1350" s="5" t="s">
        <v>16952</v>
      </c>
    </row>
    <row r="1351" ht="15.75" spans="1:2">
      <c r="A1351" s="9" t="s">
        <v>4572</v>
      </c>
      <c r="B1351" s="5" t="s">
        <v>16952</v>
      </c>
    </row>
    <row r="1352" ht="15.75" spans="1:2">
      <c r="A1352" s="9" t="s">
        <v>4575</v>
      </c>
      <c r="B1352" s="5" t="s">
        <v>16952</v>
      </c>
    </row>
    <row r="1353" ht="15.75" spans="1:2">
      <c r="A1353" s="9" t="s">
        <v>4578</v>
      </c>
      <c r="B1353" s="5" t="s">
        <v>16952</v>
      </c>
    </row>
    <row r="1354" ht="15.75" spans="1:2">
      <c r="A1354" s="9" t="s">
        <v>4582</v>
      </c>
      <c r="B1354" s="5" t="s">
        <v>16952</v>
      </c>
    </row>
    <row r="1355" ht="15.75" spans="1:2">
      <c r="A1355" s="9" t="s">
        <v>4586</v>
      </c>
      <c r="B1355" s="5" t="s">
        <v>16952</v>
      </c>
    </row>
    <row r="1356" ht="15.75" spans="1:2">
      <c r="A1356" s="9" t="s">
        <v>4590</v>
      </c>
      <c r="B1356" s="5" t="s">
        <v>16952</v>
      </c>
    </row>
    <row r="1357" ht="15.75" spans="1:2">
      <c r="A1357" s="9" t="s">
        <v>4593</v>
      </c>
      <c r="B1357" s="5" t="s">
        <v>16952</v>
      </c>
    </row>
    <row r="1358" ht="15.75" spans="1:2">
      <c r="A1358" s="9" t="s">
        <v>4596</v>
      </c>
      <c r="B1358" s="5" t="s">
        <v>16952</v>
      </c>
    </row>
    <row r="1359" ht="15.75" spans="1:2">
      <c r="A1359" s="9" t="s">
        <v>4599</v>
      </c>
      <c r="B1359" s="5" t="s">
        <v>16952</v>
      </c>
    </row>
    <row r="1360" ht="15.75" spans="1:2">
      <c r="A1360" s="9" t="s">
        <v>4603</v>
      </c>
      <c r="B1360" s="5" t="s">
        <v>16952</v>
      </c>
    </row>
    <row r="1361" ht="15.75" spans="1:2">
      <c r="A1361" s="9" t="s">
        <v>4608</v>
      </c>
      <c r="B1361" s="5" t="s">
        <v>16952</v>
      </c>
    </row>
    <row r="1362" ht="15.75" spans="1:2">
      <c r="A1362" s="9" t="s">
        <v>4613</v>
      </c>
      <c r="B1362" s="5" t="s">
        <v>16952</v>
      </c>
    </row>
    <row r="1363" ht="15.75" spans="1:2">
      <c r="A1363" s="9" t="s">
        <v>4618</v>
      </c>
      <c r="B1363" s="5" t="s">
        <v>16952</v>
      </c>
    </row>
    <row r="1364" ht="15.75" spans="1:2">
      <c r="A1364" s="9" t="s">
        <v>4623</v>
      </c>
      <c r="B1364" s="5" t="s">
        <v>16952</v>
      </c>
    </row>
    <row r="1365" ht="15.75" spans="1:2">
      <c r="A1365" s="9" t="s">
        <v>4626</v>
      </c>
      <c r="B1365" s="13" t="s">
        <v>16962</v>
      </c>
    </row>
    <row r="1366" ht="15.75" spans="1:2">
      <c r="A1366" s="9" t="s">
        <v>4630</v>
      </c>
      <c r="B1366" s="5" t="s">
        <v>16952</v>
      </c>
    </row>
    <row r="1367" ht="15.75" spans="1:2">
      <c r="A1367" s="9" t="s">
        <v>4634</v>
      </c>
      <c r="B1367" s="5" t="s">
        <v>16952</v>
      </c>
    </row>
    <row r="1368" ht="15.75" spans="1:2">
      <c r="A1368" s="9" t="s">
        <v>4637</v>
      </c>
      <c r="B1368" s="5" t="s">
        <v>16952</v>
      </c>
    </row>
    <row r="1369" ht="15.75" spans="1:2">
      <c r="A1369" s="9" t="s">
        <v>4640</v>
      </c>
      <c r="B1369" s="8"/>
    </row>
    <row r="1370" ht="15.75" spans="1:2">
      <c r="A1370" s="9" t="s">
        <v>4641</v>
      </c>
      <c r="B1370" s="13"/>
    </row>
    <row r="1371" ht="15.75" spans="1:2">
      <c r="A1371" s="9" t="s">
        <v>4645</v>
      </c>
      <c r="B1371" s="5" t="s">
        <v>16952</v>
      </c>
    </row>
    <row r="1372" ht="15.75" spans="1:2">
      <c r="A1372" s="9" t="s">
        <v>4650</v>
      </c>
      <c r="B1372" s="5" t="s">
        <v>16952</v>
      </c>
    </row>
    <row r="1373" ht="15.75" spans="1:2">
      <c r="A1373" s="9" t="s">
        <v>4654</v>
      </c>
      <c r="B1373" s="5" t="s">
        <v>16952</v>
      </c>
    </row>
    <row r="1374" ht="15.75" spans="1:2">
      <c r="A1374" s="9" t="s">
        <v>4659</v>
      </c>
      <c r="B1374" s="8"/>
    </row>
    <row r="1375" ht="15.75" spans="1:2">
      <c r="A1375" s="9" t="s">
        <v>4660</v>
      </c>
      <c r="B1375" s="8"/>
    </row>
    <row r="1376" ht="15.75" spans="1:2">
      <c r="A1376" s="9" t="s">
        <v>4661</v>
      </c>
      <c r="B1376" s="5" t="s">
        <v>16952</v>
      </c>
    </row>
    <row r="1377" ht="15.75" spans="1:2">
      <c r="A1377" s="9" t="s">
        <v>4666</v>
      </c>
      <c r="B1377" s="5" t="s">
        <v>16952</v>
      </c>
    </row>
    <row r="1378" ht="15.75" spans="1:2">
      <c r="A1378" s="9" t="s">
        <v>4670</v>
      </c>
      <c r="B1378" s="5" t="s">
        <v>16952</v>
      </c>
    </row>
    <row r="1379" ht="15.75" spans="1:2">
      <c r="A1379" s="9" t="s">
        <v>4673</v>
      </c>
      <c r="B1379" s="5" t="s">
        <v>16952</v>
      </c>
    </row>
    <row r="1380" ht="15.75" spans="1:2">
      <c r="A1380" s="9" t="s">
        <v>4677</v>
      </c>
      <c r="B1380" s="5" t="s">
        <v>16952</v>
      </c>
    </row>
    <row r="1381" ht="15.75" spans="1:2">
      <c r="A1381" s="9" t="s">
        <v>4682</v>
      </c>
      <c r="B1381" s="5" t="s">
        <v>16952</v>
      </c>
    </row>
    <row r="1382" ht="15.75" spans="1:2">
      <c r="A1382" s="9" t="s">
        <v>4684</v>
      </c>
      <c r="B1382" s="5" t="s">
        <v>16952</v>
      </c>
    </row>
    <row r="1383" ht="15.75" spans="1:2">
      <c r="A1383" s="9" t="s">
        <v>4688</v>
      </c>
      <c r="B1383" s="5" t="s">
        <v>16952</v>
      </c>
    </row>
    <row r="1384" ht="15.75" spans="1:2">
      <c r="A1384" s="9" t="s">
        <v>4693</v>
      </c>
      <c r="B1384" s="5" t="s">
        <v>16952</v>
      </c>
    </row>
    <row r="1385" ht="15.75" spans="1:2">
      <c r="A1385" s="9" t="s">
        <v>4697</v>
      </c>
      <c r="B1385" s="5" t="s">
        <v>16952</v>
      </c>
    </row>
    <row r="1386" ht="15.75" spans="1:2">
      <c r="A1386" s="9" t="s">
        <v>4701</v>
      </c>
      <c r="B1386" s="5" t="s">
        <v>16952</v>
      </c>
    </row>
    <row r="1387" ht="15.75" spans="1:2">
      <c r="A1387" s="9" t="s">
        <v>4704</v>
      </c>
      <c r="B1387" s="5" t="s">
        <v>16952</v>
      </c>
    </row>
    <row r="1388" ht="15.75" spans="1:2">
      <c r="A1388" s="9" t="s">
        <v>4707</v>
      </c>
      <c r="B1388" s="5" t="s">
        <v>16952</v>
      </c>
    </row>
    <row r="1389" ht="15.75" spans="1:2">
      <c r="A1389" s="9" t="s">
        <v>4711</v>
      </c>
      <c r="B1389" s="5" t="s">
        <v>16952</v>
      </c>
    </row>
    <row r="1390" ht="15.75" spans="1:2">
      <c r="A1390" s="9" t="s">
        <v>4715</v>
      </c>
      <c r="B1390" s="5" t="s">
        <v>16952</v>
      </c>
    </row>
    <row r="1391" ht="15.75" spans="1:2">
      <c r="A1391" s="9" t="s">
        <v>4718</v>
      </c>
      <c r="B1391" s="5" t="s">
        <v>16952</v>
      </c>
    </row>
    <row r="1392" ht="15.75" spans="1:2">
      <c r="A1392" s="9" t="s">
        <v>4721</v>
      </c>
      <c r="B1392" s="13"/>
    </row>
    <row r="1393" ht="15.75" spans="1:2">
      <c r="A1393" s="9" t="s">
        <v>4726</v>
      </c>
      <c r="B1393" s="5" t="s">
        <v>16952</v>
      </c>
    </row>
    <row r="1394" ht="15.75" spans="1:2">
      <c r="A1394" s="9" t="s">
        <v>4729</v>
      </c>
      <c r="B1394" s="5" t="s">
        <v>16952</v>
      </c>
    </row>
    <row r="1395" ht="15.75" spans="1:2">
      <c r="A1395" s="9" t="s">
        <v>4733</v>
      </c>
      <c r="B1395" s="5" t="s">
        <v>16952</v>
      </c>
    </row>
    <row r="1396" ht="15.75" spans="1:2">
      <c r="A1396" s="9" t="s">
        <v>4737</v>
      </c>
      <c r="B1396" s="5" t="s">
        <v>16952</v>
      </c>
    </row>
    <row r="1397" ht="15.75" spans="1:2">
      <c r="A1397" s="9" t="s">
        <v>4741</v>
      </c>
      <c r="B1397" s="5" t="s">
        <v>16952</v>
      </c>
    </row>
    <row r="1398" ht="15.75" spans="1:2">
      <c r="A1398" s="9" t="s">
        <v>4745</v>
      </c>
      <c r="B1398" s="5" t="s">
        <v>16952</v>
      </c>
    </row>
    <row r="1399" ht="15.75" spans="1:2">
      <c r="A1399" s="9" t="s">
        <v>4749</v>
      </c>
      <c r="B1399" s="5" t="s">
        <v>16952</v>
      </c>
    </row>
    <row r="1400" ht="15.75" spans="1:2">
      <c r="A1400" s="9" t="s">
        <v>4753</v>
      </c>
      <c r="B1400" s="5" t="s">
        <v>16952</v>
      </c>
    </row>
    <row r="1401" ht="15.75" spans="1:2">
      <c r="A1401" s="9" t="s">
        <v>4756</v>
      </c>
      <c r="B1401" s="5" t="s">
        <v>16952</v>
      </c>
    </row>
    <row r="1402" ht="15.75" spans="1:2">
      <c r="A1402" s="9" t="s">
        <v>4759</v>
      </c>
      <c r="B1402" s="5" t="s">
        <v>16952</v>
      </c>
    </row>
    <row r="1403" ht="15.75" spans="1:2">
      <c r="A1403" s="9" t="s">
        <v>4763</v>
      </c>
      <c r="B1403" s="5" t="s">
        <v>16952</v>
      </c>
    </row>
    <row r="1404" ht="15.75" spans="1:2">
      <c r="A1404" s="9" t="s">
        <v>4766</v>
      </c>
      <c r="B1404" s="5" t="s">
        <v>16952</v>
      </c>
    </row>
    <row r="1405" ht="15.75" spans="1:2">
      <c r="A1405" s="9" t="s">
        <v>4769</v>
      </c>
      <c r="B1405" s="8"/>
    </row>
    <row r="1406" ht="15.75" spans="1:2">
      <c r="A1406" s="9" t="s">
        <v>4770</v>
      </c>
      <c r="B1406" s="5" t="s">
        <v>16952</v>
      </c>
    </row>
    <row r="1407" ht="15.75" spans="1:2">
      <c r="A1407" s="9" t="s">
        <v>4773</v>
      </c>
      <c r="B1407" s="5" t="s">
        <v>16952</v>
      </c>
    </row>
    <row r="1408" ht="30" spans="1:2">
      <c r="A1408" s="9" t="s">
        <v>4776</v>
      </c>
      <c r="B1408" s="13" t="s">
        <v>16963</v>
      </c>
    </row>
    <row r="1409" ht="15.75" spans="1:2">
      <c r="A1409" s="9" t="s">
        <v>4780</v>
      </c>
      <c r="B1409" s="5" t="s">
        <v>16952</v>
      </c>
    </row>
    <row r="1410" ht="15.75" spans="1:2">
      <c r="A1410" s="9" t="s">
        <v>4784</v>
      </c>
      <c r="B1410" s="5" t="s">
        <v>16952</v>
      </c>
    </row>
    <row r="1411" ht="15.75" spans="1:2">
      <c r="A1411" s="9" t="s">
        <v>4788</v>
      </c>
      <c r="B1411" s="12"/>
    </row>
    <row r="1412" ht="15.75" spans="1:2">
      <c r="A1412" s="9" t="s">
        <v>4788</v>
      </c>
      <c r="B1412" s="12"/>
    </row>
    <row r="1413" ht="15.75" spans="1:2">
      <c r="A1413" s="9" t="s">
        <v>4789</v>
      </c>
      <c r="B1413" s="5" t="s">
        <v>16952</v>
      </c>
    </row>
    <row r="1414" ht="15.75" spans="1:2">
      <c r="A1414" s="9" t="s">
        <v>4792</v>
      </c>
      <c r="B1414" s="5" t="s">
        <v>16952</v>
      </c>
    </row>
    <row r="1415" ht="15.75" spans="1:2">
      <c r="A1415" s="9" t="s">
        <v>4796</v>
      </c>
      <c r="B1415" s="5" t="s">
        <v>16952</v>
      </c>
    </row>
    <row r="1416" ht="15.75" spans="1:2">
      <c r="A1416" s="9" t="s">
        <v>4799</v>
      </c>
      <c r="B1416" s="5" t="s">
        <v>16952</v>
      </c>
    </row>
    <row r="1417" ht="15.75" spans="1:2">
      <c r="A1417" s="9" t="s">
        <v>4803</v>
      </c>
      <c r="B1417" s="13"/>
    </row>
    <row r="1418" ht="15.75" spans="1:2">
      <c r="A1418" s="9" t="s">
        <v>4806</v>
      </c>
      <c r="B1418" s="5" t="s">
        <v>16952</v>
      </c>
    </row>
    <row r="1419" ht="15.75" spans="1:2">
      <c r="A1419" s="9" t="s">
        <v>4811</v>
      </c>
      <c r="B1419" s="5" t="s">
        <v>16952</v>
      </c>
    </row>
    <row r="1420" ht="15.75" spans="1:2">
      <c r="A1420" s="9" t="s">
        <v>4816</v>
      </c>
      <c r="B1420" s="5" t="s">
        <v>16952</v>
      </c>
    </row>
    <row r="1421" ht="15.75" spans="1:2">
      <c r="A1421" s="9" t="s">
        <v>4819</v>
      </c>
      <c r="B1421" s="5" t="s">
        <v>16952</v>
      </c>
    </row>
    <row r="1422" ht="15.75" spans="1:2">
      <c r="A1422" s="9" t="s">
        <v>4822</v>
      </c>
      <c r="B1422" s="5" t="s">
        <v>16952</v>
      </c>
    </row>
    <row r="1423" ht="15.75" spans="1:2">
      <c r="A1423" s="9" t="s">
        <v>4825</v>
      </c>
      <c r="B1423" s="5" t="s">
        <v>16952</v>
      </c>
    </row>
    <row r="1424" ht="15.75" spans="1:2">
      <c r="A1424" s="9" t="s">
        <v>4828</v>
      </c>
      <c r="B1424" s="5" t="s">
        <v>16952</v>
      </c>
    </row>
    <row r="1425" ht="15.75" spans="1:2">
      <c r="A1425" s="9" t="s">
        <v>4832</v>
      </c>
      <c r="B1425" s="5" t="s">
        <v>16952</v>
      </c>
    </row>
    <row r="1426" ht="15.75" spans="1:2">
      <c r="A1426" s="9" t="s">
        <v>4835</v>
      </c>
      <c r="B1426" s="5" t="s">
        <v>16952</v>
      </c>
    </row>
    <row r="1427" ht="15.75" spans="1:2">
      <c r="A1427" s="9" t="s">
        <v>4839</v>
      </c>
      <c r="B1427" s="5" t="s">
        <v>16952</v>
      </c>
    </row>
    <row r="1428" ht="15.75" spans="1:2">
      <c r="A1428" s="9" t="s">
        <v>4843</v>
      </c>
      <c r="B1428" s="8"/>
    </row>
    <row r="1429" ht="15.75" spans="1:2">
      <c r="A1429" s="9" t="s">
        <v>4844</v>
      </c>
      <c r="B1429" s="5" t="s">
        <v>16952</v>
      </c>
    </row>
    <row r="1430" ht="15.75" spans="1:2">
      <c r="A1430" s="9" t="s">
        <v>4848</v>
      </c>
      <c r="B1430" s="5" t="s">
        <v>16952</v>
      </c>
    </row>
    <row r="1431" ht="15.75" spans="1:2">
      <c r="A1431" s="9" t="s">
        <v>4852</v>
      </c>
      <c r="B1431" s="5" t="s">
        <v>16952</v>
      </c>
    </row>
    <row r="1432" ht="15.75" spans="1:2">
      <c r="A1432" s="9" t="s">
        <v>4855</v>
      </c>
      <c r="B1432" s="5" t="s">
        <v>16952</v>
      </c>
    </row>
    <row r="1433" ht="31.5" spans="1:2">
      <c r="A1433" s="9" t="s">
        <v>4859</v>
      </c>
      <c r="B1433" s="8" t="s">
        <v>16964</v>
      </c>
    </row>
    <row r="1434" ht="15.75" spans="1:2">
      <c r="A1434" s="9" t="s">
        <v>4861</v>
      </c>
      <c r="B1434" s="5" t="s">
        <v>16952</v>
      </c>
    </row>
    <row r="1435" ht="15.75" spans="1:2">
      <c r="A1435" s="9" t="s">
        <v>4864</v>
      </c>
      <c r="B1435" s="5" t="s">
        <v>16952</v>
      </c>
    </row>
    <row r="1436" ht="30" spans="1:2">
      <c r="A1436" s="9" t="s">
        <v>4869</v>
      </c>
      <c r="B1436" s="16" t="str">
        <f>IFERROR(__xludf.DUMMYFUNCTION("""COMPUTED_VALUE"""),"ዘነበ ደስታ ተ/ወልድ")</f>
        <v>ዘነበ ደስታ ተ/ወልድ</v>
      </c>
    </row>
    <row r="1437" ht="15.75" spans="1:2">
      <c r="A1437" s="9" t="s">
        <v>4870</v>
      </c>
      <c r="B1437" s="5" t="s">
        <v>16952</v>
      </c>
    </row>
    <row r="1438" ht="15.75" spans="1:2">
      <c r="A1438" s="9" t="s">
        <v>4873</v>
      </c>
      <c r="B1438" s="5" t="s">
        <v>16952</v>
      </c>
    </row>
    <row r="1439" ht="15.75" spans="1:2">
      <c r="A1439" s="9" t="s">
        <v>4878</v>
      </c>
      <c r="B1439" s="5" t="s">
        <v>16952</v>
      </c>
    </row>
    <row r="1440" ht="15.75" spans="1:2">
      <c r="A1440" s="9" t="s">
        <v>4882</v>
      </c>
      <c r="B1440" s="5" t="s">
        <v>16952</v>
      </c>
    </row>
    <row r="1441" ht="15.75" spans="1:2">
      <c r="A1441" s="9" t="s">
        <v>4886</v>
      </c>
      <c r="B1441" s="5" t="s">
        <v>16952</v>
      </c>
    </row>
    <row r="1442" ht="15.75" spans="1:2">
      <c r="A1442" s="9" t="s">
        <v>4889</v>
      </c>
      <c r="B1442" s="5" t="s">
        <v>16952</v>
      </c>
    </row>
    <row r="1443" ht="15.75" spans="1:2">
      <c r="A1443" s="9" t="s">
        <v>4893</v>
      </c>
      <c r="B1443" s="5" t="s">
        <v>16952</v>
      </c>
    </row>
    <row r="1444" ht="15.75" spans="1:2">
      <c r="A1444" s="9" t="s">
        <v>4897</v>
      </c>
      <c r="B1444" s="5" t="s">
        <v>16952</v>
      </c>
    </row>
    <row r="1445" ht="15.75" spans="1:2">
      <c r="A1445" s="9" t="s">
        <v>4900</v>
      </c>
      <c r="B1445" s="5" t="s">
        <v>16952</v>
      </c>
    </row>
    <row r="1446" ht="15.75" spans="1:2">
      <c r="A1446" s="9" t="s">
        <v>4905</v>
      </c>
      <c r="B1446" s="5" t="s">
        <v>16952</v>
      </c>
    </row>
    <row r="1447" ht="15.75" spans="1:2">
      <c r="A1447" s="9" t="s">
        <v>4909</v>
      </c>
      <c r="B1447" s="8"/>
    </row>
    <row r="1448" ht="15.75" spans="1:2">
      <c r="A1448" s="9" t="s">
        <v>4910</v>
      </c>
      <c r="B1448" s="5" t="s">
        <v>16952</v>
      </c>
    </row>
    <row r="1449" ht="15.75" spans="1:2">
      <c r="A1449" s="9" t="s">
        <v>4913</v>
      </c>
      <c r="B1449" s="12"/>
    </row>
    <row r="1450" ht="15.75" spans="1:2">
      <c r="A1450" s="9" t="s">
        <v>4913</v>
      </c>
      <c r="B1450" s="12"/>
    </row>
    <row r="1451" ht="15.75" spans="1:2">
      <c r="A1451" s="9" t="s">
        <v>4914</v>
      </c>
      <c r="B1451" s="5" t="s">
        <v>16952</v>
      </c>
    </row>
    <row r="1452" ht="15.75" spans="1:2">
      <c r="A1452" s="9" t="s">
        <v>4918</v>
      </c>
      <c r="B1452" s="5" t="s">
        <v>16952</v>
      </c>
    </row>
    <row r="1453" ht="15.75" spans="1:2">
      <c r="A1453" s="9" t="s">
        <v>4924</v>
      </c>
      <c r="B1453" s="5" t="s">
        <v>16952</v>
      </c>
    </row>
    <row r="1454" ht="15.75" spans="1:2">
      <c r="A1454" s="9" t="s">
        <v>4928</v>
      </c>
      <c r="B1454" s="5" t="s">
        <v>16952</v>
      </c>
    </row>
    <row r="1455" ht="15.75" spans="1:2">
      <c r="A1455" s="9" t="s">
        <v>4933</v>
      </c>
      <c r="B1455" s="5" t="s">
        <v>16952</v>
      </c>
    </row>
    <row r="1456" ht="15.75" spans="1:2">
      <c r="A1456" s="9" t="s">
        <v>4936</v>
      </c>
      <c r="B1456" s="5" t="s">
        <v>16952</v>
      </c>
    </row>
    <row r="1457" ht="15.75" spans="1:2">
      <c r="A1457" s="9" t="s">
        <v>4939</v>
      </c>
      <c r="B1457" s="5" t="s">
        <v>16952</v>
      </c>
    </row>
    <row r="1458" ht="15.75" spans="1:2">
      <c r="A1458" s="9" t="s">
        <v>4942</v>
      </c>
      <c r="B1458" s="10" t="s">
        <v>16952</v>
      </c>
    </row>
    <row r="1459" ht="15.75" spans="1:2">
      <c r="A1459" s="9" t="s">
        <v>4942</v>
      </c>
      <c r="B1459" s="10" t="s">
        <v>16952</v>
      </c>
    </row>
    <row r="1460" ht="15.75" spans="1:2">
      <c r="A1460" s="9" t="s">
        <v>4947</v>
      </c>
      <c r="B1460" s="5" t="s">
        <v>16952</v>
      </c>
    </row>
    <row r="1461" ht="15.75" spans="1:2">
      <c r="A1461" s="9" t="s">
        <v>4951</v>
      </c>
      <c r="B1461" s="5" t="s">
        <v>16952</v>
      </c>
    </row>
    <row r="1462" ht="15.75" spans="1:2">
      <c r="A1462" s="9" t="s">
        <v>4955</v>
      </c>
      <c r="B1462" s="5" t="s">
        <v>16952</v>
      </c>
    </row>
    <row r="1463" ht="15.75" spans="1:2">
      <c r="A1463" s="9" t="s">
        <v>4958</v>
      </c>
      <c r="B1463" s="5" t="s">
        <v>16952</v>
      </c>
    </row>
    <row r="1464" ht="15.75" spans="1:2">
      <c r="A1464" s="9" t="s">
        <v>4962</v>
      </c>
      <c r="B1464" s="5" t="s">
        <v>16952</v>
      </c>
    </row>
    <row r="1465" ht="15.75" spans="1:2">
      <c r="A1465" s="9" t="s">
        <v>4965</v>
      </c>
      <c r="B1465" s="5" t="s">
        <v>16952</v>
      </c>
    </row>
    <row r="1466" ht="15.75" spans="1:2">
      <c r="A1466" s="9" t="s">
        <v>4968</v>
      </c>
      <c r="B1466" s="5" t="s">
        <v>16952</v>
      </c>
    </row>
    <row r="1467" ht="15.75" spans="1:2">
      <c r="A1467" s="9" t="s">
        <v>4971</v>
      </c>
      <c r="B1467" s="5" t="s">
        <v>16952</v>
      </c>
    </row>
    <row r="1468" ht="15.75" spans="1:2">
      <c r="A1468" s="9" t="s">
        <v>4974</v>
      </c>
      <c r="B1468" s="5" t="s">
        <v>16952</v>
      </c>
    </row>
    <row r="1469" ht="15.75" spans="1:2">
      <c r="A1469" s="9" t="s">
        <v>4978</v>
      </c>
      <c r="B1469" s="5" t="s">
        <v>16952</v>
      </c>
    </row>
    <row r="1470" ht="15.75" spans="1:2">
      <c r="A1470" s="9" t="s">
        <v>4981</v>
      </c>
      <c r="B1470" s="5" t="s">
        <v>16952</v>
      </c>
    </row>
    <row r="1471" ht="15.75" spans="1:2">
      <c r="A1471" s="9" t="s">
        <v>4985</v>
      </c>
      <c r="B1471" s="5" t="s">
        <v>16952</v>
      </c>
    </row>
    <row r="1472" ht="15.75" spans="1:2">
      <c r="A1472" s="9" t="s">
        <v>4988</v>
      </c>
      <c r="B1472" s="5" t="s">
        <v>16952</v>
      </c>
    </row>
    <row r="1473" ht="15.75" spans="1:2">
      <c r="A1473" s="9" t="s">
        <v>4991</v>
      </c>
      <c r="B1473" s="5" t="s">
        <v>16952</v>
      </c>
    </row>
    <row r="1474" ht="15.75" spans="1:2">
      <c r="A1474" s="9" t="s">
        <v>4994</v>
      </c>
      <c r="B1474" s="5" t="s">
        <v>16952</v>
      </c>
    </row>
    <row r="1475" ht="15.75" spans="1:2">
      <c r="A1475" s="9" t="s">
        <v>4998</v>
      </c>
      <c r="B1475" s="5" t="s">
        <v>16952</v>
      </c>
    </row>
    <row r="1476" ht="15.75" spans="1:2">
      <c r="A1476" s="9" t="s">
        <v>5001</v>
      </c>
      <c r="B1476" s="5" t="s">
        <v>16952</v>
      </c>
    </row>
    <row r="1477" ht="15.75" spans="1:2">
      <c r="A1477" s="9" t="s">
        <v>5004</v>
      </c>
      <c r="B1477" s="5" t="s">
        <v>16952</v>
      </c>
    </row>
    <row r="1478" ht="15.75" spans="1:2">
      <c r="A1478" s="9" t="s">
        <v>5007</v>
      </c>
      <c r="B1478" s="5" t="s">
        <v>16952</v>
      </c>
    </row>
    <row r="1479" ht="15.75" spans="1:2">
      <c r="A1479" s="9" t="s">
        <v>5010</v>
      </c>
      <c r="B1479" s="5" t="s">
        <v>16952</v>
      </c>
    </row>
    <row r="1480" ht="15.75" spans="1:2">
      <c r="A1480" s="9" t="s">
        <v>5013</v>
      </c>
      <c r="B1480" s="5" t="s">
        <v>16952</v>
      </c>
    </row>
    <row r="1481" ht="15.75" spans="1:2">
      <c r="A1481" s="9" t="s">
        <v>5017</v>
      </c>
      <c r="B1481" s="5" t="s">
        <v>16952</v>
      </c>
    </row>
    <row r="1482" ht="15.75" spans="1:2">
      <c r="A1482" s="9" t="s">
        <v>5020</v>
      </c>
      <c r="B1482" s="5" t="s">
        <v>16952</v>
      </c>
    </row>
    <row r="1483" ht="15.75" spans="1:2">
      <c r="A1483" s="9" t="s">
        <v>5023</v>
      </c>
      <c r="B1483" s="5" t="s">
        <v>16952</v>
      </c>
    </row>
    <row r="1484" ht="15.75" spans="1:2">
      <c r="A1484" s="9" t="s">
        <v>5029</v>
      </c>
      <c r="B1484" s="5" t="s">
        <v>16952</v>
      </c>
    </row>
    <row r="1485" ht="15.75" spans="1:2">
      <c r="A1485" s="9" t="s">
        <v>5033</v>
      </c>
      <c r="B1485" s="5" t="s">
        <v>16952</v>
      </c>
    </row>
    <row r="1486" ht="15.75" spans="1:2">
      <c r="A1486" s="9" t="s">
        <v>5036</v>
      </c>
      <c r="B1486" s="5" t="s">
        <v>16952</v>
      </c>
    </row>
    <row r="1487" ht="15.75" spans="1:2">
      <c r="A1487" s="9" t="s">
        <v>5039</v>
      </c>
      <c r="B1487" s="5" t="s">
        <v>16952</v>
      </c>
    </row>
    <row r="1488" ht="15.75" spans="1:2">
      <c r="A1488" s="9" t="s">
        <v>5042</v>
      </c>
      <c r="B1488" s="5" t="s">
        <v>16952</v>
      </c>
    </row>
    <row r="1489" ht="15.75" spans="1:2">
      <c r="A1489" s="9" t="s">
        <v>5045</v>
      </c>
      <c r="B1489" s="5" t="s">
        <v>16952</v>
      </c>
    </row>
    <row r="1490" ht="15.75" spans="1:2">
      <c r="A1490" s="9" t="s">
        <v>5048</v>
      </c>
      <c r="B1490" s="8"/>
    </row>
    <row r="1491" ht="15.75" spans="1:2">
      <c r="A1491" s="9" t="s">
        <v>5049</v>
      </c>
      <c r="B1491" s="5" t="s">
        <v>16952</v>
      </c>
    </row>
    <row r="1492" ht="15.75" spans="1:2">
      <c r="A1492" s="9" t="s">
        <v>5053</v>
      </c>
      <c r="B1492" s="5" t="s">
        <v>16952</v>
      </c>
    </row>
    <row r="1493" ht="15.75" spans="1:2">
      <c r="A1493" s="9" t="s">
        <v>5056</v>
      </c>
      <c r="B1493" s="5" t="s">
        <v>16952</v>
      </c>
    </row>
    <row r="1494" ht="15.75" spans="1:2">
      <c r="A1494" s="9" t="s">
        <v>5060</v>
      </c>
      <c r="B1494" s="5" t="s">
        <v>16952</v>
      </c>
    </row>
    <row r="1495" ht="15.75" spans="1:2">
      <c r="A1495" s="9" t="s">
        <v>5064</v>
      </c>
      <c r="B1495" s="5" t="s">
        <v>16952</v>
      </c>
    </row>
    <row r="1496" ht="15.75" spans="1:2">
      <c r="A1496" s="9" t="s">
        <v>5069</v>
      </c>
      <c r="B1496" s="5" t="s">
        <v>16952</v>
      </c>
    </row>
    <row r="1497" ht="15.75" spans="1:2">
      <c r="A1497" s="9" t="s">
        <v>5073</v>
      </c>
      <c r="B1497" s="5" t="s">
        <v>16952</v>
      </c>
    </row>
    <row r="1498" ht="15.75" spans="1:2">
      <c r="A1498" s="9" t="s">
        <v>5077</v>
      </c>
      <c r="B1498" s="5" t="s">
        <v>16952</v>
      </c>
    </row>
    <row r="1499" ht="15.75" spans="1:2">
      <c r="A1499" s="9" t="s">
        <v>5082</v>
      </c>
      <c r="B1499" s="5" t="s">
        <v>16952</v>
      </c>
    </row>
    <row r="1500" ht="15.75" spans="1:2">
      <c r="A1500" s="9" t="s">
        <v>5085</v>
      </c>
      <c r="B1500" s="5" t="s">
        <v>16952</v>
      </c>
    </row>
    <row r="1501" ht="15.75" spans="1:2">
      <c r="A1501" s="9" t="s">
        <v>5088</v>
      </c>
      <c r="B1501" s="5"/>
    </row>
    <row r="1502" ht="15.75" spans="1:2">
      <c r="A1502" s="9" t="s">
        <v>5092</v>
      </c>
      <c r="B1502" s="5" t="s">
        <v>16952</v>
      </c>
    </row>
    <row r="1503" ht="15.75" spans="1:2">
      <c r="A1503" s="9" t="s">
        <v>5096</v>
      </c>
      <c r="B1503" s="5" t="s">
        <v>16952</v>
      </c>
    </row>
    <row r="1504" ht="15.75" spans="1:2">
      <c r="A1504" s="9" t="s">
        <v>5100</v>
      </c>
      <c r="B1504" s="5" t="s">
        <v>16952</v>
      </c>
    </row>
    <row r="1505" ht="15.75" spans="1:2">
      <c r="A1505" s="9" t="s">
        <v>5105</v>
      </c>
      <c r="B1505" s="5" t="s">
        <v>16952</v>
      </c>
    </row>
    <row r="1506" ht="15.75" spans="1:2">
      <c r="A1506" s="9" t="s">
        <v>5109</v>
      </c>
      <c r="B1506" s="5" t="s">
        <v>16952</v>
      </c>
    </row>
    <row r="1507" ht="15.75" spans="1:2">
      <c r="A1507" s="9" t="s">
        <v>5113</v>
      </c>
      <c r="B1507" s="5" t="s">
        <v>16952</v>
      </c>
    </row>
    <row r="1508" ht="15.75" spans="1:2">
      <c r="A1508" s="9" t="s">
        <v>5116</v>
      </c>
      <c r="B1508" s="5" t="s">
        <v>16952</v>
      </c>
    </row>
    <row r="1509" ht="15.75" spans="1:2">
      <c r="A1509" s="9" t="s">
        <v>5121</v>
      </c>
      <c r="B1509" s="5" t="s">
        <v>16952</v>
      </c>
    </row>
    <row r="1510" ht="15.75" spans="1:2">
      <c r="A1510" s="9" t="s">
        <v>5124</v>
      </c>
      <c r="B1510" s="5" t="s">
        <v>16952</v>
      </c>
    </row>
    <row r="1511" ht="15.75" spans="1:2">
      <c r="A1511" s="9" t="s">
        <v>5127</v>
      </c>
      <c r="B1511" s="5" t="s">
        <v>16952</v>
      </c>
    </row>
    <row r="1512" ht="15.75" spans="1:2">
      <c r="A1512" s="9" t="s">
        <v>5130</v>
      </c>
      <c r="B1512" s="5" t="s">
        <v>16952</v>
      </c>
    </row>
    <row r="1513" ht="15.75" spans="1:2">
      <c r="A1513" s="9" t="s">
        <v>5133</v>
      </c>
      <c r="B1513" s="5" t="s">
        <v>16952</v>
      </c>
    </row>
    <row r="1514" ht="15.75" spans="1:2">
      <c r="A1514" s="9" t="s">
        <v>5136</v>
      </c>
      <c r="B1514" s="5" t="s">
        <v>16952</v>
      </c>
    </row>
    <row r="1515" ht="15.75" spans="1:2">
      <c r="A1515" s="9" t="s">
        <v>5139</v>
      </c>
      <c r="B1515" s="5" t="s">
        <v>16952</v>
      </c>
    </row>
    <row r="1516" ht="15.75" spans="1:2">
      <c r="A1516" s="9" t="s">
        <v>5143</v>
      </c>
      <c r="B1516" s="5" t="s">
        <v>16952</v>
      </c>
    </row>
    <row r="1517" ht="15.75" spans="1:2">
      <c r="A1517" s="9" t="s">
        <v>5146</v>
      </c>
      <c r="B1517" s="5" t="s">
        <v>16952</v>
      </c>
    </row>
    <row r="1518" ht="15.75" spans="1:2">
      <c r="A1518" s="9" t="s">
        <v>5151</v>
      </c>
      <c r="B1518" s="5" t="s">
        <v>16952</v>
      </c>
    </row>
    <row r="1519" ht="15.75" spans="1:2">
      <c r="A1519" s="9" t="s">
        <v>5154</v>
      </c>
      <c r="B1519" s="5" t="s">
        <v>16952</v>
      </c>
    </row>
    <row r="1520" ht="15.75" spans="1:2">
      <c r="A1520" s="9" t="s">
        <v>5158</v>
      </c>
      <c r="B1520" s="5" t="s">
        <v>16952</v>
      </c>
    </row>
    <row r="1521" ht="15.75" spans="1:2">
      <c r="A1521" s="9" t="s">
        <v>5163</v>
      </c>
      <c r="B1521" s="5" t="s">
        <v>16952</v>
      </c>
    </row>
    <row r="1522" ht="15.75" spans="1:2">
      <c r="A1522" s="9" t="s">
        <v>5166</v>
      </c>
      <c r="B1522" s="5" t="s">
        <v>16952</v>
      </c>
    </row>
    <row r="1523" ht="15.75" spans="1:2">
      <c r="A1523" s="9" t="s">
        <v>5169</v>
      </c>
      <c r="B1523" s="5" t="s">
        <v>16952</v>
      </c>
    </row>
    <row r="1524" ht="15.75" spans="1:2">
      <c r="A1524" s="9" t="s">
        <v>5173</v>
      </c>
      <c r="B1524" s="5" t="s">
        <v>16952</v>
      </c>
    </row>
    <row r="1525" ht="15.75" spans="1:2">
      <c r="A1525" s="9" t="s">
        <v>5176</v>
      </c>
      <c r="B1525" s="5" t="s">
        <v>16952</v>
      </c>
    </row>
    <row r="1526" ht="15.75" spans="1:2">
      <c r="A1526" s="9" t="s">
        <v>5179</v>
      </c>
      <c r="B1526" s="5" t="s">
        <v>16952</v>
      </c>
    </row>
    <row r="1527" ht="15.75" spans="1:2">
      <c r="A1527" s="9" t="s">
        <v>5182</v>
      </c>
      <c r="B1527" s="5" t="s">
        <v>16952</v>
      </c>
    </row>
    <row r="1528" ht="15.75" spans="1:2">
      <c r="A1528" s="9" t="s">
        <v>5186</v>
      </c>
      <c r="B1528" s="5" t="s">
        <v>16952</v>
      </c>
    </row>
    <row r="1529" ht="15.75" spans="1:2">
      <c r="A1529" s="9" t="s">
        <v>5190</v>
      </c>
      <c r="B1529" s="5" t="s">
        <v>16952</v>
      </c>
    </row>
    <row r="1530" ht="15.75" spans="1:2">
      <c r="A1530" s="9" t="s">
        <v>5193</v>
      </c>
      <c r="B1530" s="8"/>
    </row>
    <row r="1531" ht="15.75" spans="1:2">
      <c r="A1531" s="9" t="s">
        <v>5194</v>
      </c>
      <c r="B1531" s="5" t="s">
        <v>16952</v>
      </c>
    </row>
    <row r="1532" ht="15.75" spans="1:2">
      <c r="A1532" s="9" t="s">
        <v>5198</v>
      </c>
      <c r="B1532" s="5" t="s">
        <v>16952</v>
      </c>
    </row>
    <row r="1533" ht="15.75" spans="1:2">
      <c r="A1533" s="9" t="s">
        <v>5201</v>
      </c>
      <c r="B1533" s="5" t="s">
        <v>16952</v>
      </c>
    </row>
    <row r="1534" ht="15.75" spans="1:2">
      <c r="A1534" s="9" t="s">
        <v>5204</v>
      </c>
      <c r="B1534" s="5" t="s">
        <v>16952</v>
      </c>
    </row>
    <row r="1535" ht="15.75" spans="1:2">
      <c r="A1535" s="9" t="s">
        <v>5207</v>
      </c>
      <c r="B1535" s="5" t="s">
        <v>16952</v>
      </c>
    </row>
    <row r="1536" ht="15.75" spans="1:2">
      <c r="A1536" s="9" t="s">
        <v>5210</v>
      </c>
      <c r="B1536" s="5" t="s">
        <v>16952</v>
      </c>
    </row>
    <row r="1537" ht="15.75" spans="1:2">
      <c r="A1537" s="9" t="s">
        <v>5213</v>
      </c>
      <c r="B1537" s="5" t="s">
        <v>16952</v>
      </c>
    </row>
    <row r="1538" ht="15.75" spans="1:2">
      <c r="A1538" s="9" t="s">
        <v>5216</v>
      </c>
      <c r="B1538" s="5" t="s">
        <v>16952</v>
      </c>
    </row>
    <row r="1539" ht="15.75" spans="1:2">
      <c r="A1539" s="9" t="s">
        <v>5220</v>
      </c>
      <c r="B1539" s="5" t="s">
        <v>16952</v>
      </c>
    </row>
    <row r="1540" ht="15.75" spans="1:2">
      <c r="A1540" s="9" t="s">
        <v>5223</v>
      </c>
      <c r="B1540" s="5" t="s">
        <v>16952</v>
      </c>
    </row>
    <row r="1541" ht="15.75" spans="1:2">
      <c r="A1541" s="9" t="s">
        <v>5226</v>
      </c>
      <c r="B1541" s="5" t="s">
        <v>16952</v>
      </c>
    </row>
    <row r="1542" ht="15.75" spans="1:2">
      <c r="A1542" s="9" t="s">
        <v>5229</v>
      </c>
      <c r="B1542" s="5" t="s">
        <v>16952</v>
      </c>
    </row>
    <row r="1543" ht="15.75" spans="1:2">
      <c r="A1543" s="9" t="s">
        <v>5232</v>
      </c>
      <c r="B1543" s="5" t="s">
        <v>16952</v>
      </c>
    </row>
    <row r="1544" ht="15.75" spans="1:2">
      <c r="A1544" s="9" t="s">
        <v>5235</v>
      </c>
      <c r="B1544" s="5" t="s">
        <v>16952</v>
      </c>
    </row>
    <row r="1545" ht="15.75" spans="1:2">
      <c r="A1545" s="9" t="s">
        <v>5238</v>
      </c>
      <c r="B1545" s="5" t="s">
        <v>16952</v>
      </c>
    </row>
    <row r="1546" ht="15.75" spans="1:2">
      <c r="A1546" s="9" t="s">
        <v>5241</v>
      </c>
      <c r="B1546" s="5" t="s">
        <v>16952</v>
      </c>
    </row>
    <row r="1547" ht="15.75" spans="1:2">
      <c r="A1547" s="9" t="s">
        <v>5245</v>
      </c>
      <c r="B1547" s="5" t="s">
        <v>16952</v>
      </c>
    </row>
    <row r="1548" ht="15.75" spans="1:2">
      <c r="A1548" s="9" t="s">
        <v>5248</v>
      </c>
      <c r="B1548" s="5" t="s">
        <v>16952</v>
      </c>
    </row>
    <row r="1549" ht="15.75" spans="1:2">
      <c r="A1549" s="9" t="s">
        <v>5252</v>
      </c>
      <c r="B1549" s="5" t="s">
        <v>16952</v>
      </c>
    </row>
    <row r="1550" ht="15.75" spans="1:2">
      <c r="A1550" s="9" t="s">
        <v>5255</v>
      </c>
      <c r="B1550" s="5" t="s">
        <v>16952</v>
      </c>
    </row>
    <row r="1551" ht="15.75" spans="1:2">
      <c r="A1551" s="9" t="s">
        <v>5258</v>
      </c>
      <c r="B1551" s="5" t="s">
        <v>16952</v>
      </c>
    </row>
    <row r="1552" ht="15.75" spans="1:2">
      <c r="A1552" s="9" t="s">
        <v>5261</v>
      </c>
      <c r="B1552" s="5" t="s">
        <v>16952</v>
      </c>
    </row>
    <row r="1553" ht="15.75" spans="1:2">
      <c r="A1553" s="9" t="s">
        <v>5264</v>
      </c>
      <c r="B1553" s="5" t="s">
        <v>16952</v>
      </c>
    </row>
    <row r="1554" ht="15.75" spans="1:2">
      <c r="A1554" s="9" t="s">
        <v>5267</v>
      </c>
      <c r="B1554" s="5" t="s">
        <v>16952</v>
      </c>
    </row>
    <row r="1555" ht="15.75" spans="1:2">
      <c r="A1555" s="9" t="s">
        <v>5270</v>
      </c>
      <c r="B1555" s="5" t="s">
        <v>16952</v>
      </c>
    </row>
    <row r="1556" ht="15.75" spans="1:2">
      <c r="A1556" s="9" t="s">
        <v>5274</v>
      </c>
      <c r="B1556" s="5" t="s">
        <v>16952</v>
      </c>
    </row>
    <row r="1557" ht="15.75" spans="1:2">
      <c r="A1557" s="9" t="s">
        <v>5277</v>
      </c>
      <c r="B1557" s="5" t="s">
        <v>16952</v>
      </c>
    </row>
    <row r="1558" ht="15.75" spans="1:2">
      <c r="A1558" s="9" t="s">
        <v>5280</v>
      </c>
      <c r="B1558" s="5" t="s">
        <v>16952</v>
      </c>
    </row>
    <row r="1559" ht="15.75" spans="1:2">
      <c r="A1559" s="9" t="s">
        <v>5283</v>
      </c>
      <c r="B1559" s="5" t="s">
        <v>16952</v>
      </c>
    </row>
    <row r="1560" ht="15.75" spans="1:2">
      <c r="A1560" s="9" t="s">
        <v>5287</v>
      </c>
      <c r="B1560" s="5" t="s">
        <v>16952</v>
      </c>
    </row>
    <row r="1561" ht="15.75" spans="1:2">
      <c r="A1561" s="9" t="s">
        <v>5291</v>
      </c>
      <c r="B1561" s="5" t="s">
        <v>16952</v>
      </c>
    </row>
    <row r="1562" ht="15.75" spans="1:2">
      <c r="A1562" s="9" t="s">
        <v>5294</v>
      </c>
      <c r="B1562" s="5" t="s">
        <v>16952</v>
      </c>
    </row>
    <row r="1563" ht="15.75" spans="1:2">
      <c r="A1563" s="9" t="s">
        <v>5298</v>
      </c>
      <c r="B1563" s="5" t="s">
        <v>16952</v>
      </c>
    </row>
    <row r="1564" ht="15.75" spans="1:2">
      <c r="A1564" s="9" t="s">
        <v>5302</v>
      </c>
      <c r="B1564" s="8"/>
    </row>
    <row r="1565" ht="15.75" spans="1:2">
      <c r="A1565" s="9" t="s">
        <v>5303</v>
      </c>
      <c r="B1565" s="5" t="s">
        <v>16952</v>
      </c>
    </row>
    <row r="1566" ht="15.75" spans="1:2">
      <c r="A1566" s="9" t="s">
        <v>5306</v>
      </c>
      <c r="B1566" s="5" t="s">
        <v>16952</v>
      </c>
    </row>
    <row r="1567" ht="31.5" spans="1:2">
      <c r="A1567" s="9" t="s">
        <v>5309</v>
      </c>
      <c r="B1567" s="11" t="s">
        <v>16965</v>
      </c>
    </row>
    <row r="1568" ht="15.75" spans="1:2">
      <c r="A1568" s="9" t="s">
        <v>5310</v>
      </c>
      <c r="B1568" s="5" t="s">
        <v>16952</v>
      </c>
    </row>
    <row r="1569" ht="15.75" spans="1:2">
      <c r="A1569" s="9" t="s">
        <v>5314</v>
      </c>
      <c r="B1569" s="10" t="s">
        <v>16952</v>
      </c>
    </row>
    <row r="1570" ht="15.75" spans="1:2">
      <c r="A1570" s="9" t="s">
        <v>5314</v>
      </c>
      <c r="B1570" s="10" t="s">
        <v>16952</v>
      </c>
    </row>
    <row r="1571" ht="15.75" spans="1:2">
      <c r="A1571" s="9" t="s">
        <v>5318</v>
      </c>
      <c r="B1571" s="10" t="s">
        <v>16952</v>
      </c>
    </row>
    <row r="1572" ht="15.75" spans="1:2">
      <c r="A1572" s="9" t="s">
        <v>5318</v>
      </c>
      <c r="B1572" s="10" t="s">
        <v>16952</v>
      </c>
    </row>
    <row r="1573" ht="15.75" spans="1:2">
      <c r="A1573" s="9" t="s">
        <v>5321</v>
      </c>
      <c r="B1573" s="5" t="s">
        <v>16952</v>
      </c>
    </row>
    <row r="1574" ht="15.75" spans="1:2">
      <c r="A1574" s="9" t="s">
        <v>5325</v>
      </c>
      <c r="B1574" s="5" t="s">
        <v>16952</v>
      </c>
    </row>
    <row r="1575" ht="15.75" spans="1:2">
      <c r="A1575" s="9" t="s">
        <v>5329</v>
      </c>
      <c r="B1575" s="5" t="s">
        <v>16952</v>
      </c>
    </row>
    <row r="1576" ht="15.75" spans="1:2">
      <c r="A1576" s="9" t="s">
        <v>5331</v>
      </c>
      <c r="B1576" s="5" t="s">
        <v>16952</v>
      </c>
    </row>
    <row r="1577" ht="15.75" spans="1:2">
      <c r="A1577" s="9" t="s">
        <v>5335</v>
      </c>
      <c r="B1577" s="5" t="s">
        <v>16952</v>
      </c>
    </row>
    <row r="1578" ht="15.75" spans="1:2">
      <c r="A1578" s="9" t="s">
        <v>5338</v>
      </c>
      <c r="B1578" s="5" t="s">
        <v>16952</v>
      </c>
    </row>
    <row r="1579" ht="15.75" spans="1:2">
      <c r="A1579" s="9" t="s">
        <v>5341</v>
      </c>
      <c r="B1579" s="5" t="s">
        <v>16952</v>
      </c>
    </row>
    <row r="1580" ht="15.75" spans="1:2">
      <c r="A1580" s="9" t="s">
        <v>5344</v>
      </c>
      <c r="B1580" s="10" t="s">
        <v>16952</v>
      </c>
    </row>
    <row r="1581" ht="15.75" spans="1:2">
      <c r="A1581" s="9" t="s">
        <v>5344</v>
      </c>
      <c r="B1581" s="10" t="s">
        <v>16952</v>
      </c>
    </row>
    <row r="1582" ht="15.75" spans="1:2">
      <c r="A1582" s="9" t="s">
        <v>5348</v>
      </c>
      <c r="B1582" s="5" t="s">
        <v>16952</v>
      </c>
    </row>
    <row r="1583" ht="15.75" spans="1:2">
      <c r="A1583" s="9" t="s">
        <v>5351</v>
      </c>
      <c r="B1583" s="5" t="s">
        <v>16952</v>
      </c>
    </row>
    <row r="1584" ht="15.75" spans="1:2">
      <c r="A1584" s="9" t="s">
        <v>5355</v>
      </c>
      <c r="B1584" s="5" t="s">
        <v>16952</v>
      </c>
    </row>
    <row r="1585" ht="31.5" spans="1:2">
      <c r="A1585" s="9" t="s">
        <v>5358</v>
      </c>
      <c r="B1585" s="8" t="s">
        <v>16966</v>
      </c>
    </row>
    <row r="1586" ht="15.75" spans="1:2">
      <c r="A1586" s="9" t="s">
        <v>5359</v>
      </c>
      <c r="B1586" s="5" t="s">
        <v>16952</v>
      </c>
    </row>
    <row r="1587" ht="15.75" spans="1:2">
      <c r="A1587" s="9" t="s">
        <v>5362</v>
      </c>
      <c r="B1587" s="5" t="s">
        <v>16952</v>
      </c>
    </row>
    <row r="1588" ht="15.75" spans="1:2">
      <c r="A1588" s="9" t="s">
        <v>5366</v>
      </c>
      <c r="B1588" s="5" t="s">
        <v>16952</v>
      </c>
    </row>
    <row r="1589" ht="15.75" spans="1:2">
      <c r="A1589" s="9" t="s">
        <v>5370</v>
      </c>
      <c r="B1589" s="5" t="s">
        <v>16952</v>
      </c>
    </row>
    <row r="1590" ht="15.75" spans="1:2">
      <c r="A1590" s="9" t="s">
        <v>5375</v>
      </c>
      <c r="B1590" s="5" t="s">
        <v>16952</v>
      </c>
    </row>
    <row r="1591" ht="15.75" spans="1:2">
      <c r="A1591" s="9" t="s">
        <v>5378</v>
      </c>
      <c r="B1591" s="5" t="s">
        <v>16952</v>
      </c>
    </row>
    <row r="1592" ht="15.75" spans="1:2">
      <c r="A1592" s="9" t="s">
        <v>5381</v>
      </c>
      <c r="B1592" s="5" t="s">
        <v>16952</v>
      </c>
    </row>
    <row r="1593" ht="15.75" spans="1:2">
      <c r="A1593" s="9" t="s">
        <v>5384</v>
      </c>
      <c r="B1593" s="5" t="s">
        <v>16952</v>
      </c>
    </row>
    <row r="1594" ht="15.75" spans="1:2">
      <c r="A1594" s="9" t="s">
        <v>5387</v>
      </c>
      <c r="B1594" s="5" t="s">
        <v>16952</v>
      </c>
    </row>
    <row r="1595" ht="15.75" spans="1:2">
      <c r="A1595" s="9" t="s">
        <v>5391</v>
      </c>
      <c r="B1595" s="5" t="s">
        <v>16952</v>
      </c>
    </row>
    <row r="1596" ht="15.75" spans="1:2">
      <c r="A1596" s="9" t="s">
        <v>5394</v>
      </c>
      <c r="B1596" s="5" t="s">
        <v>16952</v>
      </c>
    </row>
    <row r="1597" ht="15.75" spans="1:2">
      <c r="A1597" s="9" t="s">
        <v>5398</v>
      </c>
      <c r="B1597" s="5" t="s">
        <v>16952</v>
      </c>
    </row>
    <row r="1598" ht="15.75" spans="1:2">
      <c r="A1598" s="9" t="s">
        <v>5402</v>
      </c>
      <c r="B1598" s="5" t="s">
        <v>16952</v>
      </c>
    </row>
    <row r="1599" ht="15.75" spans="1:2">
      <c r="A1599" s="9" t="s">
        <v>5405</v>
      </c>
      <c r="B1599" s="5" t="s">
        <v>16952</v>
      </c>
    </row>
    <row r="1600" ht="15.75" spans="1:2">
      <c r="A1600" s="9" t="s">
        <v>5408</v>
      </c>
      <c r="B1600" s="5" t="s">
        <v>16952</v>
      </c>
    </row>
    <row r="1601" ht="15.75" spans="1:2">
      <c r="A1601" s="9" t="s">
        <v>5411</v>
      </c>
      <c r="B1601" s="5" t="s">
        <v>16952</v>
      </c>
    </row>
    <row r="1602" ht="15.75" spans="1:2">
      <c r="A1602" s="9" t="s">
        <v>5414</v>
      </c>
      <c r="B1602" s="5" t="s">
        <v>16952</v>
      </c>
    </row>
    <row r="1603" ht="15.75" spans="1:2">
      <c r="A1603" s="9" t="s">
        <v>5417</v>
      </c>
      <c r="B1603" s="5" t="s">
        <v>16952</v>
      </c>
    </row>
    <row r="1604" ht="15.75" spans="1:2">
      <c r="A1604" s="9" t="s">
        <v>5421</v>
      </c>
      <c r="B1604" s="5" t="s">
        <v>16952</v>
      </c>
    </row>
    <row r="1605" ht="15.75" spans="1:2">
      <c r="A1605" s="9" t="s">
        <v>5425</v>
      </c>
      <c r="B1605" s="5" t="s">
        <v>16952</v>
      </c>
    </row>
    <row r="1606" ht="15.75" spans="1:2">
      <c r="A1606" s="9" t="s">
        <v>5428</v>
      </c>
      <c r="B1606" s="5" t="s">
        <v>16952</v>
      </c>
    </row>
    <row r="1607" ht="15.75" spans="1:2">
      <c r="A1607" s="9" t="s">
        <v>5432</v>
      </c>
      <c r="B1607" s="5" t="s">
        <v>16952</v>
      </c>
    </row>
    <row r="1608" ht="15.75" spans="1:2">
      <c r="A1608" s="9" t="s">
        <v>5435</v>
      </c>
      <c r="B1608" s="5" t="s">
        <v>16952</v>
      </c>
    </row>
    <row r="1609" ht="15.75" spans="1:2">
      <c r="A1609" s="9" t="s">
        <v>5439</v>
      </c>
      <c r="B1609" s="5" t="s">
        <v>16952</v>
      </c>
    </row>
    <row r="1610" ht="15.75" spans="1:2">
      <c r="A1610" s="9" t="s">
        <v>5443</v>
      </c>
      <c r="B1610" s="5" t="s">
        <v>16952</v>
      </c>
    </row>
    <row r="1611" ht="15.75" spans="1:2">
      <c r="A1611" s="9" t="s">
        <v>5447</v>
      </c>
      <c r="B1611" s="5" t="s">
        <v>16952</v>
      </c>
    </row>
    <row r="1612" ht="15.75" spans="1:2">
      <c r="A1612" s="9" t="s">
        <v>5450</v>
      </c>
      <c r="B1612" s="5" t="s">
        <v>16952</v>
      </c>
    </row>
    <row r="1613" ht="15.75" spans="1:2">
      <c r="A1613" s="9" t="s">
        <v>5453</v>
      </c>
      <c r="B1613" s="5" t="s">
        <v>16952</v>
      </c>
    </row>
    <row r="1614" ht="15.75" spans="1:2">
      <c r="A1614" s="9" t="s">
        <v>5456</v>
      </c>
      <c r="B1614" s="5" t="s">
        <v>16952</v>
      </c>
    </row>
    <row r="1615" ht="15.75" spans="1:2">
      <c r="A1615" s="9" t="s">
        <v>5460</v>
      </c>
      <c r="B1615" s="5" t="s">
        <v>16952</v>
      </c>
    </row>
    <row r="1616" ht="15.75" spans="1:2">
      <c r="A1616" s="9" t="s">
        <v>5464</v>
      </c>
      <c r="B1616" s="5" t="s">
        <v>16952</v>
      </c>
    </row>
    <row r="1617" ht="15.75" spans="1:2">
      <c r="A1617" s="9" t="s">
        <v>5469</v>
      </c>
      <c r="B1617" s="5" t="s">
        <v>16952</v>
      </c>
    </row>
    <row r="1618" ht="15.75" spans="1:2">
      <c r="A1618" s="9" t="s">
        <v>5474</v>
      </c>
      <c r="B1618" s="5" t="s">
        <v>16952</v>
      </c>
    </row>
    <row r="1619" ht="15.75" spans="1:2">
      <c r="A1619" s="9" t="s">
        <v>5478</v>
      </c>
      <c r="B1619" s="5" t="s">
        <v>16952</v>
      </c>
    </row>
    <row r="1620" ht="15.75" spans="1:2">
      <c r="A1620" s="9" t="s">
        <v>5482</v>
      </c>
      <c r="B1620" s="5" t="s">
        <v>16952</v>
      </c>
    </row>
    <row r="1621" ht="15.75" spans="1:2">
      <c r="A1621" s="9" t="s">
        <v>5486</v>
      </c>
      <c r="B1621" s="5" t="s">
        <v>16952</v>
      </c>
    </row>
    <row r="1622" ht="15.75" spans="1:2">
      <c r="A1622" s="9" t="s">
        <v>5490</v>
      </c>
      <c r="B1622" s="5" t="s">
        <v>16952</v>
      </c>
    </row>
    <row r="1623" ht="15.75" spans="1:2">
      <c r="A1623" s="9" t="s">
        <v>5493</v>
      </c>
      <c r="B1623" s="5" t="s">
        <v>16952</v>
      </c>
    </row>
    <row r="1624" ht="15.75" spans="1:2">
      <c r="A1624" s="9" t="s">
        <v>5497</v>
      </c>
      <c r="B1624" s="5" t="s">
        <v>16952</v>
      </c>
    </row>
    <row r="1625" ht="15.75" spans="1:2">
      <c r="A1625" s="9" t="s">
        <v>5500</v>
      </c>
      <c r="B1625" s="8"/>
    </row>
    <row r="1626" ht="15.75" spans="1:2">
      <c r="A1626" s="9" t="s">
        <v>5501</v>
      </c>
      <c r="B1626" s="8"/>
    </row>
    <row r="1627" ht="15.75" spans="1:2">
      <c r="A1627" s="9" t="s">
        <v>5502</v>
      </c>
      <c r="B1627" s="5" t="s">
        <v>16952</v>
      </c>
    </row>
    <row r="1628" ht="15.75" spans="1:2">
      <c r="A1628" s="9" t="s">
        <v>5506</v>
      </c>
      <c r="B1628" s="5" t="s">
        <v>16952</v>
      </c>
    </row>
    <row r="1629" ht="15.75" spans="1:2">
      <c r="A1629" s="9" t="s">
        <v>5509</v>
      </c>
      <c r="B1629" s="5" t="s">
        <v>16952</v>
      </c>
    </row>
    <row r="1630" ht="15.75" spans="1:2">
      <c r="A1630" s="9" t="s">
        <v>5512</v>
      </c>
      <c r="B1630" s="5" t="s">
        <v>16952</v>
      </c>
    </row>
    <row r="1631" ht="15.75" spans="1:2">
      <c r="A1631" s="9" t="s">
        <v>5516</v>
      </c>
      <c r="B1631" s="5" t="s">
        <v>16952</v>
      </c>
    </row>
    <row r="1632" ht="15.75" spans="1:2">
      <c r="A1632" s="9" t="s">
        <v>5519</v>
      </c>
      <c r="B1632" s="5" t="s">
        <v>16952</v>
      </c>
    </row>
    <row r="1633" ht="15.75" spans="1:2">
      <c r="A1633" s="9" t="s">
        <v>5522</v>
      </c>
      <c r="B1633" s="5" t="s">
        <v>16952</v>
      </c>
    </row>
    <row r="1634" ht="15.75" spans="1:2">
      <c r="A1634" s="9" t="s">
        <v>5526</v>
      </c>
      <c r="B1634" s="5" t="s">
        <v>16952</v>
      </c>
    </row>
    <row r="1635" ht="15.75" spans="1:2">
      <c r="A1635" s="9" t="s">
        <v>5529</v>
      </c>
      <c r="B1635" s="5" t="s">
        <v>16952</v>
      </c>
    </row>
    <row r="1636" ht="15.75" spans="1:2">
      <c r="A1636" s="9" t="s">
        <v>5533</v>
      </c>
      <c r="B1636" s="5" t="s">
        <v>16952</v>
      </c>
    </row>
    <row r="1637" ht="15.75" spans="1:2">
      <c r="A1637" s="9" t="s">
        <v>5537</v>
      </c>
      <c r="B1637" s="5" t="s">
        <v>16952</v>
      </c>
    </row>
    <row r="1638" ht="15.75" spans="1:2">
      <c r="A1638" s="9" t="s">
        <v>5542</v>
      </c>
      <c r="B1638" s="5" t="s">
        <v>16952</v>
      </c>
    </row>
    <row r="1639" ht="15.75" spans="1:2">
      <c r="A1639" s="9" t="s">
        <v>5545</v>
      </c>
      <c r="B1639" s="5" t="s">
        <v>16952</v>
      </c>
    </row>
    <row r="1640" ht="15.75" spans="1:2">
      <c r="A1640" s="9" t="s">
        <v>5548</v>
      </c>
      <c r="B1640" s="5" t="s">
        <v>16952</v>
      </c>
    </row>
    <row r="1641" ht="15.75" spans="1:2">
      <c r="A1641" s="9" t="s">
        <v>5551</v>
      </c>
      <c r="B1641" s="5" t="s">
        <v>16952</v>
      </c>
    </row>
    <row r="1642" ht="15.75" spans="1:2">
      <c r="A1642" s="9" t="s">
        <v>5554</v>
      </c>
      <c r="B1642" s="5" t="s">
        <v>16952</v>
      </c>
    </row>
    <row r="1643" ht="15.75" spans="1:2">
      <c r="A1643" s="9" t="s">
        <v>5558</v>
      </c>
      <c r="B1643" s="5" t="s">
        <v>16952</v>
      </c>
    </row>
    <row r="1644" ht="15.75" spans="1:2">
      <c r="A1644" s="9" t="s">
        <v>5561</v>
      </c>
      <c r="B1644" s="5" t="s">
        <v>16952</v>
      </c>
    </row>
    <row r="1645" ht="15.75" spans="1:2">
      <c r="A1645" s="9" t="s">
        <v>5564</v>
      </c>
      <c r="B1645" s="5" t="s">
        <v>16952</v>
      </c>
    </row>
    <row r="1646" ht="15.75" spans="1:2">
      <c r="A1646" s="9" t="s">
        <v>5567</v>
      </c>
      <c r="B1646" s="5" t="s">
        <v>16952</v>
      </c>
    </row>
    <row r="1647" ht="15.75" spans="1:2">
      <c r="A1647" s="9" t="s">
        <v>5570</v>
      </c>
      <c r="B1647" s="5" t="s">
        <v>16952</v>
      </c>
    </row>
    <row r="1648" ht="15.75" spans="1:2">
      <c r="A1648" s="9" t="s">
        <v>5573</v>
      </c>
      <c r="B1648" s="5" t="s">
        <v>16952</v>
      </c>
    </row>
    <row r="1649" ht="15.75" spans="1:2">
      <c r="A1649" s="9" t="s">
        <v>5576</v>
      </c>
      <c r="B1649" s="8"/>
    </row>
    <row r="1650" ht="15.75" spans="1:2">
      <c r="A1650" s="9" t="s">
        <v>5577</v>
      </c>
      <c r="B1650" s="5" t="s">
        <v>16952</v>
      </c>
    </row>
    <row r="1651" ht="15.75" spans="1:2">
      <c r="A1651" s="9" t="s">
        <v>5580</v>
      </c>
      <c r="B1651" s="5" t="s">
        <v>16952</v>
      </c>
    </row>
    <row r="1652" ht="15.75" spans="1:2">
      <c r="A1652" s="9" t="s">
        <v>5583</v>
      </c>
      <c r="B1652" s="5" t="s">
        <v>16952</v>
      </c>
    </row>
    <row r="1653" ht="15.75" spans="1:2">
      <c r="A1653" s="9" t="s">
        <v>5586</v>
      </c>
      <c r="B1653" s="5" t="s">
        <v>16952</v>
      </c>
    </row>
    <row r="1654" ht="15.75" spans="1:2">
      <c r="A1654" s="9" t="s">
        <v>5590</v>
      </c>
      <c r="B1654" s="5" t="s">
        <v>16952</v>
      </c>
    </row>
    <row r="1655" ht="15.75" spans="1:2">
      <c r="A1655" s="9" t="s">
        <v>5593</v>
      </c>
      <c r="B1655" s="5" t="s">
        <v>16952</v>
      </c>
    </row>
    <row r="1656" ht="15.75" spans="1:2">
      <c r="A1656" s="9" t="s">
        <v>5596</v>
      </c>
      <c r="B1656" s="5" t="s">
        <v>16952</v>
      </c>
    </row>
    <row r="1657" ht="15.75" spans="1:2">
      <c r="A1657" s="9" t="s">
        <v>5599</v>
      </c>
      <c r="B1657" s="5" t="s">
        <v>16952</v>
      </c>
    </row>
    <row r="1658" ht="15.75" spans="1:2">
      <c r="A1658" s="9" t="s">
        <v>5602</v>
      </c>
      <c r="B1658" s="5" t="s">
        <v>16952</v>
      </c>
    </row>
    <row r="1659" ht="15.75" spans="1:2">
      <c r="A1659" s="9" t="s">
        <v>5606</v>
      </c>
      <c r="B1659" s="5" t="s">
        <v>16952</v>
      </c>
    </row>
    <row r="1660" ht="31.5" spans="1:2">
      <c r="A1660" s="9" t="s">
        <v>5610</v>
      </c>
      <c r="B1660" s="11" t="s">
        <v>16967</v>
      </c>
    </row>
    <row r="1661" ht="15.75" spans="1:2">
      <c r="A1661" s="9" t="s">
        <v>5611</v>
      </c>
      <c r="B1661" s="5" t="s">
        <v>16952</v>
      </c>
    </row>
    <row r="1662" ht="15.75" spans="1:2">
      <c r="A1662" s="9" t="s">
        <v>5615</v>
      </c>
      <c r="B1662" s="5" t="s">
        <v>16952</v>
      </c>
    </row>
    <row r="1663" ht="15.75" spans="1:2">
      <c r="A1663" s="9" t="s">
        <v>5618</v>
      </c>
      <c r="B1663" s="5" t="s">
        <v>16952</v>
      </c>
    </row>
    <row r="1664" ht="15.75" spans="1:2">
      <c r="A1664" s="9" t="s">
        <v>5622</v>
      </c>
      <c r="B1664" s="5" t="s">
        <v>16952</v>
      </c>
    </row>
    <row r="1665" ht="15.75" spans="1:2">
      <c r="A1665" s="9" t="s">
        <v>5625</v>
      </c>
      <c r="B1665" s="5" t="s">
        <v>16952</v>
      </c>
    </row>
    <row r="1666" ht="15.75" spans="1:2">
      <c r="A1666" s="9" t="s">
        <v>5628</v>
      </c>
      <c r="B1666" s="5" t="s">
        <v>16952</v>
      </c>
    </row>
    <row r="1667" ht="15.75" spans="1:2">
      <c r="A1667" s="9" t="s">
        <v>5633</v>
      </c>
      <c r="B1667" s="10" t="s">
        <v>16952</v>
      </c>
    </row>
    <row r="1668" ht="15.75" spans="1:2">
      <c r="A1668" s="9" t="s">
        <v>5633</v>
      </c>
      <c r="B1668" s="10" t="s">
        <v>16952</v>
      </c>
    </row>
    <row r="1669" ht="15.75" spans="1:2">
      <c r="A1669" s="9" t="s">
        <v>5637</v>
      </c>
      <c r="B1669" s="5" t="s">
        <v>16952</v>
      </c>
    </row>
    <row r="1670" ht="15.75" spans="1:2">
      <c r="A1670" s="9" t="s">
        <v>5640</v>
      </c>
      <c r="B1670" s="5" t="s">
        <v>16952</v>
      </c>
    </row>
    <row r="1671" ht="15.75" spans="1:2">
      <c r="A1671" s="9" t="s">
        <v>5643</v>
      </c>
      <c r="B1671" s="5" t="s">
        <v>16952</v>
      </c>
    </row>
    <row r="1672" ht="15.75" spans="1:2">
      <c r="A1672" s="9" t="s">
        <v>5646</v>
      </c>
      <c r="B1672" s="5" t="s">
        <v>16952</v>
      </c>
    </row>
    <row r="1673" ht="15.75" spans="1:2">
      <c r="A1673" s="9" t="s">
        <v>5649</v>
      </c>
      <c r="B1673" s="5" t="s">
        <v>16952</v>
      </c>
    </row>
    <row r="1674" ht="15.75" spans="1:2">
      <c r="A1674" s="9" t="s">
        <v>5652</v>
      </c>
      <c r="B1674" s="5" t="s">
        <v>16952</v>
      </c>
    </row>
    <row r="1675" ht="15.75" spans="1:2">
      <c r="A1675" s="9" t="s">
        <v>5656</v>
      </c>
      <c r="B1675" s="5" t="s">
        <v>16952</v>
      </c>
    </row>
    <row r="1676" ht="15.75" spans="1:2">
      <c r="A1676" s="9" t="s">
        <v>5659</v>
      </c>
      <c r="B1676" s="5" t="s">
        <v>16952</v>
      </c>
    </row>
    <row r="1677" ht="15.75" spans="1:2">
      <c r="A1677" s="9" t="s">
        <v>5662</v>
      </c>
      <c r="B1677" s="5" t="s">
        <v>16952</v>
      </c>
    </row>
    <row r="1678" ht="15.75" spans="1:2">
      <c r="A1678" s="9" t="s">
        <v>5666</v>
      </c>
      <c r="B1678" s="5" t="s">
        <v>16952</v>
      </c>
    </row>
    <row r="1679" ht="15.75" spans="1:2">
      <c r="A1679" s="9" t="s">
        <v>5670</v>
      </c>
      <c r="B1679" s="5" t="s">
        <v>16952</v>
      </c>
    </row>
    <row r="1680" ht="15.75" spans="1:2">
      <c r="A1680" s="9" t="s">
        <v>5673</v>
      </c>
      <c r="B1680" s="5" t="s">
        <v>16952</v>
      </c>
    </row>
    <row r="1681" ht="15.75" spans="1:2">
      <c r="A1681" s="9" t="s">
        <v>5677</v>
      </c>
      <c r="B1681" s="5" t="s">
        <v>16952</v>
      </c>
    </row>
    <row r="1682" ht="15.75" spans="1:2">
      <c r="A1682" s="9" t="s">
        <v>5680</v>
      </c>
      <c r="B1682" s="5" t="s">
        <v>16952</v>
      </c>
    </row>
    <row r="1683" ht="15.75" spans="1:2">
      <c r="A1683" s="9" t="s">
        <v>5684</v>
      </c>
      <c r="B1683" s="5" t="s">
        <v>16952</v>
      </c>
    </row>
    <row r="1684" ht="15.75" spans="1:2">
      <c r="A1684" s="9" t="s">
        <v>5688</v>
      </c>
      <c r="B1684" s="5" t="s">
        <v>16952</v>
      </c>
    </row>
    <row r="1685" ht="15.75" spans="1:2">
      <c r="A1685" s="9" t="s">
        <v>5691</v>
      </c>
      <c r="B1685" s="5" t="s">
        <v>16952</v>
      </c>
    </row>
    <row r="1686" ht="15.75" spans="1:2">
      <c r="A1686" s="9" t="s">
        <v>5695</v>
      </c>
      <c r="B1686" s="5" t="s">
        <v>16952</v>
      </c>
    </row>
    <row r="1687" ht="15.75" spans="1:2">
      <c r="A1687" s="9" t="s">
        <v>5698</v>
      </c>
      <c r="B1687" s="5" t="s">
        <v>16952</v>
      </c>
    </row>
    <row r="1688" ht="15.75" spans="1:2">
      <c r="A1688" s="9" t="s">
        <v>5702</v>
      </c>
      <c r="B1688" s="5" t="s">
        <v>16952</v>
      </c>
    </row>
    <row r="1689" ht="15.75" spans="1:2">
      <c r="A1689" s="9" t="s">
        <v>5706</v>
      </c>
      <c r="B1689" s="5" t="s">
        <v>16952</v>
      </c>
    </row>
    <row r="1690" ht="15.75" spans="1:2">
      <c r="A1690" s="9" t="s">
        <v>5709</v>
      </c>
      <c r="B1690" s="5" t="s">
        <v>16952</v>
      </c>
    </row>
    <row r="1691" ht="15.75" spans="1:2">
      <c r="A1691" s="9" t="s">
        <v>5712</v>
      </c>
      <c r="B1691" s="5" t="s">
        <v>16952</v>
      </c>
    </row>
    <row r="1692" ht="15.75" spans="1:2">
      <c r="A1692" s="9" t="s">
        <v>5717</v>
      </c>
      <c r="B1692" s="5" t="s">
        <v>16952</v>
      </c>
    </row>
    <row r="1693" ht="15.75" spans="1:2">
      <c r="A1693" s="9" t="s">
        <v>5722</v>
      </c>
      <c r="B1693" s="5" t="s">
        <v>16952</v>
      </c>
    </row>
    <row r="1694" ht="15.75" spans="1:2">
      <c r="A1694" s="9" t="s">
        <v>5726</v>
      </c>
      <c r="B1694" s="5" t="s">
        <v>16952</v>
      </c>
    </row>
    <row r="1695" ht="15.75" spans="1:2">
      <c r="A1695" s="9" t="s">
        <v>5729</v>
      </c>
      <c r="B1695" s="5" t="s">
        <v>16952</v>
      </c>
    </row>
    <row r="1696" ht="15.75" spans="1:2">
      <c r="A1696" s="9" t="s">
        <v>5733</v>
      </c>
      <c r="B1696" s="12"/>
    </row>
    <row r="1697" ht="15.75" spans="1:2">
      <c r="A1697" s="9" t="s">
        <v>5733</v>
      </c>
      <c r="B1697" s="12"/>
    </row>
    <row r="1698" ht="15.75" spans="1:2">
      <c r="A1698" s="9" t="s">
        <v>5734</v>
      </c>
      <c r="B1698" s="5" t="s">
        <v>16952</v>
      </c>
    </row>
    <row r="1699" ht="15.75" spans="1:2">
      <c r="A1699" s="9" t="s">
        <v>5737</v>
      </c>
      <c r="B1699" s="5" t="s">
        <v>16952</v>
      </c>
    </row>
    <row r="1700" ht="15.75" spans="1:2">
      <c r="A1700" s="9" t="s">
        <v>5741</v>
      </c>
      <c r="B1700" s="5" t="s">
        <v>16952</v>
      </c>
    </row>
    <row r="1701" ht="15.75" spans="1:2">
      <c r="A1701" s="9" t="s">
        <v>5744</v>
      </c>
      <c r="B1701" s="5" t="s">
        <v>16952</v>
      </c>
    </row>
    <row r="1702" ht="15.75" spans="1:2">
      <c r="A1702" s="9" t="s">
        <v>5747</v>
      </c>
      <c r="B1702" s="5" t="s">
        <v>16952</v>
      </c>
    </row>
    <row r="1703" ht="15.75" spans="1:2">
      <c r="A1703" s="9" t="s">
        <v>5751</v>
      </c>
      <c r="B1703" s="5" t="s">
        <v>16952</v>
      </c>
    </row>
    <row r="1704" ht="15.75" spans="1:2">
      <c r="A1704" s="9" t="s">
        <v>5754</v>
      </c>
      <c r="B1704" s="5" t="s">
        <v>16952</v>
      </c>
    </row>
    <row r="1705" ht="15.75" spans="1:2">
      <c r="A1705" s="9" t="s">
        <v>5757</v>
      </c>
      <c r="B1705" s="5" t="s">
        <v>16952</v>
      </c>
    </row>
    <row r="1706" ht="15.75" spans="1:2">
      <c r="A1706" s="9" t="s">
        <v>5761</v>
      </c>
      <c r="B1706" s="5" t="s">
        <v>16952</v>
      </c>
    </row>
    <row r="1707" ht="15.75" spans="1:2">
      <c r="A1707" s="9" t="s">
        <v>5765</v>
      </c>
      <c r="B1707" s="5" t="s">
        <v>16952</v>
      </c>
    </row>
    <row r="1708" ht="15.75" spans="1:2">
      <c r="A1708" s="9" t="s">
        <v>5769</v>
      </c>
      <c r="B1708" s="5" t="s">
        <v>16952</v>
      </c>
    </row>
    <row r="1709" ht="15.75" spans="1:2">
      <c r="A1709" s="9" t="s">
        <v>5772</v>
      </c>
      <c r="B1709" s="5" t="s">
        <v>16952</v>
      </c>
    </row>
    <row r="1710" ht="15.75" spans="1:2">
      <c r="A1710" s="9" t="s">
        <v>5775</v>
      </c>
      <c r="B1710" s="5" t="s">
        <v>16952</v>
      </c>
    </row>
    <row r="1711" ht="15.75" spans="1:2">
      <c r="A1711" s="9" t="s">
        <v>5778</v>
      </c>
      <c r="B1711" s="5" t="s">
        <v>16952</v>
      </c>
    </row>
    <row r="1712" ht="15.75" spans="1:2">
      <c r="A1712" s="9" t="s">
        <v>5781</v>
      </c>
      <c r="B1712" s="5" t="s">
        <v>16952</v>
      </c>
    </row>
    <row r="1713" ht="15.75" spans="1:2">
      <c r="A1713" s="9" t="s">
        <v>5784</v>
      </c>
      <c r="B1713" s="5" t="s">
        <v>16952</v>
      </c>
    </row>
    <row r="1714" ht="15.75" spans="1:2">
      <c r="A1714" s="9" t="s">
        <v>5787</v>
      </c>
      <c r="B1714" s="5" t="s">
        <v>16952</v>
      </c>
    </row>
    <row r="1715" ht="15.75" spans="1:2">
      <c r="A1715" s="9" t="s">
        <v>5790</v>
      </c>
      <c r="B1715" s="5" t="s">
        <v>16952</v>
      </c>
    </row>
    <row r="1716" ht="15.75" spans="1:2">
      <c r="A1716" s="9" t="s">
        <v>5793</v>
      </c>
      <c r="B1716" s="5" t="s">
        <v>16952</v>
      </c>
    </row>
    <row r="1717" ht="15.75" spans="1:2">
      <c r="A1717" s="9" t="s">
        <v>5796</v>
      </c>
      <c r="B1717" s="5" t="s">
        <v>16952</v>
      </c>
    </row>
    <row r="1718" ht="15.75" spans="1:2">
      <c r="A1718" s="9" t="s">
        <v>5799</v>
      </c>
      <c r="B1718" s="5" t="s">
        <v>16952</v>
      </c>
    </row>
    <row r="1719" ht="15.75" spans="1:2">
      <c r="A1719" s="9" t="s">
        <v>5802</v>
      </c>
      <c r="B1719" s="5" t="s">
        <v>16952</v>
      </c>
    </row>
    <row r="1720" ht="15.75" spans="1:2">
      <c r="A1720" s="9" t="s">
        <v>5806</v>
      </c>
      <c r="B1720" s="5" t="s">
        <v>16952</v>
      </c>
    </row>
    <row r="1721" ht="15.75" spans="1:2">
      <c r="A1721" s="9" t="s">
        <v>5809</v>
      </c>
      <c r="B1721" s="5" t="s">
        <v>16952</v>
      </c>
    </row>
    <row r="1722" ht="15.75" spans="1:2">
      <c r="A1722" s="9" t="s">
        <v>5813</v>
      </c>
      <c r="B1722" s="5" t="s">
        <v>16952</v>
      </c>
    </row>
    <row r="1723" ht="15.75" spans="1:2">
      <c r="A1723" s="9" t="s">
        <v>5817</v>
      </c>
      <c r="B1723" s="5" t="s">
        <v>16952</v>
      </c>
    </row>
    <row r="1724" ht="15.75" spans="1:2">
      <c r="A1724" s="9" t="s">
        <v>5820</v>
      </c>
      <c r="B1724" s="5" t="s">
        <v>16952</v>
      </c>
    </row>
    <row r="1725" ht="15.75" spans="1:2">
      <c r="A1725" s="9" t="s">
        <v>5825</v>
      </c>
      <c r="B1725" s="5" t="s">
        <v>16952</v>
      </c>
    </row>
    <row r="1726" ht="15.75" spans="1:2">
      <c r="A1726" s="9" t="s">
        <v>5828</v>
      </c>
      <c r="B1726" s="5" t="s">
        <v>16952</v>
      </c>
    </row>
    <row r="1727" ht="15.75" spans="1:2">
      <c r="A1727" s="9" t="s">
        <v>5831</v>
      </c>
      <c r="B1727" s="5" t="s">
        <v>16952</v>
      </c>
    </row>
    <row r="1728" ht="15.75" spans="1:2">
      <c r="A1728" s="9" t="s">
        <v>5834</v>
      </c>
      <c r="B1728" s="5" t="s">
        <v>16952</v>
      </c>
    </row>
    <row r="1729" ht="15.75" spans="1:2">
      <c r="A1729" s="9" t="s">
        <v>5838</v>
      </c>
      <c r="B1729" s="8"/>
    </row>
    <row r="1730" ht="15.75" spans="1:2">
      <c r="A1730" s="9" t="s">
        <v>5839</v>
      </c>
      <c r="B1730" s="5" t="s">
        <v>16952</v>
      </c>
    </row>
    <row r="1731" ht="15.75" spans="1:2">
      <c r="A1731" s="9" t="s">
        <v>5842</v>
      </c>
      <c r="B1731" s="5" t="s">
        <v>16952</v>
      </c>
    </row>
    <row r="1732" ht="15.75" spans="1:2">
      <c r="A1732" s="9" t="s">
        <v>5845</v>
      </c>
      <c r="B1732" s="5" t="s">
        <v>16952</v>
      </c>
    </row>
    <row r="1733" ht="15.75" spans="1:2">
      <c r="A1733" s="9" t="s">
        <v>5848</v>
      </c>
      <c r="B1733" s="10" t="s">
        <v>16952</v>
      </c>
    </row>
    <row r="1734" ht="15.75" spans="1:2">
      <c r="A1734" s="9" t="s">
        <v>5848</v>
      </c>
      <c r="B1734" s="10" t="s">
        <v>16952</v>
      </c>
    </row>
    <row r="1735" ht="15.75" spans="1:2">
      <c r="A1735" s="9" t="s">
        <v>5852</v>
      </c>
      <c r="B1735" s="5" t="s">
        <v>16952</v>
      </c>
    </row>
    <row r="1736" ht="15.75" spans="1:2">
      <c r="A1736" s="9" t="s">
        <v>5856</v>
      </c>
      <c r="B1736" s="5" t="s">
        <v>16952</v>
      </c>
    </row>
    <row r="1737" ht="15.75" spans="1:2">
      <c r="A1737" s="9" t="s">
        <v>5860</v>
      </c>
      <c r="B1737" s="5" t="s">
        <v>16952</v>
      </c>
    </row>
    <row r="1738" ht="15.75" spans="1:2">
      <c r="A1738" s="9" t="s">
        <v>5865</v>
      </c>
      <c r="B1738" s="5" t="s">
        <v>16952</v>
      </c>
    </row>
    <row r="1739" ht="15.75" spans="1:2">
      <c r="A1739" s="9" t="s">
        <v>5870</v>
      </c>
      <c r="B1739" s="5" t="s">
        <v>16952</v>
      </c>
    </row>
    <row r="1740" ht="15.75" spans="1:2">
      <c r="A1740" s="9" t="s">
        <v>5875</v>
      </c>
      <c r="B1740" s="5" t="s">
        <v>16952</v>
      </c>
    </row>
    <row r="1741" ht="31.5" spans="1:2">
      <c r="A1741" s="9" t="s">
        <v>5878</v>
      </c>
      <c r="B1741" s="11" t="s">
        <v>16968</v>
      </c>
    </row>
    <row r="1742" ht="15.75" spans="1:2">
      <c r="A1742" s="9" t="s">
        <v>5879</v>
      </c>
      <c r="B1742" s="5" t="s">
        <v>16952</v>
      </c>
    </row>
    <row r="1743" ht="15.75" spans="1:2">
      <c r="A1743" s="9" t="s">
        <v>5883</v>
      </c>
      <c r="B1743" s="5" t="s">
        <v>16952</v>
      </c>
    </row>
    <row r="1744" ht="15.75" spans="1:2">
      <c r="A1744" s="9" t="s">
        <v>5888</v>
      </c>
      <c r="B1744" s="8"/>
    </row>
    <row r="1745" ht="15.75" spans="1:2">
      <c r="A1745" s="9" t="s">
        <v>5889</v>
      </c>
      <c r="B1745" s="8" t="s">
        <v>16969</v>
      </c>
    </row>
    <row r="1746" ht="15.75" spans="1:2">
      <c r="A1746" s="9" t="s">
        <v>5890</v>
      </c>
      <c r="B1746" s="5" t="s">
        <v>16952</v>
      </c>
    </row>
    <row r="1747" ht="15.75" spans="1:2">
      <c r="A1747" s="9" t="s">
        <v>5895</v>
      </c>
      <c r="B1747" s="5" t="s">
        <v>16952</v>
      </c>
    </row>
    <row r="1748" ht="15.75" spans="1:2">
      <c r="A1748" s="9" t="s">
        <v>5900</v>
      </c>
      <c r="B1748" s="5" t="s">
        <v>16952</v>
      </c>
    </row>
    <row r="1749" ht="15.75" spans="1:2">
      <c r="A1749" s="9" t="s">
        <v>5903</v>
      </c>
      <c r="B1749" s="5" t="s">
        <v>16952</v>
      </c>
    </row>
    <row r="1750" ht="15.75" spans="1:2">
      <c r="A1750" s="9" t="s">
        <v>5906</v>
      </c>
      <c r="B1750" s="5" t="s">
        <v>16952</v>
      </c>
    </row>
    <row r="1751" ht="15.75" spans="1:2">
      <c r="A1751" s="9" t="s">
        <v>5910</v>
      </c>
      <c r="B1751" s="5" t="s">
        <v>16952</v>
      </c>
    </row>
    <row r="1752" ht="15.75" spans="1:2">
      <c r="A1752" s="9" t="s">
        <v>5913</v>
      </c>
      <c r="B1752" s="5" t="s">
        <v>16952</v>
      </c>
    </row>
    <row r="1753" ht="15.75" spans="1:2">
      <c r="A1753" s="9" t="s">
        <v>5917</v>
      </c>
      <c r="B1753" s="5" t="s">
        <v>16952</v>
      </c>
    </row>
    <row r="1754" ht="15.75" spans="1:2">
      <c r="A1754" s="9" t="s">
        <v>5921</v>
      </c>
      <c r="B1754" s="5" t="s">
        <v>16952</v>
      </c>
    </row>
    <row r="1755" ht="15.75" spans="1:2">
      <c r="A1755" s="9" t="s">
        <v>5926</v>
      </c>
      <c r="B1755" s="5" t="s">
        <v>16952</v>
      </c>
    </row>
    <row r="1756" ht="15.75" spans="1:2">
      <c r="A1756" s="9" t="s">
        <v>5930</v>
      </c>
      <c r="B1756" s="5" t="s">
        <v>16952</v>
      </c>
    </row>
    <row r="1757" ht="15.75" spans="1:2">
      <c r="A1757" s="9" t="s">
        <v>5936</v>
      </c>
      <c r="B1757" s="17"/>
    </row>
    <row r="1758" ht="15.75" spans="1:2">
      <c r="A1758" s="9" t="s">
        <v>5939</v>
      </c>
      <c r="B1758" s="8" t="s">
        <v>16970</v>
      </c>
    </row>
    <row r="1759" ht="15.75" spans="1:2">
      <c r="A1759" s="9" t="s">
        <v>5940</v>
      </c>
      <c r="B1759" s="5" t="s">
        <v>16952</v>
      </c>
    </row>
    <row r="1760" ht="15.75" spans="1:2">
      <c r="A1760" s="9" t="s">
        <v>5946</v>
      </c>
      <c r="B1760" s="5" t="s">
        <v>16952</v>
      </c>
    </row>
    <row r="1761" ht="15.75" spans="1:2">
      <c r="A1761" s="9" t="s">
        <v>5949</v>
      </c>
      <c r="B1761" s="5" t="s">
        <v>16952</v>
      </c>
    </row>
    <row r="1762" ht="15.75" spans="1:2">
      <c r="A1762" s="9" t="s">
        <v>5953</v>
      </c>
      <c r="B1762" s="5" t="s">
        <v>16952</v>
      </c>
    </row>
    <row r="1763" ht="15.75" spans="1:2">
      <c r="A1763" s="9" t="s">
        <v>5957</v>
      </c>
      <c r="B1763" s="5" t="s">
        <v>16952</v>
      </c>
    </row>
    <row r="1764" ht="15.75" spans="1:2">
      <c r="A1764" s="9" t="s">
        <v>5960</v>
      </c>
      <c r="B1764" s="5" t="s">
        <v>16952</v>
      </c>
    </row>
    <row r="1765" ht="15.75" spans="1:2">
      <c r="A1765" s="9" t="s">
        <v>5963</v>
      </c>
      <c r="B1765" s="5" t="s">
        <v>16952</v>
      </c>
    </row>
    <row r="1766" ht="15.75" spans="1:2">
      <c r="A1766" s="9" t="s">
        <v>5966</v>
      </c>
      <c r="B1766" s="5" t="s">
        <v>16952</v>
      </c>
    </row>
    <row r="1767" ht="15.75" spans="1:2">
      <c r="A1767" s="9" t="s">
        <v>5970</v>
      </c>
      <c r="B1767" s="5" t="s">
        <v>16952</v>
      </c>
    </row>
    <row r="1768" ht="15.75" spans="1:2">
      <c r="A1768" s="9" t="s">
        <v>5973</v>
      </c>
      <c r="B1768" s="5" t="s">
        <v>16952</v>
      </c>
    </row>
    <row r="1769" ht="15.75" spans="1:2">
      <c r="A1769" s="9" t="s">
        <v>5976</v>
      </c>
      <c r="B1769" s="5" t="s">
        <v>16952</v>
      </c>
    </row>
    <row r="1770" ht="15.75" spans="1:2">
      <c r="A1770" s="9" t="s">
        <v>5980</v>
      </c>
      <c r="B1770" s="5" t="s">
        <v>16952</v>
      </c>
    </row>
    <row r="1771" ht="15.75" spans="1:2">
      <c r="A1771" s="9" t="s">
        <v>5984</v>
      </c>
      <c r="B1771" s="5" t="s">
        <v>16952</v>
      </c>
    </row>
    <row r="1772" ht="15.75" spans="1:2">
      <c r="A1772" s="9" t="s">
        <v>5987</v>
      </c>
      <c r="B1772" s="5" t="s">
        <v>16952</v>
      </c>
    </row>
    <row r="1773" ht="15.75" spans="1:2">
      <c r="A1773" s="9" t="s">
        <v>5990</v>
      </c>
      <c r="B1773" s="5" t="s">
        <v>16952</v>
      </c>
    </row>
    <row r="1774" ht="15.75" spans="1:2">
      <c r="A1774" s="9" t="s">
        <v>5993</v>
      </c>
      <c r="B1774" s="5" t="s">
        <v>16952</v>
      </c>
    </row>
    <row r="1775" ht="15.75" spans="1:2">
      <c r="A1775" s="9" t="s">
        <v>5997</v>
      </c>
      <c r="B1775" s="5" t="s">
        <v>16952</v>
      </c>
    </row>
    <row r="1776" ht="15.75" spans="1:2">
      <c r="A1776" s="9" t="s">
        <v>6000</v>
      </c>
      <c r="B1776" s="5" t="s">
        <v>16952</v>
      </c>
    </row>
    <row r="1777" ht="15.75" spans="1:2">
      <c r="A1777" s="9" t="s">
        <v>6003</v>
      </c>
      <c r="B1777" s="5" t="s">
        <v>16952</v>
      </c>
    </row>
    <row r="1778" ht="15.75" spans="1:2">
      <c r="A1778" s="9" t="s">
        <v>6006</v>
      </c>
      <c r="B1778" s="5" t="s">
        <v>16952</v>
      </c>
    </row>
    <row r="1779" ht="15.75" spans="1:2">
      <c r="A1779" s="9" t="s">
        <v>6009</v>
      </c>
      <c r="B1779" s="5" t="s">
        <v>16952</v>
      </c>
    </row>
    <row r="1780" ht="15.75" spans="1:2">
      <c r="A1780" s="9" t="s">
        <v>6012</v>
      </c>
      <c r="B1780" s="5" t="s">
        <v>16952</v>
      </c>
    </row>
    <row r="1781" ht="15.75" spans="1:2">
      <c r="A1781" s="9" t="s">
        <v>6015</v>
      </c>
      <c r="B1781" s="5" t="s">
        <v>16952</v>
      </c>
    </row>
    <row r="1782" ht="15.75" spans="1:2">
      <c r="A1782" s="9" t="s">
        <v>6018</v>
      </c>
      <c r="B1782" s="5" t="s">
        <v>16952</v>
      </c>
    </row>
    <row r="1783" ht="15.75" spans="1:2">
      <c r="A1783" s="9" t="s">
        <v>6021</v>
      </c>
      <c r="B1783" s="5" t="s">
        <v>16952</v>
      </c>
    </row>
    <row r="1784" ht="15.75" spans="1:2">
      <c r="A1784" s="9" t="s">
        <v>6024</v>
      </c>
      <c r="B1784" s="5" t="s">
        <v>16952</v>
      </c>
    </row>
    <row r="1785" ht="15.75" spans="1:2">
      <c r="A1785" s="9" t="s">
        <v>6028</v>
      </c>
      <c r="B1785" s="5" t="s">
        <v>16952</v>
      </c>
    </row>
    <row r="1786" ht="15.75" spans="1:2">
      <c r="A1786" s="9" t="s">
        <v>6031</v>
      </c>
      <c r="B1786" s="5" t="s">
        <v>16952</v>
      </c>
    </row>
    <row r="1787" ht="15.75" spans="1:2">
      <c r="A1787" s="9" t="s">
        <v>6034</v>
      </c>
      <c r="B1787" s="5" t="s">
        <v>16952</v>
      </c>
    </row>
    <row r="1788" ht="15.75" spans="1:2">
      <c r="A1788" s="9" t="s">
        <v>6037</v>
      </c>
      <c r="B1788" s="5" t="s">
        <v>16952</v>
      </c>
    </row>
    <row r="1789" ht="15.75" spans="1:2">
      <c r="A1789" s="9" t="s">
        <v>6040</v>
      </c>
      <c r="B1789" s="5" t="s">
        <v>16952</v>
      </c>
    </row>
    <row r="1790" ht="15.75" spans="1:2">
      <c r="A1790" s="9" t="s">
        <v>6043</v>
      </c>
      <c r="B1790" s="5" t="s">
        <v>16952</v>
      </c>
    </row>
    <row r="1791" ht="15.75" spans="1:2">
      <c r="A1791" s="9" t="s">
        <v>6046</v>
      </c>
      <c r="B1791" s="5" t="s">
        <v>16952</v>
      </c>
    </row>
    <row r="1792" ht="15.75" spans="1:2">
      <c r="A1792" s="9" t="s">
        <v>6049</v>
      </c>
      <c r="B1792" s="5" t="s">
        <v>16952</v>
      </c>
    </row>
    <row r="1793" ht="15.75" spans="1:2">
      <c r="A1793" s="9" t="s">
        <v>6052</v>
      </c>
      <c r="B1793" s="5" t="s">
        <v>16952</v>
      </c>
    </row>
    <row r="1794" ht="15.75" spans="1:2">
      <c r="A1794" s="9" t="s">
        <v>6056</v>
      </c>
      <c r="B1794" s="5" t="s">
        <v>16952</v>
      </c>
    </row>
    <row r="1795" ht="15.75" spans="1:2">
      <c r="A1795" s="9" t="s">
        <v>6059</v>
      </c>
      <c r="B1795" s="5" t="s">
        <v>16952</v>
      </c>
    </row>
    <row r="1796" ht="15.75" spans="1:2">
      <c r="A1796" s="9" t="s">
        <v>6062</v>
      </c>
      <c r="B1796" s="5" t="s">
        <v>16952</v>
      </c>
    </row>
    <row r="1797" ht="15.75" spans="1:2">
      <c r="A1797" s="9" t="s">
        <v>6066</v>
      </c>
      <c r="B1797" s="5" t="s">
        <v>16952</v>
      </c>
    </row>
    <row r="1798" ht="15.75" spans="1:2">
      <c r="A1798" s="9" t="s">
        <v>6071</v>
      </c>
      <c r="B1798" s="5" t="s">
        <v>16952</v>
      </c>
    </row>
    <row r="1799" ht="15.75" spans="1:2">
      <c r="A1799" s="9" t="s">
        <v>6075</v>
      </c>
      <c r="B1799" s="5" t="s">
        <v>16952</v>
      </c>
    </row>
    <row r="1800" ht="15.75" spans="1:2">
      <c r="A1800" s="9" t="s">
        <v>6079</v>
      </c>
      <c r="B1800" s="5" t="s">
        <v>16952</v>
      </c>
    </row>
    <row r="1801" ht="15.75" spans="1:2">
      <c r="A1801" s="9" t="s">
        <v>6082</v>
      </c>
      <c r="B1801" s="5" t="s">
        <v>16952</v>
      </c>
    </row>
    <row r="1802" ht="15.75" spans="1:2">
      <c r="A1802" s="9" t="s">
        <v>6085</v>
      </c>
      <c r="B1802" s="5" t="s">
        <v>16952</v>
      </c>
    </row>
    <row r="1803" ht="15.75" spans="1:2">
      <c r="A1803" s="9" t="s">
        <v>6088</v>
      </c>
      <c r="B1803" s="5" t="s">
        <v>16952</v>
      </c>
    </row>
    <row r="1804" ht="15.75" spans="1:2">
      <c r="A1804" s="9" t="s">
        <v>6091</v>
      </c>
      <c r="B1804" s="5" t="s">
        <v>16952</v>
      </c>
    </row>
    <row r="1805" ht="15.75" spans="1:2">
      <c r="A1805" s="9" t="s">
        <v>6095</v>
      </c>
      <c r="B1805" s="5" t="s">
        <v>16952</v>
      </c>
    </row>
    <row r="1806" ht="15.75" spans="1:2">
      <c r="A1806" s="9" t="s">
        <v>6098</v>
      </c>
      <c r="B1806" s="5" t="s">
        <v>16952</v>
      </c>
    </row>
    <row r="1807" ht="15.75" spans="1:2">
      <c r="A1807" s="9" t="s">
        <v>6101</v>
      </c>
      <c r="B1807" s="5" t="s">
        <v>16952</v>
      </c>
    </row>
    <row r="1808" ht="15.75" spans="1:2">
      <c r="A1808" s="9" t="s">
        <v>6104</v>
      </c>
      <c r="B1808" s="5" t="s">
        <v>16952</v>
      </c>
    </row>
    <row r="1809" ht="15.75" spans="1:2">
      <c r="A1809" s="9" t="s">
        <v>6108</v>
      </c>
      <c r="B1809" s="5" t="s">
        <v>16952</v>
      </c>
    </row>
    <row r="1810" ht="15.75" spans="1:2">
      <c r="A1810" s="9" t="s">
        <v>6112</v>
      </c>
      <c r="B1810" s="5" t="s">
        <v>16952</v>
      </c>
    </row>
    <row r="1811" ht="15.75" spans="1:2">
      <c r="A1811" s="9" t="s">
        <v>6115</v>
      </c>
      <c r="B1811" s="5" t="s">
        <v>16952</v>
      </c>
    </row>
    <row r="1812" ht="15.75" spans="1:2">
      <c r="A1812" s="9" t="s">
        <v>6119</v>
      </c>
      <c r="B1812" s="5" t="s">
        <v>16952</v>
      </c>
    </row>
    <row r="1813" ht="15.75" spans="1:2">
      <c r="A1813" s="9" t="s">
        <v>6122</v>
      </c>
      <c r="B1813" s="5" t="s">
        <v>16952</v>
      </c>
    </row>
    <row r="1814" ht="15.75" spans="1:2">
      <c r="A1814" s="9" t="s">
        <v>6125</v>
      </c>
      <c r="B1814" s="5" t="s">
        <v>16952</v>
      </c>
    </row>
    <row r="1815" ht="15.75" spans="1:2">
      <c r="A1815" s="9" t="s">
        <v>6130</v>
      </c>
      <c r="B1815" s="12"/>
    </row>
    <row r="1816" ht="15.75" spans="1:2">
      <c r="A1816" s="9" t="s">
        <v>6130</v>
      </c>
      <c r="B1816" s="12"/>
    </row>
    <row r="1817" ht="15.75" spans="1:2">
      <c r="A1817" s="9" t="s">
        <v>6131</v>
      </c>
      <c r="B1817" s="5" t="s">
        <v>16952</v>
      </c>
    </row>
    <row r="1818" ht="15.75" spans="1:2">
      <c r="A1818" s="9" t="s">
        <v>6134</v>
      </c>
      <c r="B1818" s="5" t="s">
        <v>16952</v>
      </c>
    </row>
    <row r="1819" ht="15.75" spans="1:2">
      <c r="A1819" s="9" t="s">
        <v>6138</v>
      </c>
      <c r="B1819" s="5" t="s">
        <v>16952</v>
      </c>
    </row>
    <row r="1820" ht="15.75" spans="1:2">
      <c r="A1820" s="9" t="s">
        <v>6143</v>
      </c>
      <c r="B1820" s="5" t="s">
        <v>16952</v>
      </c>
    </row>
    <row r="1821" ht="15.75" spans="1:2">
      <c r="A1821" s="9" t="s">
        <v>6146</v>
      </c>
      <c r="B1821" s="5" t="s">
        <v>16952</v>
      </c>
    </row>
    <row r="1822" ht="15.75" spans="1:2">
      <c r="A1822" s="9" t="s">
        <v>6149</v>
      </c>
      <c r="B1822" s="5" t="s">
        <v>16952</v>
      </c>
    </row>
    <row r="1823" ht="15.75" spans="1:2">
      <c r="A1823" s="9" t="s">
        <v>6153</v>
      </c>
      <c r="B1823" s="5" t="s">
        <v>16952</v>
      </c>
    </row>
    <row r="1824" ht="15.75" spans="1:2">
      <c r="A1824" s="9" t="s">
        <v>6156</v>
      </c>
      <c r="B1824" s="5" t="s">
        <v>16952</v>
      </c>
    </row>
    <row r="1825" ht="15.75" spans="1:2">
      <c r="A1825" s="9" t="s">
        <v>6159</v>
      </c>
      <c r="B1825" s="5" t="s">
        <v>16952</v>
      </c>
    </row>
    <row r="1826" ht="15.75" spans="1:2">
      <c r="A1826" s="9" t="s">
        <v>6163</v>
      </c>
      <c r="B1826" s="5" t="s">
        <v>16952</v>
      </c>
    </row>
    <row r="1827" ht="15.75" spans="1:2">
      <c r="A1827" s="9" t="s">
        <v>6167</v>
      </c>
      <c r="B1827" s="5" t="s">
        <v>16952</v>
      </c>
    </row>
    <row r="1828" ht="15.75" spans="1:2">
      <c r="A1828" s="9" t="s">
        <v>6170</v>
      </c>
      <c r="B1828" s="5" t="s">
        <v>16952</v>
      </c>
    </row>
    <row r="1829" ht="15.75" spans="1:2">
      <c r="A1829" s="9" t="s">
        <v>6173</v>
      </c>
      <c r="B1829" s="5" t="s">
        <v>16952</v>
      </c>
    </row>
    <row r="1830" ht="15.75" spans="1:2">
      <c r="A1830" s="9" t="s">
        <v>6176</v>
      </c>
      <c r="B1830" s="5" t="s">
        <v>16952</v>
      </c>
    </row>
    <row r="1831" ht="15.75" spans="1:2">
      <c r="A1831" s="9" t="s">
        <v>6179</v>
      </c>
      <c r="B1831" s="5" t="s">
        <v>16952</v>
      </c>
    </row>
    <row r="1832" ht="15.75" spans="1:2">
      <c r="A1832" s="9" t="s">
        <v>6182</v>
      </c>
      <c r="B1832" s="5" t="s">
        <v>16952</v>
      </c>
    </row>
    <row r="1833" ht="15.75" spans="1:2">
      <c r="A1833" s="9" t="s">
        <v>6185</v>
      </c>
      <c r="B1833" s="5" t="s">
        <v>16952</v>
      </c>
    </row>
    <row r="1834" ht="15.75" spans="1:2">
      <c r="A1834" s="9" t="s">
        <v>6189</v>
      </c>
      <c r="B1834" s="5" t="s">
        <v>16952</v>
      </c>
    </row>
    <row r="1835" ht="15.75" spans="1:2">
      <c r="A1835" s="9" t="s">
        <v>6193</v>
      </c>
      <c r="B1835" s="5" t="s">
        <v>16952</v>
      </c>
    </row>
    <row r="1836" ht="15.75" spans="1:2">
      <c r="A1836" s="9" t="s">
        <v>6196</v>
      </c>
      <c r="B1836" s="5" t="s">
        <v>16952</v>
      </c>
    </row>
    <row r="1837" ht="15.75" spans="1:2">
      <c r="A1837" s="9" t="s">
        <v>6200</v>
      </c>
      <c r="B1837" s="5"/>
    </row>
    <row r="1838" ht="15.75" spans="1:2">
      <c r="A1838" s="9" t="s">
        <v>6205</v>
      </c>
      <c r="B1838" s="10" t="s">
        <v>16952</v>
      </c>
    </row>
    <row r="1839" ht="15.75" spans="1:2">
      <c r="A1839" s="9" t="s">
        <v>6205</v>
      </c>
      <c r="B1839" s="10" t="s">
        <v>16952</v>
      </c>
    </row>
    <row r="1840" ht="15.75" spans="1:2">
      <c r="A1840" s="9" t="s">
        <v>6209</v>
      </c>
      <c r="B1840" s="5" t="s">
        <v>16952</v>
      </c>
    </row>
    <row r="1841" ht="15.75" spans="1:2">
      <c r="A1841" s="9" t="s">
        <v>6212</v>
      </c>
      <c r="B1841" s="5" t="s">
        <v>16952</v>
      </c>
    </row>
    <row r="1842" ht="15.75" spans="1:2">
      <c r="A1842" s="9" t="s">
        <v>6215</v>
      </c>
      <c r="B1842" s="5" t="s">
        <v>16952</v>
      </c>
    </row>
    <row r="1843" ht="15.75" spans="1:2">
      <c r="A1843" s="9" t="s">
        <v>6218</v>
      </c>
      <c r="B1843" s="5" t="s">
        <v>16952</v>
      </c>
    </row>
    <row r="1844" ht="15.75" spans="1:2">
      <c r="A1844" s="9" t="s">
        <v>6222</v>
      </c>
      <c r="B1844" s="5" t="s">
        <v>16952</v>
      </c>
    </row>
    <row r="1845" ht="15.75" spans="1:2">
      <c r="A1845" s="9" t="s">
        <v>6226</v>
      </c>
      <c r="B1845" s="5" t="s">
        <v>16952</v>
      </c>
    </row>
    <row r="1846" ht="15.75" spans="1:2">
      <c r="A1846" s="9" t="s">
        <v>6230</v>
      </c>
      <c r="B1846" s="5" t="s">
        <v>16952</v>
      </c>
    </row>
    <row r="1847" ht="15.75" spans="1:2">
      <c r="A1847" s="9" t="s">
        <v>6233</v>
      </c>
      <c r="B1847" s="5" t="s">
        <v>16952</v>
      </c>
    </row>
    <row r="1848" ht="15.75" spans="1:2">
      <c r="A1848" s="9" t="s">
        <v>6236</v>
      </c>
      <c r="B1848" s="5" t="s">
        <v>16952</v>
      </c>
    </row>
    <row r="1849" ht="15.75" spans="1:2">
      <c r="A1849" s="9" t="s">
        <v>6239</v>
      </c>
      <c r="B1849" s="5" t="s">
        <v>16952</v>
      </c>
    </row>
    <row r="1850" ht="15.75" spans="1:2">
      <c r="A1850" s="9" t="s">
        <v>6242</v>
      </c>
      <c r="B1850" s="5" t="s">
        <v>16952</v>
      </c>
    </row>
    <row r="1851" ht="15.75" spans="1:2">
      <c r="A1851" s="9" t="s">
        <v>6245</v>
      </c>
      <c r="B1851" s="13"/>
    </row>
    <row r="1852" ht="15.75" spans="1:2">
      <c r="A1852" s="9" t="s">
        <v>6250</v>
      </c>
      <c r="B1852" s="5" t="s">
        <v>16952</v>
      </c>
    </row>
    <row r="1853" ht="15.75" spans="1:2">
      <c r="A1853" s="9" t="s">
        <v>6255</v>
      </c>
      <c r="B1853" s="5" t="s">
        <v>16952</v>
      </c>
    </row>
    <row r="1854" ht="15.75" spans="1:2">
      <c r="A1854" s="9" t="s">
        <v>6258</v>
      </c>
      <c r="B1854" s="5" t="s">
        <v>16952</v>
      </c>
    </row>
    <row r="1855" ht="15.75" spans="1:2">
      <c r="A1855" s="9" t="s">
        <v>6263</v>
      </c>
      <c r="B1855" s="5" t="s">
        <v>16952</v>
      </c>
    </row>
    <row r="1856" ht="15.75" spans="1:2">
      <c r="A1856" s="9" t="s">
        <v>6266</v>
      </c>
      <c r="B1856" s="5" t="s">
        <v>16952</v>
      </c>
    </row>
    <row r="1857" ht="15.75" spans="1:2">
      <c r="A1857" s="9" t="s">
        <v>6269</v>
      </c>
      <c r="B1857" s="5" t="s">
        <v>16952</v>
      </c>
    </row>
    <row r="1858" ht="15.75" spans="1:2">
      <c r="A1858" s="9" t="s">
        <v>6272</v>
      </c>
      <c r="B1858" s="5" t="s">
        <v>16952</v>
      </c>
    </row>
    <row r="1859" ht="15.75" spans="1:2">
      <c r="A1859" s="9" t="s">
        <v>6275</v>
      </c>
      <c r="B1859" s="5" t="s">
        <v>16952</v>
      </c>
    </row>
    <row r="1860" ht="15.75" spans="1:2">
      <c r="A1860" s="9" t="s">
        <v>6278</v>
      </c>
      <c r="B1860" s="5" t="s">
        <v>16952</v>
      </c>
    </row>
    <row r="1861" ht="15.75" spans="1:2">
      <c r="A1861" s="9" t="s">
        <v>6281</v>
      </c>
      <c r="B1861" s="5" t="s">
        <v>16952</v>
      </c>
    </row>
    <row r="1862" ht="15.75" spans="1:2">
      <c r="A1862" s="9" t="s">
        <v>6284</v>
      </c>
      <c r="B1862" s="5" t="s">
        <v>16952</v>
      </c>
    </row>
    <row r="1863" ht="15.75" spans="1:2">
      <c r="A1863" s="9" t="s">
        <v>6287</v>
      </c>
      <c r="B1863" s="5" t="s">
        <v>16952</v>
      </c>
    </row>
    <row r="1864" ht="15.75" spans="1:2">
      <c r="A1864" s="9" t="s">
        <v>6290</v>
      </c>
      <c r="B1864" s="5" t="s">
        <v>16952</v>
      </c>
    </row>
    <row r="1865" ht="15.75" spans="1:2">
      <c r="A1865" s="9" t="s">
        <v>6293</v>
      </c>
      <c r="B1865" s="5" t="s">
        <v>16952</v>
      </c>
    </row>
    <row r="1866" ht="15.75" spans="1:2">
      <c r="A1866" s="9" t="s">
        <v>6296</v>
      </c>
      <c r="B1866" s="5" t="s">
        <v>16952</v>
      </c>
    </row>
    <row r="1867" ht="15.75" spans="1:2">
      <c r="A1867" s="9" t="s">
        <v>6299</v>
      </c>
      <c r="B1867" s="5" t="s">
        <v>16952</v>
      </c>
    </row>
    <row r="1868" ht="15.75" spans="1:2">
      <c r="A1868" s="9" t="s">
        <v>6302</v>
      </c>
      <c r="B1868" s="5" t="s">
        <v>16952</v>
      </c>
    </row>
    <row r="1869" ht="15.75" spans="1:2">
      <c r="A1869" s="9" t="s">
        <v>6305</v>
      </c>
      <c r="B1869" s="5" t="s">
        <v>16952</v>
      </c>
    </row>
    <row r="1870" ht="15.75" spans="1:2">
      <c r="A1870" s="9" t="s">
        <v>6308</v>
      </c>
      <c r="B1870" s="5" t="s">
        <v>16952</v>
      </c>
    </row>
    <row r="1871" ht="15.75" spans="1:2">
      <c r="A1871" s="9" t="s">
        <v>6311</v>
      </c>
      <c r="B1871" s="5" t="s">
        <v>16952</v>
      </c>
    </row>
    <row r="1872" ht="15.75" spans="1:2">
      <c r="A1872" s="9" t="s">
        <v>6315</v>
      </c>
      <c r="B1872" s="5" t="s">
        <v>16952</v>
      </c>
    </row>
    <row r="1873" ht="15.75" spans="1:2">
      <c r="A1873" s="9" t="s">
        <v>6318</v>
      </c>
      <c r="B1873" s="5" t="s">
        <v>16952</v>
      </c>
    </row>
    <row r="1874" ht="15.75" spans="1:2">
      <c r="A1874" s="9" t="s">
        <v>6322</v>
      </c>
      <c r="B1874" s="5" t="s">
        <v>16952</v>
      </c>
    </row>
    <row r="1875" ht="15.75" spans="1:2">
      <c r="A1875" s="9" t="s">
        <v>6325</v>
      </c>
      <c r="B1875" s="5" t="s">
        <v>16952</v>
      </c>
    </row>
    <row r="1876" ht="15.75" spans="1:2">
      <c r="A1876" s="9" t="s">
        <v>6328</v>
      </c>
      <c r="B1876" s="5" t="s">
        <v>16952</v>
      </c>
    </row>
    <row r="1877" ht="15.75" spans="1:2">
      <c r="A1877" s="9" t="s">
        <v>6331</v>
      </c>
      <c r="B1877" s="5" t="s">
        <v>16952</v>
      </c>
    </row>
    <row r="1878" ht="31.5" spans="1:2">
      <c r="A1878" s="9" t="s">
        <v>6334</v>
      </c>
      <c r="B1878" s="8" t="s">
        <v>16971</v>
      </c>
    </row>
    <row r="1879" ht="15.75" spans="1:2">
      <c r="A1879" s="9" t="s">
        <v>6335</v>
      </c>
      <c r="B1879" s="5" t="s">
        <v>16952</v>
      </c>
    </row>
    <row r="1880" ht="15.75" spans="1:2">
      <c r="A1880" s="9" t="s">
        <v>6338</v>
      </c>
      <c r="B1880" s="5" t="s">
        <v>16952</v>
      </c>
    </row>
    <row r="1881" ht="31.5" spans="1:2">
      <c r="A1881" s="9" t="s">
        <v>6342</v>
      </c>
      <c r="B1881" s="8" t="s">
        <v>16972</v>
      </c>
    </row>
    <row r="1882" ht="15.75" spans="1:2">
      <c r="A1882" s="9" t="s">
        <v>6343</v>
      </c>
      <c r="B1882" s="8"/>
    </row>
    <row r="1883" ht="15.75" spans="1:2">
      <c r="A1883" s="9" t="s">
        <v>6344</v>
      </c>
      <c r="B1883" s="5" t="s">
        <v>16952</v>
      </c>
    </row>
    <row r="1884" ht="15.75" spans="1:2">
      <c r="A1884" s="9" t="s">
        <v>6348</v>
      </c>
      <c r="B1884" s="5" t="s">
        <v>16952</v>
      </c>
    </row>
    <row r="1885" ht="15.75" spans="1:2">
      <c r="A1885" s="9" t="s">
        <v>6352</v>
      </c>
      <c r="B1885" s="5" t="s">
        <v>16952</v>
      </c>
    </row>
    <row r="1886" ht="15.75" spans="1:2">
      <c r="A1886" s="9" t="s">
        <v>6356</v>
      </c>
      <c r="B1886" s="5" t="s">
        <v>16952</v>
      </c>
    </row>
    <row r="1887" ht="15.75" spans="1:2">
      <c r="A1887" s="9" t="s">
        <v>6360</v>
      </c>
      <c r="B1887" s="5" t="s">
        <v>16952</v>
      </c>
    </row>
    <row r="1888" ht="15.75" spans="1:2">
      <c r="A1888" s="9" t="s">
        <v>6363</v>
      </c>
      <c r="B1888" s="5" t="s">
        <v>16952</v>
      </c>
    </row>
    <row r="1889" ht="15.75" spans="1:2">
      <c r="A1889" s="9" t="s">
        <v>6367</v>
      </c>
      <c r="B1889" s="5" t="s">
        <v>16952</v>
      </c>
    </row>
    <row r="1890" ht="15.75" spans="1:2">
      <c r="A1890" s="9" t="s">
        <v>6370</v>
      </c>
      <c r="B1890" s="5" t="s">
        <v>16952</v>
      </c>
    </row>
    <row r="1891" ht="15.75" spans="1:2">
      <c r="A1891" s="9" t="s">
        <v>6375</v>
      </c>
      <c r="B1891" s="5" t="s">
        <v>16952</v>
      </c>
    </row>
    <row r="1892" ht="15.75" spans="1:2">
      <c r="A1892" s="9" t="s">
        <v>6378</v>
      </c>
      <c r="B1892" s="5" t="s">
        <v>16952</v>
      </c>
    </row>
    <row r="1893" ht="31.5" spans="1:2">
      <c r="A1893" s="9" t="s">
        <v>6381</v>
      </c>
      <c r="B1893" s="8" t="s">
        <v>16973</v>
      </c>
    </row>
    <row r="1894" ht="15.75" spans="1:2">
      <c r="A1894" s="9" t="s">
        <v>6382</v>
      </c>
      <c r="B1894" s="5" t="s">
        <v>16952</v>
      </c>
    </row>
    <row r="1895" ht="15.75" spans="1:2">
      <c r="A1895" s="9" t="s">
        <v>6385</v>
      </c>
      <c r="B1895" s="5" t="s">
        <v>16952</v>
      </c>
    </row>
    <row r="1896" ht="15.75" spans="1:2">
      <c r="A1896" s="9" t="s">
        <v>6388</v>
      </c>
      <c r="B1896" s="5" t="s">
        <v>16952</v>
      </c>
    </row>
    <row r="1897" ht="15.75" spans="1:2">
      <c r="A1897" s="9" t="s">
        <v>6393</v>
      </c>
      <c r="B1897" s="5" t="s">
        <v>16952</v>
      </c>
    </row>
    <row r="1898" ht="15.75" spans="1:2">
      <c r="A1898" s="9" t="s">
        <v>6396</v>
      </c>
      <c r="B1898" s="5" t="s">
        <v>16952</v>
      </c>
    </row>
    <row r="1899" ht="15.75" spans="1:2">
      <c r="A1899" s="9" t="s">
        <v>6401</v>
      </c>
      <c r="B1899" s="5" t="s">
        <v>16952</v>
      </c>
    </row>
    <row r="1900" ht="15.75" spans="1:2">
      <c r="A1900" s="9" t="s">
        <v>6404</v>
      </c>
      <c r="B1900" s="5" t="s">
        <v>16952</v>
      </c>
    </row>
    <row r="1901" ht="15.75" spans="1:2">
      <c r="A1901" s="9" t="s">
        <v>6407</v>
      </c>
      <c r="B1901" s="5" t="s">
        <v>16952</v>
      </c>
    </row>
    <row r="1902" ht="15.75" spans="1:2">
      <c r="A1902" s="9" t="s">
        <v>6411</v>
      </c>
      <c r="B1902" s="5" t="s">
        <v>16952</v>
      </c>
    </row>
    <row r="1903" ht="15.75" spans="1:2">
      <c r="A1903" s="9" t="s">
        <v>6416</v>
      </c>
      <c r="B1903" s="5" t="s">
        <v>16952</v>
      </c>
    </row>
    <row r="1904" ht="15.75" spans="1:2">
      <c r="A1904" s="9" t="s">
        <v>6419</v>
      </c>
      <c r="B1904" s="5" t="s">
        <v>16952</v>
      </c>
    </row>
    <row r="1905" ht="15.75" spans="1:2">
      <c r="A1905" s="9" t="s">
        <v>6423</v>
      </c>
      <c r="B1905" s="12"/>
    </row>
    <row r="1906" ht="15.75" spans="1:2">
      <c r="A1906" s="9" t="s">
        <v>6423</v>
      </c>
      <c r="B1906" s="10" t="s">
        <v>16952</v>
      </c>
    </row>
    <row r="1907" ht="15.75" spans="1:2">
      <c r="A1907" s="9" t="s">
        <v>6424</v>
      </c>
      <c r="B1907" s="5" t="s">
        <v>16952</v>
      </c>
    </row>
    <row r="1908" ht="15.75" spans="1:2">
      <c r="A1908" s="9" t="s">
        <v>6428</v>
      </c>
      <c r="B1908" s="5" t="s">
        <v>16952</v>
      </c>
    </row>
    <row r="1909" ht="15.75" spans="1:2">
      <c r="A1909" s="9" t="s">
        <v>6432</v>
      </c>
      <c r="B1909" s="5"/>
    </row>
    <row r="1910" ht="15.75" spans="1:2">
      <c r="A1910" s="9" t="s">
        <v>6437</v>
      </c>
      <c r="B1910" s="5" t="s">
        <v>16952</v>
      </c>
    </row>
    <row r="1911" ht="15.75" spans="1:2">
      <c r="A1911" s="9" t="s">
        <v>6441</v>
      </c>
      <c r="B1911" s="5" t="s">
        <v>16952</v>
      </c>
    </row>
    <row r="1912" ht="15.75" spans="1:2">
      <c r="A1912" s="9" t="s">
        <v>6445</v>
      </c>
      <c r="B1912" s="5" t="s">
        <v>16952</v>
      </c>
    </row>
    <row r="1913" ht="15.75" spans="1:2">
      <c r="A1913" s="9" t="s">
        <v>6448</v>
      </c>
      <c r="B1913" s="5" t="s">
        <v>16952</v>
      </c>
    </row>
    <row r="1914" ht="15.75" spans="1:2">
      <c r="A1914" s="9" t="s">
        <v>6452</v>
      </c>
      <c r="B1914" s="5" t="s">
        <v>16952</v>
      </c>
    </row>
    <row r="1915" ht="15.75" spans="1:2">
      <c r="A1915" s="9" t="s">
        <v>6455</v>
      </c>
      <c r="B1915" s="5" t="s">
        <v>16952</v>
      </c>
    </row>
    <row r="1916" ht="15.75" spans="1:2">
      <c r="A1916" s="9" t="s">
        <v>6460</v>
      </c>
      <c r="B1916" s="5" t="s">
        <v>16952</v>
      </c>
    </row>
    <row r="1917" ht="15.75" spans="1:2">
      <c r="A1917" s="9" t="s">
        <v>6464</v>
      </c>
      <c r="B1917" s="8"/>
    </row>
    <row r="1918" ht="15.75" spans="1:2">
      <c r="A1918" s="9" t="s">
        <v>6465</v>
      </c>
      <c r="B1918" s="5" t="s">
        <v>16952</v>
      </c>
    </row>
    <row r="1919" ht="15.75" spans="1:2">
      <c r="A1919" s="9" t="s">
        <v>6469</v>
      </c>
      <c r="B1919" s="5" t="s">
        <v>16952</v>
      </c>
    </row>
    <row r="1920" ht="15.75" spans="1:2">
      <c r="A1920" s="9" t="s">
        <v>6473</v>
      </c>
      <c r="B1920" s="5" t="s">
        <v>16952</v>
      </c>
    </row>
    <row r="1921" ht="15.75" spans="1:2">
      <c r="A1921" s="9" t="s">
        <v>6477</v>
      </c>
      <c r="B1921" s="5" t="s">
        <v>16952</v>
      </c>
    </row>
    <row r="1922" ht="15.75" spans="1:2">
      <c r="A1922" s="9" t="s">
        <v>6480</v>
      </c>
      <c r="B1922" s="5" t="s">
        <v>16952</v>
      </c>
    </row>
    <row r="1923" ht="15.75" spans="1:2">
      <c r="A1923" s="9" t="s">
        <v>6482</v>
      </c>
      <c r="B1923" s="5" t="s">
        <v>16952</v>
      </c>
    </row>
    <row r="1924" ht="15.75" spans="1:2">
      <c r="A1924" s="9" t="s">
        <v>6485</v>
      </c>
      <c r="B1924" s="5" t="s">
        <v>16952</v>
      </c>
    </row>
    <row r="1925" ht="15.75" spans="1:2">
      <c r="A1925" s="9" t="s">
        <v>6489</v>
      </c>
      <c r="B1925" s="5" t="s">
        <v>16952</v>
      </c>
    </row>
    <row r="1926" ht="15.75" spans="1:2">
      <c r="A1926" s="9" t="s">
        <v>6492</v>
      </c>
      <c r="B1926" s="5" t="s">
        <v>16952</v>
      </c>
    </row>
    <row r="1927" ht="15.75" spans="1:2">
      <c r="A1927" s="9" t="s">
        <v>6495</v>
      </c>
      <c r="B1927" s="5" t="s">
        <v>16952</v>
      </c>
    </row>
    <row r="1928" ht="15.75" spans="1:2">
      <c r="A1928" s="9" t="s">
        <v>6499</v>
      </c>
      <c r="B1928" s="5" t="s">
        <v>16952</v>
      </c>
    </row>
    <row r="1929" ht="15.75" spans="1:2">
      <c r="A1929" s="9" t="s">
        <v>6501</v>
      </c>
      <c r="B1929" s="5" t="s">
        <v>16952</v>
      </c>
    </row>
    <row r="1930" ht="15.75" spans="1:2">
      <c r="A1930" s="9" t="s">
        <v>6505</v>
      </c>
      <c r="B1930" s="5" t="s">
        <v>16952</v>
      </c>
    </row>
    <row r="1931" ht="15.75" spans="1:2">
      <c r="A1931" s="9" t="s">
        <v>6509</v>
      </c>
      <c r="B1931" s="5" t="s">
        <v>16952</v>
      </c>
    </row>
    <row r="1932" ht="15.75" spans="1:2">
      <c r="A1932" s="9" t="s">
        <v>6512</v>
      </c>
      <c r="B1932" s="5" t="s">
        <v>16952</v>
      </c>
    </row>
    <row r="1933" ht="15.75" spans="1:2">
      <c r="A1933" s="9" t="s">
        <v>6516</v>
      </c>
      <c r="B1933" s="5" t="s">
        <v>16952</v>
      </c>
    </row>
    <row r="1934" ht="15.75" spans="1:2">
      <c r="A1934" s="9" t="s">
        <v>6519</v>
      </c>
      <c r="B1934" s="5" t="s">
        <v>16952</v>
      </c>
    </row>
    <row r="1935" ht="15.75" spans="1:2">
      <c r="A1935" s="9" t="s">
        <v>6522</v>
      </c>
      <c r="B1935" s="5" t="s">
        <v>16952</v>
      </c>
    </row>
    <row r="1936" ht="15.75" spans="1:2">
      <c r="A1936" s="9" t="s">
        <v>6525</v>
      </c>
      <c r="B1936" s="5" t="s">
        <v>16952</v>
      </c>
    </row>
    <row r="1937" ht="15.75" spans="1:2">
      <c r="A1937" s="9" t="s">
        <v>6529</v>
      </c>
      <c r="B1937" s="5" t="s">
        <v>16952</v>
      </c>
    </row>
    <row r="1938" ht="15.75" spans="1:2">
      <c r="A1938" s="9" t="s">
        <v>6533</v>
      </c>
      <c r="B1938" s="5" t="s">
        <v>16952</v>
      </c>
    </row>
    <row r="1939" ht="15.75" spans="1:2">
      <c r="A1939" s="9" t="s">
        <v>6537</v>
      </c>
      <c r="B1939" s="5" t="s">
        <v>16952</v>
      </c>
    </row>
    <row r="1940" ht="15.75" spans="1:2">
      <c r="A1940" s="9" t="s">
        <v>6540</v>
      </c>
      <c r="B1940" s="5" t="s">
        <v>16952</v>
      </c>
    </row>
    <row r="1941" ht="15.75" spans="1:2">
      <c r="A1941" s="9" t="s">
        <v>6543</v>
      </c>
      <c r="B1941" s="5" t="s">
        <v>16952</v>
      </c>
    </row>
    <row r="1942" ht="15.75" spans="1:2">
      <c r="A1942" s="9" t="s">
        <v>6547</v>
      </c>
      <c r="B1942" s="8"/>
    </row>
    <row r="1943" ht="15.75" spans="1:2">
      <c r="A1943" s="9" t="s">
        <v>6548</v>
      </c>
      <c r="B1943" s="5" t="s">
        <v>16952</v>
      </c>
    </row>
    <row r="1944" ht="15.75" spans="1:2">
      <c r="A1944" s="9" t="s">
        <v>6551</v>
      </c>
      <c r="B1944" s="5" t="s">
        <v>16952</v>
      </c>
    </row>
    <row r="1945" ht="15.75" spans="1:2">
      <c r="A1945" s="9" t="s">
        <v>6555</v>
      </c>
      <c r="B1945" s="5" t="s">
        <v>16952</v>
      </c>
    </row>
    <row r="1946" ht="15.75" spans="1:2">
      <c r="A1946" s="9" t="s">
        <v>6559</v>
      </c>
      <c r="B1946" s="5" t="s">
        <v>16952</v>
      </c>
    </row>
    <row r="1947" ht="15.75" spans="1:2">
      <c r="A1947" s="9" t="s">
        <v>6563</v>
      </c>
      <c r="B1947" s="5" t="s">
        <v>16952</v>
      </c>
    </row>
    <row r="1948" ht="15.75" spans="1:2">
      <c r="A1948" s="9" t="s">
        <v>6566</v>
      </c>
      <c r="B1948" s="5" t="s">
        <v>16952</v>
      </c>
    </row>
    <row r="1949" ht="15.75" spans="1:2">
      <c r="A1949" s="9" t="s">
        <v>6569</v>
      </c>
      <c r="B1949" s="5" t="s">
        <v>16952</v>
      </c>
    </row>
    <row r="1950" ht="15.75" spans="1:2">
      <c r="A1950" s="9" t="s">
        <v>6573</v>
      </c>
      <c r="B1950" s="5" t="s">
        <v>16952</v>
      </c>
    </row>
    <row r="1951" ht="15.75" spans="1:2">
      <c r="A1951" s="9" t="s">
        <v>6576</v>
      </c>
      <c r="B1951" s="5" t="s">
        <v>16952</v>
      </c>
    </row>
    <row r="1952" ht="15.75" spans="1:2">
      <c r="A1952" s="9" t="s">
        <v>6579</v>
      </c>
      <c r="B1952" s="5" t="s">
        <v>16952</v>
      </c>
    </row>
    <row r="1953" ht="15.75" spans="1:2">
      <c r="A1953" s="9" t="s">
        <v>6582</v>
      </c>
      <c r="B1953" s="5" t="s">
        <v>16952</v>
      </c>
    </row>
    <row r="1954" ht="15.75" spans="1:2">
      <c r="A1954" s="9" t="s">
        <v>6586</v>
      </c>
      <c r="B1954" s="5" t="s">
        <v>16952</v>
      </c>
    </row>
    <row r="1955" ht="15.75" spans="1:2">
      <c r="A1955" s="9" t="s">
        <v>6589</v>
      </c>
      <c r="B1955" s="5" t="s">
        <v>16952</v>
      </c>
    </row>
    <row r="1956" ht="15.75" spans="1:2">
      <c r="A1956" s="9" t="s">
        <v>6592</v>
      </c>
      <c r="B1956" s="5" t="s">
        <v>16952</v>
      </c>
    </row>
    <row r="1957" ht="15.75" spans="1:2">
      <c r="A1957" s="9" t="s">
        <v>6595</v>
      </c>
      <c r="B1957" s="5" t="s">
        <v>16952</v>
      </c>
    </row>
    <row r="1958" ht="15.75" spans="1:2">
      <c r="A1958" s="9" t="s">
        <v>6598</v>
      </c>
      <c r="B1958" s="5" t="s">
        <v>16952</v>
      </c>
    </row>
    <row r="1959" ht="15.75" spans="1:2">
      <c r="A1959" s="9" t="s">
        <v>6601</v>
      </c>
      <c r="B1959" s="5" t="s">
        <v>16952</v>
      </c>
    </row>
    <row r="1960" ht="15.75" spans="1:2">
      <c r="A1960" s="9" t="s">
        <v>6605</v>
      </c>
      <c r="B1960" s="5" t="s">
        <v>16952</v>
      </c>
    </row>
    <row r="1961" ht="15.75" spans="1:2">
      <c r="A1961" s="9" t="s">
        <v>6609</v>
      </c>
      <c r="B1961" s="5" t="s">
        <v>16952</v>
      </c>
    </row>
    <row r="1962" ht="15.75" spans="1:2">
      <c r="A1962" s="9" t="s">
        <v>6612</v>
      </c>
      <c r="B1962" s="5" t="s">
        <v>16952</v>
      </c>
    </row>
    <row r="1963" ht="15.75" spans="1:2">
      <c r="A1963" s="9" t="s">
        <v>6616</v>
      </c>
      <c r="B1963" s="5" t="s">
        <v>16952</v>
      </c>
    </row>
    <row r="1964" ht="15.75" spans="1:2">
      <c r="A1964" s="9" t="s">
        <v>6619</v>
      </c>
      <c r="B1964" s="5" t="s">
        <v>16952</v>
      </c>
    </row>
    <row r="1965" ht="15.75" spans="1:2">
      <c r="A1965" s="9" t="s">
        <v>6622</v>
      </c>
      <c r="B1965" s="5" t="s">
        <v>16952</v>
      </c>
    </row>
    <row r="1966" ht="15.75" spans="1:2">
      <c r="A1966" s="9" t="s">
        <v>6625</v>
      </c>
      <c r="B1966" s="5" t="s">
        <v>16952</v>
      </c>
    </row>
    <row r="1967" ht="15.75" spans="1:2">
      <c r="A1967" s="9" t="s">
        <v>6629</v>
      </c>
      <c r="B1967" s="5" t="s">
        <v>16952</v>
      </c>
    </row>
    <row r="1968" ht="15.75" spans="1:2">
      <c r="A1968" s="9" t="s">
        <v>6632</v>
      </c>
      <c r="B1968" s="5" t="s">
        <v>16952</v>
      </c>
    </row>
    <row r="1969" ht="15.75" spans="1:2">
      <c r="A1969" s="9" t="s">
        <v>6635</v>
      </c>
      <c r="B1969" s="5" t="s">
        <v>16952</v>
      </c>
    </row>
    <row r="1970" ht="15.75" spans="1:2">
      <c r="A1970" s="9" t="s">
        <v>6638</v>
      </c>
      <c r="B1970" s="5" t="s">
        <v>16952</v>
      </c>
    </row>
    <row r="1971" ht="15.75" spans="1:2">
      <c r="A1971" s="9" t="s">
        <v>6641</v>
      </c>
      <c r="B1971" s="5" t="s">
        <v>16952</v>
      </c>
    </row>
    <row r="1972" ht="15.75" spans="1:2">
      <c r="A1972" s="9" t="s">
        <v>6645</v>
      </c>
      <c r="B1972" s="5" t="s">
        <v>16952</v>
      </c>
    </row>
    <row r="1973" ht="15.75" spans="1:2">
      <c r="A1973" s="9" t="s">
        <v>6649</v>
      </c>
      <c r="B1973" s="5" t="s">
        <v>16952</v>
      </c>
    </row>
    <row r="1974" ht="15.75" spans="1:2">
      <c r="A1974" s="9" t="s">
        <v>6654</v>
      </c>
      <c r="B1974" s="8"/>
    </row>
    <row r="1975" ht="15.75" spans="1:2">
      <c r="A1975" s="9" t="s">
        <v>6655</v>
      </c>
      <c r="B1975" s="5" t="s">
        <v>16952</v>
      </c>
    </row>
    <row r="1976" ht="15.75" spans="1:2">
      <c r="A1976" s="9" t="s">
        <v>6659</v>
      </c>
      <c r="B1976" s="5" t="s">
        <v>16952</v>
      </c>
    </row>
    <row r="1977" ht="15.75" spans="1:2">
      <c r="A1977" s="9" t="s">
        <v>6662</v>
      </c>
      <c r="B1977" s="5" t="s">
        <v>16952</v>
      </c>
    </row>
    <row r="1978" ht="15.75" spans="1:2">
      <c r="A1978" s="9" t="s">
        <v>6666</v>
      </c>
      <c r="B1978" s="5" t="s">
        <v>16952</v>
      </c>
    </row>
    <row r="1979" ht="15.75" spans="1:2">
      <c r="A1979" s="9" t="s">
        <v>6670</v>
      </c>
      <c r="B1979" s="5" t="s">
        <v>16952</v>
      </c>
    </row>
    <row r="1980" ht="15.75" spans="1:2">
      <c r="A1980" s="9" t="s">
        <v>6673</v>
      </c>
      <c r="B1980" s="5" t="s">
        <v>16952</v>
      </c>
    </row>
    <row r="1981" ht="15.75" spans="1:2">
      <c r="A1981" s="9" t="s">
        <v>6676</v>
      </c>
      <c r="B1981" s="5" t="s">
        <v>16952</v>
      </c>
    </row>
    <row r="1982" ht="15.75" spans="1:2">
      <c r="A1982" s="9" t="s">
        <v>6680</v>
      </c>
      <c r="B1982" s="5" t="s">
        <v>16952</v>
      </c>
    </row>
    <row r="1983" ht="15.75" spans="1:2">
      <c r="A1983" s="9" t="s">
        <v>6684</v>
      </c>
      <c r="B1983" s="5" t="s">
        <v>16952</v>
      </c>
    </row>
    <row r="1984" ht="15.75" spans="1:2">
      <c r="A1984" s="9" t="s">
        <v>6688</v>
      </c>
      <c r="B1984" s="5" t="s">
        <v>16952</v>
      </c>
    </row>
    <row r="1985" ht="15.75" spans="1:2">
      <c r="A1985" s="9" t="s">
        <v>6691</v>
      </c>
      <c r="B1985" s="5" t="s">
        <v>16952</v>
      </c>
    </row>
    <row r="1986" ht="15.75" spans="1:2">
      <c r="A1986" s="9" t="s">
        <v>6694</v>
      </c>
      <c r="B1986" s="5" t="s">
        <v>16952</v>
      </c>
    </row>
    <row r="1987" ht="15.75" spans="1:2">
      <c r="A1987" s="9" t="s">
        <v>6697</v>
      </c>
      <c r="B1987" s="5" t="s">
        <v>16952</v>
      </c>
    </row>
    <row r="1988" ht="15.75" spans="1:2">
      <c r="A1988" s="9" t="s">
        <v>6700</v>
      </c>
      <c r="B1988" s="8"/>
    </row>
    <row r="1989" ht="15.75" spans="1:2">
      <c r="A1989" s="9" t="s">
        <v>6701</v>
      </c>
      <c r="B1989" s="5" t="s">
        <v>16952</v>
      </c>
    </row>
    <row r="1990" ht="15.75" spans="1:2">
      <c r="A1990" s="9" t="s">
        <v>6704</v>
      </c>
      <c r="B1990" s="5" t="s">
        <v>16952</v>
      </c>
    </row>
    <row r="1991" ht="15.75" spans="1:2">
      <c r="A1991" s="9" t="s">
        <v>6708</v>
      </c>
      <c r="B1991" s="5" t="s">
        <v>16952</v>
      </c>
    </row>
    <row r="1992" ht="15.75" spans="1:2">
      <c r="A1992" s="9" t="s">
        <v>6712</v>
      </c>
      <c r="B1992" s="5" t="s">
        <v>16952</v>
      </c>
    </row>
    <row r="1993" ht="15.75" spans="1:2">
      <c r="A1993" s="9" t="s">
        <v>6715</v>
      </c>
      <c r="B1993" s="5" t="s">
        <v>16952</v>
      </c>
    </row>
    <row r="1994" ht="15.75" spans="1:2">
      <c r="A1994" s="9" t="s">
        <v>6719</v>
      </c>
      <c r="B1994" s="5" t="s">
        <v>16952</v>
      </c>
    </row>
    <row r="1995" ht="15.75" spans="1:2">
      <c r="A1995" s="9" t="s">
        <v>6722</v>
      </c>
      <c r="B1995" s="5" t="s">
        <v>16952</v>
      </c>
    </row>
    <row r="1996" ht="15.75" spans="1:2">
      <c r="A1996" s="9" t="s">
        <v>6725</v>
      </c>
      <c r="B1996" s="8"/>
    </row>
    <row r="1997" ht="15.75" spans="1:2">
      <c r="A1997" s="9" t="s">
        <v>6726</v>
      </c>
      <c r="B1997" s="5" t="s">
        <v>16952</v>
      </c>
    </row>
    <row r="1998" ht="15.75" spans="1:2">
      <c r="A1998" s="9" t="s">
        <v>6730</v>
      </c>
      <c r="B1998" s="5" t="s">
        <v>16952</v>
      </c>
    </row>
    <row r="1999" ht="15.75" spans="1:2">
      <c r="A1999" s="9" t="s">
        <v>6733</v>
      </c>
      <c r="B1999" s="5" t="s">
        <v>16952</v>
      </c>
    </row>
    <row r="2000" ht="15.75" spans="1:2">
      <c r="A2000" s="9" t="s">
        <v>6736</v>
      </c>
      <c r="B2000" s="5" t="s">
        <v>16952</v>
      </c>
    </row>
    <row r="2001" ht="15.75" spans="1:2">
      <c r="A2001" s="9" t="s">
        <v>6740</v>
      </c>
      <c r="B2001" s="5" t="s">
        <v>16952</v>
      </c>
    </row>
    <row r="2002" ht="15.75" spans="1:2">
      <c r="A2002" s="9" t="s">
        <v>6744</v>
      </c>
      <c r="B2002" s="5" t="s">
        <v>16952</v>
      </c>
    </row>
    <row r="2003" ht="15.75" spans="1:2">
      <c r="A2003" s="9" t="s">
        <v>6747</v>
      </c>
      <c r="B2003" s="5" t="s">
        <v>16952</v>
      </c>
    </row>
    <row r="2004" ht="15.75" spans="1:2">
      <c r="A2004" s="9" t="s">
        <v>6751</v>
      </c>
      <c r="B2004" s="5" t="s">
        <v>16952</v>
      </c>
    </row>
    <row r="2005" ht="15.75" spans="1:2">
      <c r="A2005" s="9" t="s">
        <v>6754</v>
      </c>
      <c r="B2005" s="5" t="s">
        <v>16952</v>
      </c>
    </row>
    <row r="2006" ht="15.75" spans="1:2">
      <c r="A2006" s="9" t="s">
        <v>6759</v>
      </c>
      <c r="B2006" s="5" t="s">
        <v>16952</v>
      </c>
    </row>
    <row r="2007" ht="15.75" spans="1:2">
      <c r="A2007" s="9" t="s">
        <v>6762</v>
      </c>
      <c r="B2007" s="5" t="s">
        <v>16952</v>
      </c>
    </row>
    <row r="2008" ht="15.75" spans="1:2">
      <c r="A2008" s="9" t="s">
        <v>6765</v>
      </c>
      <c r="B2008" s="5" t="s">
        <v>16952</v>
      </c>
    </row>
    <row r="2009" ht="15.75" spans="1:2">
      <c r="A2009" s="9" t="s">
        <v>6769</v>
      </c>
      <c r="B2009" s="5" t="s">
        <v>16952</v>
      </c>
    </row>
    <row r="2010" ht="15.75" spans="1:2">
      <c r="A2010" s="9" t="s">
        <v>6772</v>
      </c>
      <c r="B2010" s="5" t="s">
        <v>16952</v>
      </c>
    </row>
    <row r="2011" ht="15.75" spans="1:2">
      <c r="A2011" s="9" t="s">
        <v>6775</v>
      </c>
      <c r="B2011" s="5" t="s">
        <v>16952</v>
      </c>
    </row>
    <row r="2012" ht="15.75" spans="1:2">
      <c r="A2012" s="9" t="s">
        <v>6779</v>
      </c>
      <c r="B2012" s="10" t="s">
        <v>16952</v>
      </c>
    </row>
    <row r="2013" ht="15.75" spans="1:2">
      <c r="A2013" s="9" t="s">
        <v>6779</v>
      </c>
      <c r="B2013" s="10" t="s">
        <v>16952</v>
      </c>
    </row>
    <row r="2014" ht="15.75" spans="1:2">
      <c r="A2014" s="9" t="s">
        <v>6784</v>
      </c>
      <c r="B2014" s="10" t="s">
        <v>16952</v>
      </c>
    </row>
    <row r="2015" ht="15.75" spans="1:2">
      <c r="A2015" s="9" t="s">
        <v>6784</v>
      </c>
      <c r="B2015" s="10" t="s">
        <v>16952</v>
      </c>
    </row>
    <row r="2016" ht="15.75" spans="1:2">
      <c r="A2016" s="9" t="s">
        <v>6788</v>
      </c>
      <c r="B2016" s="5" t="s">
        <v>16952</v>
      </c>
    </row>
    <row r="2017" ht="15.75" spans="1:2">
      <c r="A2017" s="9" t="s">
        <v>6791</v>
      </c>
      <c r="B2017" s="5" t="s">
        <v>16952</v>
      </c>
    </row>
    <row r="2018" ht="15.75" spans="1:2">
      <c r="A2018" s="9" t="s">
        <v>6795</v>
      </c>
      <c r="B2018" s="5" t="s">
        <v>16952</v>
      </c>
    </row>
    <row r="2019" ht="15.75" spans="1:2">
      <c r="A2019" s="9" t="s">
        <v>6799</v>
      </c>
      <c r="B2019" s="8"/>
    </row>
    <row r="2020" ht="15.75" spans="1:2">
      <c r="A2020" s="9" t="s">
        <v>6800</v>
      </c>
      <c r="B2020" s="5" t="s">
        <v>16952</v>
      </c>
    </row>
    <row r="2021" ht="15.75" spans="1:2">
      <c r="A2021" s="9" t="s">
        <v>6804</v>
      </c>
      <c r="B2021" s="5" t="s">
        <v>16952</v>
      </c>
    </row>
    <row r="2022" ht="15.75" spans="1:2">
      <c r="A2022" s="9" t="s">
        <v>6808</v>
      </c>
      <c r="B2022" s="5" t="s">
        <v>16952</v>
      </c>
    </row>
    <row r="2023" ht="15.75" spans="1:2">
      <c r="A2023" s="9" t="s">
        <v>6813</v>
      </c>
      <c r="B2023" s="5" t="s">
        <v>16952</v>
      </c>
    </row>
    <row r="2024" ht="15.75" spans="1:2">
      <c r="A2024" s="9" t="s">
        <v>6816</v>
      </c>
      <c r="B2024" s="5" t="s">
        <v>16952</v>
      </c>
    </row>
    <row r="2025" ht="15.75" spans="1:2">
      <c r="A2025" s="9" t="s">
        <v>6819</v>
      </c>
      <c r="B2025" s="8"/>
    </row>
    <row r="2026" ht="15.75" spans="1:2">
      <c r="A2026" s="9" t="s">
        <v>6820</v>
      </c>
      <c r="B2026" s="5" t="s">
        <v>16952</v>
      </c>
    </row>
    <row r="2027" ht="15.75" spans="1:2">
      <c r="A2027" s="9" t="s">
        <v>6824</v>
      </c>
      <c r="B2027" s="5" t="s">
        <v>16952</v>
      </c>
    </row>
    <row r="2028" ht="15.75" spans="1:2">
      <c r="A2028" s="9" t="s">
        <v>6828</v>
      </c>
      <c r="B2028" s="5" t="s">
        <v>16952</v>
      </c>
    </row>
    <row r="2029" ht="15.75" spans="1:2">
      <c r="A2029" s="9" t="s">
        <v>6831</v>
      </c>
      <c r="B2029" s="5" t="s">
        <v>16952</v>
      </c>
    </row>
    <row r="2030" ht="15.75" spans="1:2">
      <c r="A2030" s="9" t="s">
        <v>6834</v>
      </c>
      <c r="B2030" s="5" t="s">
        <v>16952</v>
      </c>
    </row>
    <row r="2031" ht="15.75" spans="1:2">
      <c r="A2031" s="9" t="s">
        <v>6837</v>
      </c>
      <c r="B2031" s="5" t="s">
        <v>16952</v>
      </c>
    </row>
    <row r="2032" ht="15.75" spans="1:2">
      <c r="A2032" s="9" t="s">
        <v>6840</v>
      </c>
      <c r="B2032" s="5" t="s">
        <v>16952</v>
      </c>
    </row>
    <row r="2033" ht="15.75" spans="1:2">
      <c r="A2033" s="9" t="s">
        <v>6844</v>
      </c>
      <c r="B2033" s="5" t="s">
        <v>16952</v>
      </c>
    </row>
    <row r="2034" ht="15.75" spans="1:2">
      <c r="A2034" s="9" t="s">
        <v>6847</v>
      </c>
      <c r="B2034" s="5" t="s">
        <v>16952</v>
      </c>
    </row>
    <row r="2035" ht="15.75" spans="1:2">
      <c r="A2035" s="9" t="s">
        <v>6850</v>
      </c>
      <c r="B2035" s="5" t="s">
        <v>16952</v>
      </c>
    </row>
    <row r="2036" ht="15.75" spans="1:2">
      <c r="A2036" s="9" t="s">
        <v>6853</v>
      </c>
      <c r="B2036" s="5" t="s">
        <v>16952</v>
      </c>
    </row>
    <row r="2037" ht="15.75" spans="1:2">
      <c r="A2037" s="9" t="s">
        <v>6856</v>
      </c>
      <c r="B2037" s="5" t="s">
        <v>16952</v>
      </c>
    </row>
    <row r="2038" ht="15.75" spans="1:2">
      <c r="A2038" s="9" t="s">
        <v>6860</v>
      </c>
      <c r="B2038" s="5" t="s">
        <v>16952</v>
      </c>
    </row>
    <row r="2039" ht="15.75" spans="1:2">
      <c r="A2039" s="9" t="s">
        <v>6863</v>
      </c>
      <c r="B2039" s="5" t="s">
        <v>16952</v>
      </c>
    </row>
    <row r="2040" ht="15.75" spans="1:2">
      <c r="A2040" s="9" t="s">
        <v>6866</v>
      </c>
      <c r="B2040" s="5" t="s">
        <v>16952</v>
      </c>
    </row>
    <row r="2041" ht="15.75" spans="1:2">
      <c r="A2041" s="9" t="s">
        <v>6869</v>
      </c>
      <c r="B2041" s="5" t="s">
        <v>16952</v>
      </c>
    </row>
    <row r="2042" ht="15.75" spans="1:2">
      <c r="A2042" s="9" t="s">
        <v>6872</v>
      </c>
      <c r="B2042" s="5" t="s">
        <v>16952</v>
      </c>
    </row>
    <row r="2043" ht="15.75" spans="1:2">
      <c r="A2043" s="9" t="s">
        <v>6876</v>
      </c>
      <c r="B2043" s="5" t="s">
        <v>16952</v>
      </c>
    </row>
    <row r="2044" ht="15.75" spans="1:2">
      <c r="A2044" s="9" t="s">
        <v>6880</v>
      </c>
      <c r="B2044" s="5" t="s">
        <v>16952</v>
      </c>
    </row>
    <row r="2045" ht="15.75" spans="1:2">
      <c r="A2045" s="9" t="s">
        <v>6883</v>
      </c>
      <c r="B2045" s="5" t="s">
        <v>16952</v>
      </c>
    </row>
    <row r="2046" ht="15.75" spans="1:2">
      <c r="A2046" s="9" t="s">
        <v>6886</v>
      </c>
      <c r="B2046" s="5" t="s">
        <v>16952</v>
      </c>
    </row>
    <row r="2047" ht="15.75" spans="1:2">
      <c r="A2047" s="9" t="s">
        <v>6890</v>
      </c>
      <c r="B2047" s="5" t="s">
        <v>16952</v>
      </c>
    </row>
    <row r="2048" ht="15.75" spans="1:2">
      <c r="A2048" s="9" t="s">
        <v>6893</v>
      </c>
      <c r="B2048" s="5" t="s">
        <v>16952</v>
      </c>
    </row>
    <row r="2049" ht="15.75" spans="1:2">
      <c r="A2049" s="9" t="s">
        <v>6898</v>
      </c>
      <c r="B2049" s="5" t="s">
        <v>16952</v>
      </c>
    </row>
    <row r="2050" ht="15.75" spans="1:2">
      <c r="A2050" s="9" t="s">
        <v>6902</v>
      </c>
      <c r="B2050" s="5" t="s">
        <v>16952</v>
      </c>
    </row>
    <row r="2051" ht="15.75" spans="1:2">
      <c r="A2051" s="9" t="s">
        <v>6905</v>
      </c>
      <c r="B2051" s="5" t="s">
        <v>16952</v>
      </c>
    </row>
    <row r="2052" ht="15.75" spans="1:2">
      <c r="A2052" s="9" t="s">
        <v>6909</v>
      </c>
      <c r="B2052" s="5" t="s">
        <v>16952</v>
      </c>
    </row>
    <row r="2053" ht="15.75" spans="1:2">
      <c r="A2053" s="9" t="s">
        <v>6912</v>
      </c>
      <c r="B2053" s="5" t="s">
        <v>16952</v>
      </c>
    </row>
    <row r="2054" ht="15.75" spans="1:2">
      <c r="A2054" s="9" t="s">
        <v>6915</v>
      </c>
      <c r="B2054" s="5" t="s">
        <v>16952</v>
      </c>
    </row>
    <row r="2055" ht="15.75" spans="1:2">
      <c r="A2055" s="9" t="s">
        <v>6918</v>
      </c>
      <c r="B2055" s="5" t="s">
        <v>16952</v>
      </c>
    </row>
    <row r="2056" ht="15.75" spans="1:2">
      <c r="A2056" s="9" t="s">
        <v>6922</v>
      </c>
      <c r="B2056" s="5" t="s">
        <v>16952</v>
      </c>
    </row>
    <row r="2057" ht="15.75" spans="1:2">
      <c r="A2057" s="9" t="s">
        <v>6925</v>
      </c>
      <c r="B2057" s="5" t="s">
        <v>16952</v>
      </c>
    </row>
    <row r="2058" ht="15.75" spans="1:2">
      <c r="A2058" s="9" t="s">
        <v>6928</v>
      </c>
      <c r="B2058" s="5" t="s">
        <v>16952</v>
      </c>
    </row>
    <row r="2059" ht="15.75" spans="1:2">
      <c r="A2059" s="9" t="s">
        <v>6932</v>
      </c>
      <c r="B2059" s="5" t="s">
        <v>16952</v>
      </c>
    </row>
    <row r="2060" ht="15.75" spans="1:2">
      <c r="A2060" s="9" t="s">
        <v>6936</v>
      </c>
      <c r="B2060" s="5" t="s">
        <v>16952</v>
      </c>
    </row>
    <row r="2061" ht="15.75" spans="1:2">
      <c r="A2061" s="9" t="s">
        <v>6939</v>
      </c>
      <c r="B2061" s="5" t="s">
        <v>16952</v>
      </c>
    </row>
    <row r="2062" ht="15.75" spans="1:2">
      <c r="A2062" s="9" t="s">
        <v>6942</v>
      </c>
      <c r="B2062" s="5" t="s">
        <v>16952</v>
      </c>
    </row>
    <row r="2063" ht="15.75" spans="1:2">
      <c r="A2063" s="9" t="s">
        <v>6945</v>
      </c>
      <c r="B2063" s="5" t="s">
        <v>16952</v>
      </c>
    </row>
    <row r="2064" ht="15.75" spans="1:2">
      <c r="A2064" s="9" t="s">
        <v>6949</v>
      </c>
      <c r="B2064" s="5" t="s">
        <v>16952</v>
      </c>
    </row>
    <row r="2065" ht="15.75" spans="1:2">
      <c r="A2065" s="9" t="s">
        <v>6952</v>
      </c>
      <c r="B2065" s="5" t="s">
        <v>16952</v>
      </c>
    </row>
    <row r="2066" ht="15.75" spans="1:2">
      <c r="A2066" s="9" t="s">
        <v>6955</v>
      </c>
      <c r="B2066" s="5" t="s">
        <v>16952</v>
      </c>
    </row>
    <row r="2067" ht="15.75" spans="1:2">
      <c r="A2067" s="9" t="s">
        <v>6958</v>
      </c>
      <c r="B2067" s="5" t="s">
        <v>16952</v>
      </c>
    </row>
    <row r="2068" ht="15.75" spans="1:2">
      <c r="A2068" s="9" t="s">
        <v>6961</v>
      </c>
      <c r="B2068" s="5" t="s">
        <v>16952</v>
      </c>
    </row>
    <row r="2069" ht="15.75" spans="1:2">
      <c r="A2069" s="9" t="s">
        <v>6964</v>
      </c>
      <c r="B2069" s="5" t="s">
        <v>16952</v>
      </c>
    </row>
    <row r="2070" ht="15.75" spans="1:2">
      <c r="A2070" s="9" t="s">
        <v>6967</v>
      </c>
      <c r="B2070" s="5" t="s">
        <v>16952</v>
      </c>
    </row>
    <row r="2071" ht="15.75" spans="1:2">
      <c r="A2071" s="9" t="s">
        <v>6970</v>
      </c>
      <c r="B2071" s="5" t="s">
        <v>16952</v>
      </c>
    </row>
    <row r="2072" ht="15.75" spans="1:2">
      <c r="A2072" s="9" t="s">
        <v>6973</v>
      </c>
      <c r="B2072" s="5" t="s">
        <v>16952</v>
      </c>
    </row>
    <row r="2073" ht="15.75" spans="1:2">
      <c r="A2073" s="9" t="s">
        <v>6976</v>
      </c>
      <c r="B2073" s="5" t="s">
        <v>16952</v>
      </c>
    </row>
    <row r="2074" ht="15.75" spans="1:2">
      <c r="A2074" s="9" t="s">
        <v>6979</v>
      </c>
      <c r="B2074" s="5" t="s">
        <v>16952</v>
      </c>
    </row>
    <row r="2075" ht="15.75" spans="1:2">
      <c r="A2075" s="9" t="s">
        <v>6983</v>
      </c>
      <c r="B2075" s="5" t="s">
        <v>16952</v>
      </c>
    </row>
    <row r="2076" ht="15.75" spans="1:2">
      <c r="A2076" s="9" t="s">
        <v>6986</v>
      </c>
      <c r="B2076" s="5" t="s">
        <v>16952</v>
      </c>
    </row>
    <row r="2077" ht="15.75" spans="1:2">
      <c r="A2077" s="9" t="s">
        <v>6989</v>
      </c>
      <c r="B2077" s="5" t="s">
        <v>16952</v>
      </c>
    </row>
    <row r="2078" ht="15.75" spans="1:2">
      <c r="A2078" s="9" t="s">
        <v>6992</v>
      </c>
      <c r="B2078" s="5" t="s">
        <v>16952</v>
      </c>
    </row>
    <row r="2079" ht="15.75" spans="1:2">
      <c r="A2079" s="9" t="s">
        <v>6995</v>
      </c>
      <c r="B2079" s="5" t="s">
        <v>16952</v>
      </c>
    </row>
    <row r="2080" ht="15.75" spans="1:2">
      <c r="A2080" s="9" t="s">
        <v>6999</v>
      </c>
      <c r="B2080" s="5"/>
    </row>
    <row r="2081" ht="15.75" spans="1:2">
      <c r="A2081" s="9" t="s">
        <v>7003</v>
      </c>
      <c r="B2081" s="5" t="s">
        <v>16952</v>
      </c>
    </row>
    <row r="2082" ht="15.75" spans="1:2">
      <c r="A2082" s="9" t="s">
        <v>7006</v>
      </c>
      <c r="B2082" s="5" t="s">
        <v>16952</v>
      </c>
    </row>
    <row r="2083" ht="15.75" spans="1:2">
      <c r="A2083" s="9" t="s">
        <v>7009</v>
      </c>
      <c r="B2083" s="5" t="s">
        <v>16952</v>
      </c>
    </row>
    <row r="2084" ht="15.75" spans="1:2">
      <c r="A2084" s="9" t="s">
        <v>7013</v>
      </c>
      <c r="B2084" s="5" t="s">
        <v>16952</v>
      </c>
    </row>
    <row r="2085" ht="15.75" spans="1:2">
      <c r="A2085" s="9" t="s">
        <v>7016</v>
      </c>
      <c r="B2085" s="5" t="s">
        <v>16952</v>
      </c>
    </row>
    <row r="2086" ht="15.75" spans="1:2">
      <c r="A2086" s="9" t="s">
        <v>7019</v>
      </c>
      <c r="B2086" s="5" t="s">
        <v>16952</v>
      </c>
    </row>
    <row r="2087" ht="15.75" spans="1:2">
      <c r="A2087" s="9" t="s">
        <v>7022</v>
      </c>
      <c r="B2087" s="5" t="s">
        <v>16952</v>
      </c>
    </row>
    <row r="2088" ht="15.75" spans="1:2">
      <c r="A2088" s="9" t="s">
        <v>7026</v>
      </c>
      <c r="B2088" s="5" t="s">
        <v>16952</v>
      </c>
    </row>
    <row r="2089" ht="15.75" spans="1:2">
      <c r="A2089" s="9" t="s">
        <v>7029</v>
      </c>
      <c r="B2089" s="5" t="s">
        <v>16952</v>
      </c>
    </row>
    <row r="2090" ht="15.75" spans="1:2">
      <c r="A2090" s="9" t="s">
        <v>7033</v>
      </c>
      <c r="B2090" s="5" t="s">
        <v>16952</v>
      </c>
    </row>
    <row r="2091" ht="15.75" spans="1:2">
      <c r="A2091" s="9" t="s">
        <v>7036</v>
      </c>
      <c r="B2091" s="5" t="s">
        <v>16952</v>
      </c>
    </row>
    <row r="2092" ht="15.75" spans="1:2">
      <c r="A2092" s="9" t="s">
        <v>7039</v>
      </c>
      <c r="B2092" s="5" t="s">
        <v>16952</v>
      </c>
    </row>
    <row r="2093" ht="15.75" spans="1:2">
      <c r="A2093" s="9" t="s">
        <v>7042</v>
      </c>
      <c r="B2093" s="12"/>
    </row>
    <row r="2094" ht="15.75" spans="1:2">
      <c r="A2094" s="9" t="s">
        <v>7042</v>
      </c>
      <c r="B2094" s="12"/>
    </row>
    <row r="2095" ht="15.75" spans="1:2">
      <c r="A2095" s="9" t="s">
        <v>7042</v>
      </c>
      <c r="B2095" s="14"/>
    </row>
    <row r="2096" ht="15.75" spans="1:2">
      <c r="A2096" s="9" t="s">
        <v>7042</v>
      </c>
      <c r="B2096" s="14"/>
    </row>
    <row r="2097" ht="15.75" spans="1:2">
      <c r="A2097" s="9" t="s">
        <v>7047</v>
      </c>
      <c r="B2097" s="5" t="s">
        <v>16952</v>
      </c>
    </row>
    <row r="2098" ht="15.75" spans="1:2">
      <c r="A2098" s="9" t="s">
        <v>7051</v>
      </c>
      <c r="B2098" s="5" t="s">
        <v>16952</v>
      </c>
    </row>
    <row r="2099" ht="15.75" spans="1:2">
      <c r="A2099" s="9" t="s">
        <v>7054</v>
      </c>
      <c r="B2099" s="5" t="s">
        <v>16952</v>
      </c>
    </row>
    <row r="2100" ht="15.75" spans="1:2">
      <c r="A2100" s="9" t="s">
        <v>7057</v>
      </c>
      <c r="B2100" s="5" t="s">
        <v>16952</v>
      </c>
    </row>
    <row r="2101" ht="15.75" spans="1:2">
      <c r="A2101" s="9" t="s">
        <v>7060</v>
      </c>
      <c r="B2101" s="5" t="s">
        <v>16952</v>
      </c>
    </row>
    <row r="2102" ht="15.75" spans="1:2">
      <c r="A2102" s="9" t="s">
        <v>7064</v>
      </c>
      <c r="B2102" s="5" t="s">
        <v>16952</v>
      </c>
    </row>
    <row r="2103" ht="15.75" spans="1:2">
      <c r="A2103" s="9" t="s">
        <v>7068</v>
      </c>
      <c r="B2103" s="5" t="s">
        <v>16952</v>
      </c>
    </row>
    <row r="2104" ht="15.75" spans="1:2">
      <c r="A2104" s="9" t="s">
        <v>7072</v>
      </c>
      <c r="B2104" s="5" t="s">
        <v>16952</v>
      </c>
    </row>
    <row r="2105" ht="15.75" spans="1:2">
      <c r="A2105" s="9" t="s">
        <v>7075</v>
      </c>
      <c r="B2105" s="5" t="s">
        <v>16952</v>
      </c>
    </row>
    <row r="2106" ht="15.75" spans="1:2">
      <c r="A2106" s="9" t="s">
        <v>7079</v>
      </c>
      <c r="B2106" s="5" t="s">
        <v>16952</v>
      </c>
    </row>
    <row r="2107" ht="15.75" spans="1:2">
      <c r="A2107" s="9" t="s">
        <v>7083</v>
      </c>
      <c r="B2107" s="5" t="s">
        <v>16952</v>
      </c>
    </row>
    <row r="2108" ht="15.75" spans="1:2">
      <c r="A2108" s="9" t="s">
        <v>7086</v>
      </c>
      <c r="B2108" s="5" t="s">
        <v>16952</v>
      </c>
    </row>
    <row r="2109" ht="15.75" spans="1:2">
      <c r="A2109" s="9" t="s">
        <v>7090</v>
      </c>
      <c r="B2109" s="5" t="s">
        <v>16952</v>
      </c>
    </row>
    <row r="2110" ht="15.75" spans="1:2">
      <c r="A2110" s="9" t="s">
        <v>7094</v>
      </c>
      <c r="B2110" s="5" t="s">
        <v>16952</v>
      </c>
    </row>
    <row r="2111" ht="15.75" spans="1:2">
      <c r="A2111" s="9" t="s">
        <v>7097</v>
      </c>
      <c r="B2111" s="5" t="s">
        <v>16952</v>
      </c>
    </row>
    <row r="2112" ht="15.75" spans="1:2">
      <c r="A2112" s="9" t="s">
        <v>7101</v>
      </c>
      <c r="B2112" s="5"/>
    </row>
    <row r="2113" ht="15.75" spans="1:2">
      <c r="A2113" s="9" t="s">
        <v>7106</v>
      </c>
      <c r="B2113" s="5" t="s">
        <v>16952</v>
      </c>
    </row>
    <row r="2114" ht="15.75" spans="1:2">
      <c r="A2114" s="9" t="s">
        <v>7109</v>
      </c>
      <c r="B2114" s="5" t="s">
        <v>16952</v>
      </c>
    </row>
    <row r="2115" ht="31.5" spans="1:2">
      <c r="A2115" s="9" t="s">
        <v>7112</v>
      </c>
      <c r="B2115" s="12" t="s">
        <v>16974</v>
      </c>
    </row>
    <row r="2116" ht="31.5" spans="1:2">
      <c r="A2116" s="9" t="s">
        <v>7112</v>
      </c>
      <c r="B2116" s="12" t="s">
        <v>16974</v>
      </c>
    </row>
    <row r="2117" ht="15.75" spans="1:2">
      <c r="A2117" s="9" t="s">
        <v>7113</v>
      </c>
      <c r="B2117" s="5" t="s">
        <v>16952</v>
      </c>
    </row>
    <row r="2118" ht="15.75" spans="1:2">
      <c r="A2118" s="9" t="s">
        <v>7117</v>
      </c>
      <c r="B2118" s="5" t="s">
        <v>16952</v>
      </c>
    </row>
    <row r="2119" ht="15.75" spans="1:2">
      <c r="A2119" s="9" t="s">
        <v>7121</v>
      </c>
      <c r="B2119" s="5" t="s">
        <v>16952</v>
      </c>
    </row>
    <row r="2120" ht="31.5" spans="1:2">
      <c r="A2120" s="9" t="s">
        <v>7124</v>
      </c>
      <c r="B2120" s="8" t="s">
        <v>16975</v>
      </c>
    </row>
    <row r="2121" ht="15.75" spans="1:2">
      <c r="A2121" s="9" t="s">
        <v>7125</v>
      </c>
      <c r="B2121" s="5" t="s">
        <v>16952</v>
      </c>
    </row>
    <row r="2122" ht="15.75" spans="1:2">
      <c r="A2122" s="9" t="s">
        <v>7129</v>
      </c>
      <c r="B2122" s="5" t="s">
        <v>16952</v>
      </c>
    </row>
    <row r="2123" ht="15.75" spans="1:2">
      <c r="A2123" s="9" t="s">
        <v>7134</v>
      </c>
      <c r="B2123" s="5" t="s">
        <v>16952</v>
      </c>
    </row>
    <row r="2124" ht="15.75" spans="1:2">
      <c r="A2124" s="9" t="s">
        <v>7138</v>
      </c>
      <c r="B2124" s="5" t="s">
        <v>16952</v>
      </c>
    </row>
    <row r="2125" ht="15.75" spans="1:2">
      <c r="A2125" s="9" t="s">
        <v>7141</v>
      </c>
      <c r="B2125" s="5" t="s">
        <v>16952</v>
      </c>
    </row>
    <row r="2126" ht="15.75" spans="1:2">
      <c r="A2126" s="9" t="s">
        <v>7144</v>
      </c>
      <c r="B2126" s="5" t="s">
        <v>16952</v>
      </c>
    </row>
    <row r="2127" ht="15.75" spans="1:2">
      <c r="A2127" s="9" t="s">
        <v>7149</v>
      </c>
      <c r="B2127" s="5" t="s">
        <v>16952</v>
      </c>
    </row>
    <row r="2128" ht="15.75" spans="1:2">
      <c r="A2128" s="9" t="s">
        <v>7154</v>
      </c>
      <c r="B2128" s="5" t="s">
        <v>16952</v>
      </c>
    </row>
    <row r="2129" ht="15.75" spans="1:2">
      <c r="A2129" s="9" t="s">
        <v>7157</v>
      </c>
      <c r="B2129" s="5" t="s">
        <v>16952</v>
      </c>
    </row>
    <row r="2130" ht="15.75" spans="1:2">
      <c r="A2130" s="9" t="s">
        <v>7160</v>
      </c>
      <c r="B2130" s="5" t="s">
        <v>16952</v>
      </c>
    </row>
    <row r="2131" ht="15.75" spans="1:2">
      <c r="A2131" s="9" t="s">
        <v>7163</v>
      </c>
      <c r="B2131" s="5" t="s">
        <v>16952</v>
      </c>
    </row>
    <row r="2132" ht="15.75" spans="1:2">
      <c r="A2132" s="9" t="s">
        <v>7167</v>
      </c>
      <c r="B2132" s="5" t="s">
        <v>16952</v>
      </c>
    </row>
    <row r="2133" ht="15.75" spans="1:2">
      <c r="A2133" s="9" t="s">
        <v>7170</v>
      </c>
      <c r="B2133" s="5" t="s">
        <v>16952</v>
      </c>
    </row>
    <row r="2134" ht="15.75" spans="1:2">
      <c r="A2134" s="9" t="s">
        <v>7173</v>
      </c>
      <c r="B2134" s="5" t="s">
        <v>16952</v>
      </c>
    </row>
    <row r="2135" ht="15.75" spans="1:2">
      <c r="A2135" s="9" t="s">
        <v>7176</v>
      </c>
      <c r="B2135" s="5" t="s">
        <v>16952</v>
      </c>
    </row>
    <row r="2136" ht="15.75" spans="1:2">
      <c r="A2136" s="9" t="s">
        <v>7181</v>
      </c>
      <c r="B2136" s="5" t="s">
        <v>16952</v>
      </c>
    </row>
    <row r="2137" ht="15.75" spans="1:2">
      <c r="A2137" s="9" t="s">
        <v>7184</v>
      </c>
      <c r="B2137" s="12"/>
    </row>
    <row r="2138" ht="15.75" spans="1:2">
      <c r="A2138" s="9" t="s">
        <v>7184</v>
      </c>
      <c r="B2138" s="12"/>
    </row>
    <row r="2139" ht="15.75" spans="1:2">
      <c r="A2139" s="9" t="s">
        <v>7185</v>
      </c>
      <c r="B2139" s="5" t="s">
        <v>16952</v>
      </c>
    </row>
    <row r="2140" ht="15.75" spans="1:2">
      <c r="A2140" s="9" t="s">
        <v>7190</v>
      </c>
      <c r="B2140" s="5" t="s">
        <v>16952</v>
      </c>
    </row>
    <row r="2141" ht="15.75" spans="1:2">
      <c r="A2141" s="9" t="s">
        <v>7193</v>
      </c>
      <c r="B2141" s="5" t="s">
        <v>16952</v>
      </c>
    </row>
    <row r="2142" ht="15.75" spans="1:2">
      <c r="A2142" s="9" t="s">
        <v>7197</v>
      </c>
      <c r="B2142" s="5" t="s">
        <v>16952</v>
      </c>
    </row>
    <row r="2143" ht="15.75" spans="1:2">
      <c r="A2143" s="9" t="s">
        <v>7200</v>
      </c>
      <c r="B2143" s="8"/>
    </row>
    <row r="2144" ht="15.75" spans="1:2">
      <c r="A2144" s="9" t="s">
        <v>7203</v>
      </c>
      <c r="B2144" s="13"/>
    </row>
    <row r="2145" ht="15.75" spans="1:2">
      <c r="A2145" s="9" t="s">
        <v>7206</v>
      </c>
      <c r="B2145" s="5" t="s">
        <v>16952</v>
      </c>
    </row>
    <row r="2146" ht="15.75" spans="1:2">
      <c r="A2146" s="9" t="s">
        <v>7209</v>
      </c>
      <c r="B2146" s="16"/>
    </row>
    <row r="2147" ht="15.75" spans="1:2">
      <c r="A2147" s="9" t="s">
        <v>7210</v>
      </c>
      <c r="B2147" s="5" t="s">
        <v>16952</v>
      </c>
    </row>
    <row r="2148" ht="15.75" spans="1:2">
      <c r="A2148" s="9" t="s">
        <v>7214</v>
      </c>
      <c r="B2148" s="5" t="s">
        <v>16952</v>
      </c>
    </row>
    <row r="2149" ht="15.75" spans="1:2">
      <c r="A2149" s="9" t="s">
        <v>7219</v>
      </c>
      <c r="B2149" s="8"/>
    </row>
    <row r="2150" ht="15.75" spans="1:2">
      <c r="A2150" s="9" t="s">
        <v>7220</v>
      </c>
      <c r="B2150" s="5" t="s">
        <v>16952</v>
      </c>
    </row>
    <row r="2151" ht="15.75" spans="1:2">
      <c r="A2151" s="9" t="s">
        <v>7223</v>
      </c>
      <c r="B2151" s="5" t="s">
        <v>16952</v>
      </c>
    </row>
    <row r="2152" ht="15.75" spans="1:2">
      <c r="A2152" s="9" t="s">
        <v>7227</v>
      </c>
      <c r="B2152" s="5" t="s">
        <v>16952</v>
      </c>
    </row>
    <row r="2153" ht="15.75" spans="1:2">
      <c r="A2153" s="9" t="s">
        <v>7230</v>
      </c>
      <c r="B2153" s="5" t="s">
        <v>16952</v>
      </c>
    </row>
    <row r="2154" ht="15.75" spans="1:2">
      <c r="A2154" s="9" t="s">
        <v>7233</v>
      </c>
      <c r="B2154" s="5" t="s">
        <v>16952</v>
      </c>
    </row>
    <row r="2155" ht="15.75" spans="1:2">
      <c r="A2155" s="9" t="s">
        <v>7237</v>
      </c>
      <c r="B2155" s="5" t="s">
        <v>16952</v>
      </c>
    </row>
    <row r="2156" ht="15.75" spans="1:2">
      <c r="A2156" s="9" t="s">
        <v>7242</v>
      </c>
      <c r="B2156" s="5" t="s">
        <v>16952</v>
      </c>
    </row>
    <row r="2157" ht="15.75" spans="1:2">
      <c r="A2157" s="9" t="s">
        <v>7247</v>
      </c>
      <c r="B2157" s="5" t="s">
        <v>16952</v>
      </c>
    </row>
    <row r="2158" ht="15.75" spans="1:2">
      <c r="A2158" s="9" t="s">
        <v>7250</v>
      </c>
      <c r="B2158" s="5" t="s">
        <v>16952</v>
      </c>
    </row>
    <row r="2159" ht="15.75" spans="1:2">
      <c r="A2159" s="9" t="s">
        <v>7253</v>
      </c>
      <c r="B2159" s="5" t="s">
        <v>16952</v>
      </c>
    </row>
    <row r="2160" ht="15.75" spans="1:2">
      <c r="A2160" s="9" t="s">
        <v>7256</v>
      </c>
      <c r="B2160" s="5" t="s">
        <v>16952</v>
      </c>
    </row>
    <row r="2161" ht="15.75" spans="1:2">
      <c r="A2161" s="9" t="s">
        <v>7259</v>
      </c>
      <c r="B2161" s="5" t="s">
        <v>16952</v>
      </c>
    </row>
    <row r="2162" ht="15.75" spans="1:2">
      <c r="A2162" s="9" t="s">
        <v>7262</v>
      </c>
      <c r="B2162" s="5" t="s">
        <v>16952</v>
      </c>
    </row>
    <row r="2163" ht="15.75" spans="1:2">
      <c r="A2163" s="9" t="s">
        <v>7266</v>
      </c>
      <c r="B2163" s="5" t="s">
        <v>16952</v>
      </c>
    </row>
    <row r="2164" ht="15.75" spans="1:2">
      <c r="A2164" s="9" t="s">
        <v>7270</v>
      </c>
      <c r="B2164" s="5" t="s">
        <v>16952</v>
      </c>
    </row>
    <row r="2165" ht="15.75" spans="1:2">
      <c r="A2165" s="9" t="s">
        <v>7273</v>
      </c>
      <c r="B2165" s="5" t="s">
        <v>16952</v>
      </c>
    </row>
    <row r="2166" ht="15.75" spans="1:2">
      <c r="A2166" s="9" t="s">
        <v>7276</v>
      </c>
      <c r="B2166" s="5" t="s">
        <v>16952</v>
      </c>
    </row>
    <row r="2167" ht="15.75" spans="1:2">
      <c r="A2167" s="9" t="s">
        <v>7279</v>
      </c>
      <c r="B2167" s="5" t="s">
        <v>16952</v>
      </c>
    </row>
    <row r="2168" ht="15.75" spans="1:2">
      <c r="A2168" s="9" t="s">
        <v>7282</v>
      </c>
      <c r="B2168" s="5" t="s">
        <v>16952</v>
      </c>
    </row>
    <row r="2169" ht="15.75" spans="1:2">
      <c r="A2169" s="9" t="s">
        <v>7286</v>
      </c>
      <c r="B2169" s="8"/>
    </row>
    <row r="2170" ht="15.75" spans="1:2">
      <c r="A2170" s="9" t="s">
        <v>7289</v>
      </c>
      <c r="B2170" s="5" t="s">
        <v>16952</v>
      </c>
    </row>
    <row r="2171" ht="15.75" spans="1:2">
      <c r="A2171" s="9" t="s">
        <v>7294</v>
      </c>
      <c r="B2171" s="5" t="s">
        <v>16952</v>
      </c>
    </row>
    <row r="2172" ht="15.75" spans="1:2">
      <c r="A2172" s="9" t="s">
        <v>7297</v>
      </c>
      <c r="B2172" s="5" t="s">
        <v>16952</v>
      </c>
    </row>
    <row r="2173" ht="15.75" spans="1:2">
      <c r="A2173" s="9" t="s">
        <v>7301</v>
      </c>
      <c r="B2173" s="5" t="s">
        <v>16952</v>
      </c>
    </row>
    <row r="2174" ht="15.75" spans="1:2">
      <c r="A2174" s="9" t="s">
        <v>7304</v>
      </c>
      <c r="B2174" s="5" t="s">
        <v>16952</v>
      </c>
    </row>
    <row r="2175" ht="15.75" spans="1:2">
      <c r="A2175" s="9" t="s">
        <v>7307</v>
      </c>
      <c r="B2175" s="5" t="s">
        <v>16952</v>
      </c>
    </row>
    <row r="2176" ht="15.75" spans="1:2">
      <c r="A2176" s="9" t="s">
        <v>7311</v>
      </c>
      <c r="B2176" s="5" t="s">
        <v>16952</v>
      </c>
    </row>
    <row r="2177" ht="15.75" spans="1:2">
      <c r="A2177" s="9" t="s">
        <v>7314</v>
      </c>
      <c r="B2177" s="5" t="s">
        <v>16952</v>
      </c>
    </row>
    <row r="2178" ht="15.75" spans="1:2">
      <c r="A2178" s="9" t="s">
        <v>7317</v>
      </c>
      <c r="B2178" s="5" t="s">
        <v>16952</v>
      </c>
    </row>
    <row r="2179" ht="15.75" spans="1:2">
      <c r="A2179" s="9" t="s">
        <v>7320</v>
      </c>
      <c r="B2179" s="5" t="s">
        <v>16952</v>
      </c>
    </row>
    <row r="2180" ht="15.75" spans="1:2">
      <c r="A2180" s="9" t="s">
        <v>7323</v>
      </c>
      <c r="B2180" s="5" t="s">
        <v>16952</v>
      </c>
    </row>
    <row r="2181" ht="15.75" spans="1:2">
      <c r="A2181" s="9" t="s">
        <v>7326</v>
      </c>
      <c r="B2181" s="5" t="s">
        <v>16952</v>
      </c>
    </row>
    <row r="2182" ht="15.75" spans="1:2">
      <c r="A2182" s="9" t="s">
        <v>7331</v>
      </c>
      <c r="B2182" s="5" t="s">
        <v>16952</v>
      </c>
    </row>
    <row r="2183" ht="15.75" spans="1:2">
      <c r="A2183" s="9" t="s">
        <v>7334</v>
      </c>
      <c r="B2183" s="5" t="s">
        <v>16952</v>
      </c>
    </row>
    <row r="2184" ht="15.75" spans="1:2">
      <c r="A2184" s="9" t="s">
        <v>7337</v>
      </c>
      <c r="B2184" s="5" t="s">
        <v>16952</v>
      </c>
    </row>
    <row r="2185" ht="15.75" spans="1:2">
      <c r="A2185" s="9" t="s">
        <v>7340</v>
      </c>
      <c r="B2185" s="5" t="s">
        <v>16952</v>
      </c>
    </row>
    <row r="2186" ht="15.75" spans="1:2">
      <c r="A2186" s="9" t="s">
        <v>7343</v>
      </c>
      <c r="B2186" s="5" t="s">
        <v>16952</v>
      </c>
    </row>
    <row r="2187" ht="15.75" spans="1:2">
      <c r="A2187" s="9" t="s">
        <v>7347</v>
      </c>
      <c r="B2187" s="5" t="s">
        <v>16952</v>
      </c>
    </row>
    <row r="2188" ht="15.75" spans="1:2">
      <c r="A2188" s="9" t="s">
        <v>7350</v>
      </c>
      <c r="B2188" s="5" t="s">
        <v>16952</v>
      </c>
    </row>
    <row r="2189" ht="15.75" spans="1:2">
      <c r="A2189" s="9" t="s">
        <v>7354</v>
      </c>
      <c r="B2189" s="5" t="s">
        <v>16952</v>
      </c>
    </row>
    <row r="2190" ht="15.75" spans="1:2">
      <c r="A2190" s="9" t="s">
        <v>7357</v>
      </c>
      <c r="B2190" s="5" t="s">
        <v>16952</v>
      </c>
    </row>
    <row r="2191" ht="15.75" spans="1:2">
      <c r="A2191" s="9" t="s">
        <v>7360</v>
      </c>
      <c r="B2191" s="5" t="s">
        <v>16952</v>
      </c>
    </row>
    <row r="2192" ht="15.75" spans="1:2">
      <c r="A2192" s="9" t="s">
        <v>7364</v>
      </c>
      <c r="B2192" s="5" t="s">
        <v>16952</v>
      </c>
    </row>
    <row r="2193" ht="15.75" spans="1:2">
      <c r="A2193" s="9" t="s">
        <v>7368</v>
      </c>
      <c r="B2193" s="5" t="s">
        <v>16952</v>
      </c>
    </row>
    <row r="2194" ht="15.75" spans="1:2">
      <c r="A2194" s="9" t="s">
        <v>7372</v>
      </c>
      <c r="B2194" s="5" t="s">
        <v>16952</v>
      </c>
    </row>
    <row r="2195" ht="15.75" spans="1:2">
      <c r="A2195" s="9" t="s">
        <v>7375</v>
      </c>
      <c r="B2195" s="5" t="s">
        <v>16952</v>
      </c>
    </row>
    <row r="2196" ht="15.75" spans="1:2">
      <c r="A2196" s="9" t="s">
        <v>7378</v>
      </c>
      <c r="B2196" s="5" t="s">
        <v>16952</v>
      </c>
    </row>
    <row r="2197" ht="15.75" spans="1:2">
      <c r="A2197" s="9" t="s">
        <v>7381</v>
      </c>
      <c r="B2197" s="5" t="s">
        <v>16952</v>
      </c>
    </row>
    <row r="2198" ht="15.75" spans="1:2">
      <c r="A2198" s="9" t="s">
        <v>7384</v>
      </c>
      <c r="B2198" s="5" t="s">
        <v>16952</v>
      </c>
    </row>
    <row r="2199" ht="15.75" spans="1:2">
      <c r="A2199" s="9" t="s">
        <v>7387</v>
      </c>
      <c r="B2199" s="5" t="s">
        <v>16952</v>
      </c>
    </row>
    <row r="2200" ht="15.75" spans="1:2">
      <c r="A2200" s="9" t="s">
        <v>7390</v>
      </c>
      <c r="B2200" s="5" t="s">
        <v>16952</v>
      </c>
    </row>
    <row r="2201" ht="15.75" spans="1:2">
      <c r="A2201" s="9" t="s">
        <v>7394</v>
      </c>
      <c r="B2201" s="5" t="s">
        <v>16952</v>
      </c>
    </row>
    <row r="2202" ht="15.75" spans="1:2">
      <c r="A2202" s="9" t="s">
        <v>7397</v>
      </c>
      <c r="B2202" s="5" t="s">
        <v>16952</v>
      </c>
    </row>
    <row r="2203" ht="15.75" spans="1:2">
      <c r="A2203" s="9" t="s">
        <v>7401</v>
      </c>
      <c r="B2203" s="5" t="s">
        <v>16952</v>
      </c>
    </row>
    <row r="2204" ht="15.75" spans="1:2">
      <c r="A2204" s="9" t="s">
        <v>7404</v>
      </c>
      <c r="B2204" s="5" t="s">
        <v>16952</v>
      </c>
    </row>
    <row r="2205" ht="15.75" spans="1:2">
      <c r="A2205" s="9" t="s">
        <v>7407</v>
      </c>
      <c r="B2205" s="5" t="s">
        <v>16952</v>
      </c>
    </row>
    <row r="2206" ht="15.75" spans="1:2">
      <c r="A2206" s="9" t="s">
        <v>7410</v>
      </c>
      <c r="B2206" s="5" t="s">
        <v>16952</v>
      </c>
    </row>
    <row r="2207" ht="15.75" spans="1:2">
      <c r="A2207" s="9" t="s">
        <v>7413</v>
      </c>
      <c r="B2207" s="8" t="s">
        <v>16976</v>
      </c>
    </row>
    <row r="2208" ht="15.75" spans="1:2">
      <c r="A2208" s="9" t="s">
        <v>7414</v>
      </c>
      <c r="B2208" s="5" t="s">
        <v>16952</v>
      </c>
    </row>
    <row r="2209" ht="15.75" spans="1:2">
      <c r="A2209" s="9" t="s">
        <v>7417</v>
      </c>
      <c r="B2209" s="5" t="s">
        <v>16952</v>
      </c>
    </row>
    <row r="2210" ht="15.75" spans="1:2">
      <c r="A2210" s="9" t="s">
        <v>7420</v>
      </c>
      <c r="B2210" s="5" t="s">
        <v>16952</v>
      </c>
    </row>
    <row r="2211" ht="15.75" spans="1:2">
      <c r="A2211" s="9" t="s">
        <v>7423</v>
      </c>
      <c r="B2211" s="5" t="s">
        <v>16952</v>
      </c>
    </row>
    <row r="2212" ht="15.75" spans="1:2">
      <c r="A2212" s="9" t="s">
        <v>7427</v>
      </c>
      <c r="B2212" s="5" t="s">
        <v>16952</v>
      </c>
    </row>
    <row r="2213" ht="15.75" spans="1:2">
      <c r="A2213" s="9" t="s">
        <v>7431</v>
      </c>
      <c r="B2213" s="5" t="s">
        <v>16952</v>
      </c>
    </row>
    <row r="2214" ht="15.75" spans="1:2">
      <c r="A2214" s="9" t="s">
        <v>7433</v>
      </c>
      <c r="B2214" s="5" t="s">
        <v>16952</v>
      </c>
    </row>
    <row r="2215" ht="15.75" spans="1:2">
      <c r="A2215" s="9" t="s">
        <v>7436</v>
      </c>
      <c r="B2215" s="5" t="s">
        <v>16952</v>
      </c>
    </row>
    <row r="2216" ht="15.75" spans="1:2">
      <c r="A2216" s="9" t="s">
        <v>7440</v>
      </c>
      <c r="B2216" s="5" t="s">
        <v>16952</v>
      </c>
    </row>
    <row r="2217" ht="15.75" spans="1:2">
      <c r="A2217" s="9" t="s">
        <v>7443</v>
      </c>
      <c r="B2217" s="5" t="s">
        <v>16952</v>
      </c>
    </row>
    <row r="2218" ht="15.75" spans="1:2">
      <c r="A2218" s="9" t="s">
        <v>7447</v>
      </c>
      <c r="B2218" s="5" t="s">
        <v>16952</v>
      </c>
    </row>
    <row r="2219" ht="15.75" spans="1:2">
      <c r="A2219" s="9" t="s">
        <v>7450</v>
      </c>
      <c r="B2219" s="5" t="s">
        <v>16952</v>
      </c>
    </row>
    <row r="2220" ht="15.75" spans="1:2">
      <c r="A2220" s="9" t="s">
        <v>7453</v>
      </c>
      <c r="B2220" s="5" t="s">
        <v>16952</v>
      </c>
    </row>
    <row r="2221" ht="15.75" spans="1:2">
      <c r="A2221" s="9" t="s">
        <v>7456</v>
      </c>
      <c r="B2221" s="5" t="s">
        <v>16952</v>
      </c>
    </row>
    <row r="2222" ht="15.75" spans="1:2">
      <c r="A2222" s="9" t="s">
        <v>7459</v>
      </c>
      <c r="B2222" s="5" t="s">
        <v>16952</v>
      </c>
    </row>
    <row r="2223" ht="15.75" spans="1:2">
      <c r="A2223" s="9" t="s">
        <v>7462</v>
      </c>
      <c r="B2223" s="5" t="s">
        <v>16952</v>
      </c>
    </row>
    <row r="2224" ht="15.75" spans="1:2">
      <c r="A2224" s="9" t="s">
        <v>7466</v>
      </c>
      <c r="B2224" s="5" t="s">
        <v>16952</v>
      </c>
    </row>
    <row r="2225" ht="15.75" spans="1:2">
      <c r="A2225" s="9" t="s">
        <v>7466</v>
      </c>
      <c r="B2225" s="5" t="s">
        <v>16952</v>
      </c>
    </row>
    <row r="2226" ht="15.75" spans="1:2">
      <c r="A2226" s="9" t="s">
        <v>7471</v>
      </c>
      <c r="B2226" s="5" t="s">
        <v>16952</v>
      </c>
    </row>
    <row r="2227" ht="15.75" spans="1:2">
      <c r="A2227" s="9" t="s">
        <v>7474</v>
      </c>
      <c r="B2227" s="5" t="s">
        <v>16952</v>
      </c>
    </row>
    <row r="2228" ht="15.75" spans="1:2">
      <c r="A2228" s="9" t="s">
        <v>7478</v>
      </c>
      <c r="B2228" s="5" t="s">
        <v>16952</v>
      </c>
    </row>
    <row r="2229" ht="15.75" spans="1:2">
      <c r="A2229" s="9" t="s">
        <v>7481</v>
      </c>
      <c r="B2229" s="5" t="s">
        <v>16952</v>
      </c>
    </row>
    <row r="2230" ht="15.75" spans="1:2">
      <c r="A2230" s="9" t="s">
        <v>7485</v>
      </c>
      <c r="B2230" s="5" t="s">
        <v>16952</v>
      </c>
    </row>
    <row r="2231" ht="15.75" spans="1:2">
      <c r="A2231" s="9" t="s">
        <v>7488</v>
      </c>
      <c r="B2231" s="5" t="s">
        <v>16952</v>
      </c>
    </row>
    <row r="2232" ht="15.75" spans="1:2">
      <c r="A2232" s="9" t="s">
        <v>7491</v>
      </c>
      <c r="B2232" s="5" t="s">
        <v>16952</v>
      </c>
    </row>
    <row r="2233" ht="15.75" spans="1:2">
      <c r="A2233" s="9" t="s">
        <v>7495</v>
      </c>
      <c r="B2233" s="5" t="s">
        <v>16952</v>
      </c>
    </row>
    <row r="2234" ht="15.75" spans="1:2">
      <c r="A2234" s="9" t="s">
        <v>7498</v>
      </c>
      <c r="B2234" s="5" t="s">
        <v>16952</v>
      </c>
    </row>
    <row r="2235" ht="15.75" spans="1:2">
      <c r="A2235" s="9" t="s">
        <v>7501</v>
      </c>
      <c r="B2235" s="5" t="s">
        <v>16952</v>
      </c>
    </row>
    <row r="2236" ht="15.75" spans="1:2">
      <c r="A2236" s="9" t="s">
        <v>7504</v>
      </c>
      <c r="B2236" s="5" t="s">
        <v>16952</v>
      </c>
    </row>
    <row r="2237" ht="15.75" spans="1:2">
      <c r="A2237" s="9" t="s">
        <v>7508</v>
      </c>
      <c r="B2237" s="12"/>
    </row>
    <row r="2238" ht="15.75" spans="1:2">
      <c r="A2238" s="9" t="s">
        <v>7508</v>
      </c>
      <c r="B2238" s="12"/>
    </row>
    <row r="2239" ht="15.75" spans="1:2">
      <c r="A2239" s="9" t="s">
        <v>7509</v>
      </c>
      <c r="B2239" s="5" t="s">
        <v>16952</v>
      </c>
    </row>
    <row r="2240" ht="15.75" spans="1:2">
      <c r="A2240" s="9" t="s">
        <v>7512</v>
      </c>
      <c r="B2240" s="5" t="s">
        <v>16952</v>
      </c>
    </row>
    <row r="2241" ht="15.75" spans="1:2">
      <c r="A2241" s="9" t="s">
        <v>7516</v>
      </c>
      <c r="B2241" s="5" t="s">
        <v>16952</v>
      </c>
    </row>
    <row r="2242" ht="15.75" spans="1:2">
      <c r="A2242" s="9" t="s">
        <v>7519</v>
      </c>
      <c r="B2242" s="5" t="s">
        <v>16952</v>
      </c>
    </row>
    <row r="2243" ht="15.75" spans="1:2">
      <c r="A2243" s="9" t="s">
        <v>7523</v>
      </c>
      <c r="B2243" s="8"/>
    </row>
    <row r="2244" ht="15.75" spans="1:2">
      <c r="A2244" s="9" t="s">
        <v>7524</v>
      </c>
      <c r="B2244" s="5" t="s">
        <v>16952</v>
      </c>
    </row>
    <row r="2245" ht="15.75" spans="1:2">
      <c r="A2245" s="9" t="s">
        <v>7528</v>
      </c>
      <c r="B2245" s="5" t="s">
        <v>16952</v>
      </c>
    </row>
    <row r="2246" ht="15.75" spans="1:2">
      <c r="A2246" s="9" t="s">
        <v>7532</v>
      </c>
      <c r="B2246" s="5" t="s">
        <v>16952</v>
      </c>
    </row>
    <row r="2247" ht="15.75" spans="1:2">
      <c r="A2247" s="9" t="s">
        <v>7535</v>
      </c>
      <c r="B2247" s="13"/>
    </row>
    <row r="2248" ht="15.75" spans="1:2">
      <c r="A2248" s="9" t="s">
        <v>7538</v>
      </c>
      <c r="B2248" s="5" t="s">
        <v>16952</v>
      </c>
    </row>
    <row r="2249" ht="15.75" spans="1:2">
      <c r="A2249" s="9" t="s">
        <v>7541</v>
      </c>
      <c r="B2249" s="5" t="s">
        <v>16952</v>
      </c>
    </row>
    <row r="2250" ht="15.75" spans="1:2">
      <c r="A2250" s="9" t="s">
        <v>7545</v>
      </c>
      <c r="B2250" s="5" t="s">
        <v>16952</v>
      </c>
    </row>
    <row r="2251" ht="15.75" spans="1:2">
      <c r="A2251" s="9" t="s">
        <v>7548</v>
      </c>
      <c r="B2251" s="5" t="s">
        <v>16952</v>
      </c>
    </row>
    <row r="2252" ht="15.75" spans="1:2">
      <c r="A2252" s="9" t="s">
        <v>7552</v>
      </c>
      <c r="B2252" s="5" t="s">
        <v>16952</v>
      </c>
    </row>
    <row r="2253" ht="15.75" spans="1:2">
      <c r="A2253" s="9" t="s">
        <v>7555</v>
      </c>
      <c r="B2253" s="5" t="s">
        <v>16952</v>
      </c>
    </row>
    <row r="2254" ht="15.75" spans="1:2">
      <c r="A2254" s="9" t="s">
        <v>7558</v>
      </c>
      <c r="B2254" s="5" t="s">
        <v>16952</v>
      </c>
    </row>
    <row r="2255" ht="15.75" spans="1:2">
      <c r="A2255" s="9" t="s">
        <v>7562</v>
      </c>
      <c r="B2255" s="10" t="s">
        <v>16952</v>
      </c>
    </row>
    <row r="2256" ht="15.75" spans="1:2">
      <c r="A2256" s="9" t="s">
        <v>7562</v>
      </c>
      <c r="B2256" s="10" t="s">
        <v>16952</v>
      </c>
    </row>
    <row r="2257" ht="15.75" spans="1:2">
      <c r="A2257" s="9" t="s">
        <v>7566</v>
      </c>
      <c r="B2257" s="5" t="s">
        <v>16952</v>
      </c>
    </row>
    <row r="2258" ht="15.75" spans="1:2">
      <c r="A2258" s="9" t="s">
        <v>7569</v>
      </c>
      <c r="B2258" s="5" t="s">
        <v>16952</v>
      </c>
    </row>
    <row r="2259" ht="15.75" spans="1:2">
      <c r="A2259" s="9" t="s">
        <v>7574</v>
      </c>
      <c r="B2259" s="5" t="s">
        <v>16952</v>
      </c>
    </row>
    <row r="2260" ht="15.75" spans="1:2">
      <c r="A2260" s="9" t="s">
        <v>7578</v>
      </c>
      <c r="B2260" s="5" t="s">
        <v>16952</v>
      </c>
    </row>
    <row r="2261" ht="15.75" spans="1:2">
      <c r="A2261" s="9" t="s">
        <v>7583</v>
      </c>
      <c r="B2261" s="5" t="s">
        <v>16952</v>
      </c>
    </row>
    <row r="2262" ht="15.75" spans="1:2">
      <c r="A2262" s="9" t="s">
        <v>7587</v>
      </c>
      <c r="B2262" s="5"/>
    </row>
    <row r="2263" ht="15.75" spans="1:2">
      <c r="A2263" s="9" t="s">
        <v>7591</v>
      </c>
      <c r="B2263" s="5" t="s">
        <v>16952</v>
      </c>
    </row>
    <row r="2264" ht="15.75" spans="1:2">
      <c r="A2264" s="9" t="s">
        <v>7595</v>
      </c>
      <c r="B2264" s="5" t="s">
        <v>16952</v>
      </c>
    </row>
    <row r="2265" ht="15.75" spans="1:2">
      <c r="A2265" s="9" t="s">
        <v>7599</v>
      </c>
      <c r="B2265" s="5" t="s">
        <v>16952</v>
      </c>
    </row>
    <row r="2266" ht="15.75" spans="1:2">
      <c r="A2266" s="9" t="s">
        <v>7602</v>
      </c>
      <c r="B2266" s="8"/>
    </row>
    <row r="2267" ht="15.75" spans="1:2">
      <c r="A2267" s="9" t="s">
        <v>7603</v>
      </c>
      <c r="B2267" s="5" t="s">
        <v>16952</v>
      </c>
    </row>
    <row r="2268" ht="15.75" spans="1:2">
      <c r="A2268" s="9" t="s">
        <v>7607</v>
      </c>
      <c r="B2268" s="5" t="s">
        <v>16952</v>
      </c>
    </row>
    <row r="2269" ht="15.75" spans="1:2">
      <c r="A2269" s="9" t="s">
        <v>7610</v>
      </c>
      <c r="B2269" s="5" t="s">
        <v>16952</v>
      </c>
    </row>
    <row r="2270" ht="15.75" spans="1:2">
      <c r="A2270" s="9" t="s">
        <v>7613</v>
      </c>
      <c r="B2270" s="5" t="s">
        <v>16952</v>
      </c>
    </row>
    <row r="2271" ht="15.75" spans="1:2">
      <c r="A2271" s="9" t="s">
        <v>7617</v>
      </c>
      <c r="B2271" s="5" t="s">
        <v>16952</v>
      </c>
    </row>
    <row r="2272" ht="15.75" spans="1:2">
      <c r="A2272" s="9" t="s">
        <v>7621</v>
      </c>
      <c r="B2272" s="5" t="s">
        <v>16952</v>
      </c>
    </row>
    <row r="2273" ht="15.75" spans="1:2">
      <c r="A2273" s="9" t="s">
        <v>7624</v>
      </c>
      <c r="B2273" s="5" t="s">
        <v>16952</v>
      </c>
    </row>
    <row r="2274" ht="15.75" spans="1:2">
      <c r="A2274" s="9" t="s">
        <v>7627</v>
      </c>
      <c r="B2274" s="5" t="s">
        <v>16952</v>
      </c>
    </row>
    <row r="2275" ht="15.75" spans="1:2">
      <c r="A2275" s="9" t="s">
        <v>7631</v>
      </c>
      <c r="B2275" s="5" t="s">
        <v>16952</v>
      </c>
    </row>
    <row r="2276" ht="15.75" spans="1:2">
      <c r="A2276" s="9" t="s">
        <v>7634</v>
      </c>
      <c r="B2276" s="5" t="s">
        <v>16952</v>
      </c>
    </row>
    <row r="2277" ht="15.75" spans="1:2">
      <c r="A2277" s="9" t="s">
        <v>7637</v>
      </c>
      <c r="B2277" s="5" t="s">
        <v>16952</v>
      </c>
    </row>
    <row r="2278" ht="15.75" spans="1:2">
      <c r="A2278" s="9" t="s">
        <v>7641</v>
      </c>
      <c r="B2278" s="5" t="s">
        <v>16952</v>
      </c>
    </row>
    <row r="2279" ht="15.75" spans="1:2">
      <c r="A2279" s="9" t="s">
        <v>7644</v>
      </c>
      <c r="B2279" s="5" t="s">
        <v>16952</v>
      </c>
    </row>
    <row r="2280" ht="15.75" spans="1:2">
      <c r="A2280" s="9" t="s">
        <v>7647</v>
      </c>
      <c r="B2280" s="5" t="s">
        <v>16952</v>
      </c>
    </row>
    <row r="2281" ht="15.75" spans="1:2">
      <c r="A2281" s="9" t="s">
        <v>7650</v>
      </c>
      <c r="B2281" s="5" t="s">
        <v>16952</v>
      </c>
    </row>
    <row r="2282" ht="15.75" spans="1:2">
      <c r="A2282" s="9" t="s">
        <v>7653</v>
      </c>
      <c r="B2282" s="5" t="s">
        <v>16952</v>
      </c>
    </row>
    <row r="2283" ht="15.75" spans="1:2">
      <c r="A2283" s="9" t="s">
        <v>7656</v>
      </c>
      <c r="B2283" s="12"/>
    </row>
    <row r="2284" ht="15.75" spans="1:2">
      <c r="A2284" s="9" t="s">
        <v>7656</v>
      </c>
      <c r="B2284" s="12"/>
    </row>
    <row r="2285" ht="15.75" spans="1:2">
      <c r="A2285" s="9" t="s">
        <v>7657</v>
      </c>
      <c r="B2285" s="5" t="s">
        <v>16952</v>
      </c>
    </row>
    <row r="2286" ht="15.75" spans="1:2">
      <c r="A2286" s="9" t="s">
        <v>7660</v>
      </c>
      <c r="B2286" s="5" t="s">
        <v>16952</v>
      </c>
    </row>
    <row r="2287" ht="15.75" spans="1:2">
      <c r="A2287" s="9" t="s">
        <v>7663</v>
      </c>
      <c r="B2287" s="5" t="s">
        <v>16952</v>
      </c>
    </row>
    <row r="2288" ht="15.75" spans="1:2">
      <c r="A2288" s="9" t="s">
        <v>7666</v>
      </c>
      <c r="B2288" s="5" t="s">
        <v>16952</v>
      </c>
    </row>
    <row r="2289" ht="15.75" spans="1:2">
      <c r="A2289" s="9" t="s">
        <v>7669</v>
      </c>
      <c r="B2289" s="5" t="s">
        <v>16952</v>
      </c>
    </row>
    <row r="2290" ht="15.75" spans="1:2">
      <c r="A2290" s="9" t="s">
        <v>7672</v>
      </c>
      <c r="B2290" s="5" t="s">
        <v>16952</v>
      </c>
    </row>
    <row r="2291" ht="15.75" spans="1:2">
      <c r="A2291" s="9" t="s">
        <v>7675</v>
      </c>
      <c r="B2291" s="5" t="s">
        <v>16952</v>
      </c>
    </row>
    <row r="2292" ht="15.75" spans="1:2">
      <c r="A2292" s="9" t="s">
        <v>7678</v>
      </c>
      <c r="B2292" s="5" t="s">
        <v>16952</v>
      </c>
    </row>
    <row r="2293" ht="15.75" spans="1:2">
      <c r="A2293" s="9" t="s">
        <v>7682</v>
      </c>
      <c r="B2293" s="5" t="s">
        <v>16952</v>
      </c>
    </row>
    <row r="2294" ht="15.75" spans="1:2">
      <c r="A2294" s="9" t="s">
        <v>7685</v>
      </c>
      <c r="B2294" s="5" t="s">
        <v>16952</v>
      </c>
    </row>
    <row r="2295" ht="15.75" spans="1:2">
      <c r="A2295" s="9" t="s">
        <v>7688</v>
      </c>
      <c r="B2295" s="5" t="s">
        <v>16952</v>
      </c>
    </row>
    <row r="2296" ht="15.75" spans="1:2">
      <c r="A2296" s="9" t="s">
        <v>7691</v>
      </c>
      <c r="B2296" s="5" t="s">
        <v>16952</v>
      </c>
    </row>
    <row r="2297" ht="15.75" spans="1:2">
      <c r="A2297" s="9" t="s">
        <v>7694</v>
      </c>
      <c r="B2297" s="5" t="s">
        <v>16952</v>
      </c>
    </row>
    <row r="2298" ht="15.75" spans="1:2">
      <c r="A2298" s="9" t="s">
        <v>7697</v>
      </c>
      <c r="B2298" s="5" t="s">
        <v>16952</v>
      </c>
    </row>
    <row r="2299" ht="15.75" spans="1:2">
      <c r="A2299" s="9" t="s">
        <v>7701</v>
      </c>
      <c r="B2299" s="5" t="s">
        <v>16952</v>
      </c>
    </row>
    <row r="2300" ht="15.75" spans="1:2">
      <c r="A2300" s="9" t="s">
        <v>7705</v>
      </c>
      <c r="B2300" s="5" t="s">
        <v>16952</v>
      </c>
    </row>
    <row r="2301" ht="15.75" spans="1:2">
      <c r="A2301" s="9" t="s">
        <v>7709</v>
      </c>
      <c r="B2301" s="5" t="s">
        <v>16952</v>
      </c>
    </row>
    <row r="2302" ht="15.75" spans="1:2">
      <c r="A2302" s="9" t="s">
        <v>7712</v>
      </c>
      <c r="B2302" s="5" t="s">
        <v>16952</v>
      </c>
    </row>
    <row r="2303" ht="15.75" spans="1:2">
      <c r="A2303" s="9" t="s">
        <v>7715</v>
      </c>
      <c r="B2303" s="5" t="s">
        <v>16952</v>
      </c>
    </row>
    <row r="2304" ht="15.75" spans="1:2">
      <c r="A2304" s="9" t="s">
        <v>7718</v>
      </c>
      <c r="B2304" s="5" t="s">
        <v>16952</v>
      </c>
    </row>
    <row r="2305" ht="15.75" spans="1:2">
      <c r="A2305" s="9" t="s">
        <v>7721</v>
      </c>
      <c r="B2305" s="5" t="s">
        <v>16952</v>
      </c>
    </row>
    <row r="2306" ht="15.75" spans="1:2">
      <c r="A2306" s="9" t="s">
        <v>7725</v>
      </c>
      <c r="B2306" s="5" t="s">
        <v>16952</v>
      </c>
    </row>
    <row r="2307" ht="15.75" spans="1:2">
      <c r="A2307" s="9" t="s">
        <v>7728</v>
      </c>
      <c r="B2307" s="5" t="s">
        <v>16952</v>
      </c>
    </row>
    <row r="2308" ht="15.75" spans="1:2">
      <c r="A2308" s="9" t="s">
        <v>7732</v>
      </c>
      <c r="B2308" s="5" t="s">
        <v>16952</v>
      </c>
    </row>
    <row r="2309" ht="15.75" spans="1:2">
      <c r="A2309" s="9" t="s">
        <v>7735</v>
      </c>
      <c r="B2309" s="5" t="s">
        <v>16952</v>
      </c>
    </row>
    <row r="2310" ht="15.75" spans="1:2">
      <c r="A2310" s="9" t="s">
        <v>7738</v>
      </c>
      <c r="B2310" s="5" t="s">
        <v>16952</v>
      </c>
    </row>
    <row r="2311" ht="15.75" spans="1:2">
      <c r="A2311" s="9" t="s">
        <v>7742</v>
      </c>
      <c r="B2311" s="5" t="s">
        <v>16952</v>
      </c>
    </row>
    <row r="2312" ht="15.75" spans="1:2">
      <c r="A2312" s="9" t="s">
        <v>7746</v>
      </c>
      <c r="B2312" s="5" t="s">
        <v>16952</v>
      </c>
    </row>
    <row r="2313" ht="15.75" spans="1:2">
      <c r="A2313" s="9" t="s">
        <v>7749</v>
      </c>
      <c r="B2313" s="5" t="s">
        <v>16952</v>
      </c>
    </row>
    <row r="2314" ht="15.75" spans="1:2">
      <c r="A2314" s="9" t="s">
        <v>7752</v>
      </c>
      <c r="B2314" s="5" t="s">
        <v>16952</v>
      </c>
    </row>
    <row r="2315" ht="15.75" spans="1:2">
      <c r="A2315" s="9" t="s">
        <v>7755</v>
      </c>
      <c r="B2315" s="5" t="s">
        <v>16952</v>
      </c>
    </row>
    <row r="2316" ht="15.75" spans="1:2">
      <c r="A2316" s="9" t="s">
        <v>7758</v>
      </c>
      <c r="B2316" s="5" t="s">
        <v>16952</v>
      </c>
    </row>
    <row r="2317" ht="15.75" spans="1:2">
      <c r="A2317" s="9" t="s">
        <v>7761</v>
      </c>
      <c r="B2317" s="8"/>
    </row>
    <row r="2318" ht="15.75" spans="1:2">
      <c r="A2318" s="9" t="s">
        <v>7762</v>
      </c>
      <c r="B2318" s="5" t="s">
        <v>16952</v>
      </c>
    </row>
    <row r="2319" ht="15.75" spans="1:2">
      <c r="A2319" s="9" t="s">
        <v>7766</v>
      </c>
      <c r="B2319" s="5"/>
    </row>
    <row r="2320" ht="15.75" spans="1:2">
      <c r="A2320" s="9" t="s">
        <v>7770</v>
      </c>
      <c r="B2320" s="5" t="s">
        <v>16952</v>
      </c>
    </row>
    <row r="2321" ht="15.75" spans="1:2">
      <c r="A2321" s="9" t="s">
        <v>7774</v>
      </c>
      <c r="B2321" s="5" t="s">
        <v>16952</v>
      </c>
    </row>
    <row r="2322" ht="15.75" spans="1:2">
      <c r="A2322" s="9" t="s">
        <v>7777</v>
      </c>
      <c r="B2322" s="5" t="s">
        <v>16952</v>
      </c>
    </row>
    <row r="2323" ht="15.75" spans="1:2">
      <c r="A2323" s="9" t="s">
        <v>7780</v>
      </c>
      <c r="B2323" s="5" t="s">
        <v>16952</v>
      </c>
    </row>
    <row r="2324" ht="15.75" spans="1:2">
      <c r="A2324" s="9" t="s">
        <v>7783</v>
      </c>
      <c r="B2324" s="5" t="s">
        <v>16952</v>
      </c>
    </row>
    <row r="2325" ht="15.75" spans="1:2">
      <c r="A2325" s="9" t="s">
        <v>7786</v>
      </c>
      <c r="B2325" s="5" t="s">
        <v>16952</v>
      </c>
    </row>
    <row r="2326" ht="15.75" spans="1:2">
      <c r="A2326" s="9" t="s">
        <v>7789</v>
      </c>
      <c r="B2326" s="5" t="s">
        <v>16952</v>
      </c>
    </row>
    <row r="2327" ht="15.75" spans="1:2">
      <c r="A2327" s="9" t="s">
        <v>7792</v>
      </c>
      <c r="B2327" s="5" t="s">
        <v>16952</v>
      </c>
    </row>
    <row r="2328" ht="15.75" spans="1:2">
      <c r="A2328" s="9" t="s">
        <v>7795</v>
      </c>
      <c r="B2328" s="8"/>
    </row>
    <row r="2329" ht="15.75" spans="1:2">
      <c r="A2329" s="9" t="s">
        <v>7796</v>
      </c>
      <c r="B2329" s="5" t="s">
        <v>16952</v>
      </c>
    </row>
    <row r="2330" ht="15.75" spans="1:2">
      <c r="A2330" s="9" t="s">
        <v>7800</v>
      </c>
      <c r="B2330" s="5" t="s">
        <v>16952</v>
      </c>
    </row>
    <row r="2331" ht="15.75" spans="1:2">
      <c r="A2331" s="9" t="s">
        <v>7804</v>
      </c>
      <c r="B2331" s="5" t="s">
        <v>16952</v>
      </c>
    </row>
    <row r="2332" ht="15.75" spans="1:2">
      <c r="A2332" s="9" t="s">
        <v>7808</v>
      </c>
      <c r="B2332" s="5" t="s">
        <v>16952</v>
      </c>
    </row>
    <row r="2333" ht="15.75" spans="1:2">
      <c r="A2333" s="9" t="s">
        <v>7811</v>
      </c>
      <c r="B2333" s="5" t="s">
        <v>16952</v>
      </c>
    </row>
    <row r="2334" ht="15.75" spans="1:2">
      <c r="A2334" s="9" t="s">
        <v>7816</v>
      </c>
      <c r="B2334" s="5" t="s">
        <v>16952</v>
      </c>
    </row>
    <row r="2335" ht="15.75" spans="1:2">
      <c r="A2335" s="9" t="s">
        <v>7820</v>
      </c>
      <c r="B2335" s="5" t="s">
        <v>16952</v>
      </c>
    </row>
    <row r="2336" ht="15.75" spans="1:2">
      <c r="A2336" s="9" t="s">
        <v>7824</v>
      </c>
      <c r="B2336" s="5" t="s">
        <v>16952</v>
      </c>
    </row>
    <row r="2337" ht="15.75" spans="1:2">
      <c r="A2337" s="9" t="s">
        <v>7827</v>
      </c>
      <c r="B2337" s="5" t="s">
        <v>16952</v>
      </c>
    </row>
    <row r="2338" ht="31.5" spans="1:2">
      <c r="A2338" s="9" t="s">
        <v>7830</v>
      </c>
      <c r="B2338" s="8" t="s">
        <v>16977</v>
      </c>
    </row>
    <row r="2339" ht="15.75" spans="1:2">
      <c r="A2339" s="9" t="s">
        <v>7831</v>
      </c>
      <c r="B2339" s="5" t="s">
        <v>16952</v>
      </c>
    </row>
    <row r="2340" ht="15.75" spans="1:2">
      <c r="A2340" s="9" t="s">
        <v>7836</v>
      </c>
      <c r="B2340" s="5" t="s">
        <v>16952</v>
      </c>
    </row>
    <row r="2341" ht="15.75" spans="1:2">
      <c r="A2341" s="9" t="s">
        <v>7839</v>
      </c>
      <c r="B2341" s="5" t="s">
        <v>16952</v>
      </c>
    </row>
    <row r="2342" ht="15.75" spans="1:2">
      <c r="A2342" s="9" t="s">
        <v>7842</v>
      </c>
      <c r="B2342" s="5" t="s">
        <v>16952</v>
      </c>
    </row>
    <row r="2343" ht="15.75" spans="1:2">
      <c r="A2343" s="9" t="s">
        <v>7845</v>
      </c>
      <c r="B2343" s="5" t="s">
        <v>16952</v>
      </c>
    </row>
    <row r="2344" ht="15.75" spans="1:2">
      <c r="A2344" s="9" t="s">
        <v>7848</v>
      </c>
      <c r="B2344" s="5" t="s">
        <v>16952</v>
      </c>
    </row>
    <row r="2345" ht="15.75" spans="1:2">
      <c r="A2345" s="9" t="s">
        <v>7851</v>
      </c>
      <c r="B2345" s="5" t="s">
        <v>16952</v>
      </c>
    </row>
    <row r="2346" ht="15.75" spans="1:2">
      <c r="A2346" s="9" t="s">
        <v>7855</v>
      </c>
      <c r="B2346" s="5" t="s">
        <v>16952</v>
      </c>
    </row>
    <row r="2347" ht="15.75" spans="1:2">
      <c r="A2347" s="9" t="s">
        <v>7858</v>
      </c>
      <c r="B2347" s="5" t="s">
        <v>16952</v>
      </c>
    </row>
    <row r="2348" ht="15.75" spans="1:2">
      <c r="A2348" s="9" t="s">
        <v>7861</v>
      </c>
      <c r="B2348" s="5" t="s">
        <v>16952</v>
      </c>
    </row>
    <row r="2349" ht="15.75" spans="1:2">
      <c r="A2349" s="9" t="s">
        <v>7865</v>
      </c>
      <c r="B2349" s="5" t="s">
        <v>16952</v>
      </c>
    </row>
    <row r="2350" ht="15.75" spans="1:2">
      <c r="A2350" s="9" t="s">
        <v>7869</v>
      </c>
      <c r="B2350" s="5" t="s">
        <v>16952</v>
      </c>
    </row>
    <row r="2351" ht="15.75" spans="1:2">
      <c r="A2351" s="9" t="s">
        <v>7873</v>
      </c>
      <c r="B2351" s="5" t="s">
        <v>16952</v>
      </c>
    </row>
    <row r="2352" ht="15.75" spans="1:2">
      <c r="A2352" s="9" t="s">
        <v>7877</v>
      </c>
      <c r="B2352" s="5" t="s">
        <v>16952</v>
      </c>
    </row>
    <row r="2353" ht="15.75" spans="1:2">
      <c r="A2353" s="9" t="s">
        <v>7880</v>
      </c>
      <c r="B2353" s="5" t="s">
        <v>16952</v>
      </c>
    </row>
    <row r="2354" ht="15.75" spans="1:2">
      <c r="A2354" s="9" t="s">
        <v>7883</v>
      </c>
      <c r="B2354" s="5" t="s">
        <v>16952</v>
      </c>
    </row>
    <row r="2355" ht="15.75" spans="1:2">
      <c r="A2355" s="9" t="s">
        <v>7887</v>
      </c>
      <c r="B2355" s="5" t="s">
        <v>16952</v>
      </c>
    </row>
    <row r="2356" ht="15.75" spans="1:2">
      <c r="A2356" s="9" t="s">
        <v>7891</v>
      </c>
      <c r="B2356" s="5" t="s">
        <v>16952</v>
      </c>
    </row>
    <row r="2357" ht="15.75" spans="1:2">
      <c r="A2357" s="9" t="s">
        <v>7895</v>
      </c>
      <c r="B2357" s="5" t="s">
        <v>16952</v>
      </c>
    </row>
    <row r="2358" ht="15.75" spans="1:2">
      <c r="A2358" s="9" t="s">
        <v>7899</v>
      </c>
      <c r="B2358" s="5" t="s">
        <v>16952</v>
      </c>
    </row>
    <row r="2359" ht="15.75" spans="1:2">
      <c r="A2359" s="9" t="s">
        <v>7902</v>
      </c>
      <c r="B2359" s="5" t="s">
        <v>16952</v>
      </c>
    </row>
    <row r="2360" ht="15.75" spans="1:2">
      <c r="A2360" s="9" t="s">
        <v>7907</v>
      </c>
      <c r="B2360" s="5" t="s">
        <v>16952</v>
      </c>
    </row>
    <row r="2361" ht="15.75" spans="1:2">
      <c r="A2361" s="9" t="s">
        <v>7910</v>
      </c>
      <c r="B2361" s="5" t="s">
        <v>16952</v>
      </c>
    </row>
    <row r="2362" ht="15.75" spans="1:2">
      <c r="A2362" s="9" t="s">
        <v>7914</v>
      </c>
      <c r="B2362" s="5" t="s">
        <v>16952</v>
      </c>
    </row>
    <row r="2363" ht="15.75" spans="1:2">
      <c r="A2363" s="9" t="s">
        <v>7917</v>
      </c>
      <c r="B2363" s="5" t="s">
        <v>16952</v>
      </c>
    </row>
    <row r="2364" ht="15.75" spans="1:2">
      <c r="A2364" s="9" t="s">
        <v>7920</v>
      </c>
      <c r="B2364" s="5" t="s">
        <v>16952</v>
      </c>
    </row>
    <row r="2365" ht="15.75" spans="1:2">
      <c r="A2365" s="9" t="s">
        <v>7923</v>
      </c>
      <c r="B2365" s="5" t="s">
        <v>16952</v>
      </c>
    </row>
    <row r="2366" ht="15.75" spans="1:2">
      <c r="A2366" s="9" t="s">
        <v>7927</v>
      </c>
      <c r="B2366" s="5" t="s">
        <v>16952</v>
      </c>
    </row>
    <row r="2367" ht="15.75" spans="1:2">
      <c r="A2367" s="9" t="s">
        <v>7931</v>
      </c>
      <c r="B2367" s="5" t="s">
        <v>16952</v>
      </c>
    </row>
    <row r="2368" ht="15.75" spans="1:2">
      <c r="A2368" s="9" t="s">
        <v>7934</v>
      </c>
      <c r="B2368" s="5" t="s">
        <v>16952</v>
      </c>
    </row>
    <row r="2369" ht="15.75" spans="1:2">
      <c r="A2369" s="9" t="s">
        <v>7939</v>
      </c>
      <c r="B2369" s="5" t="s">
        <v>16952</v>
      </c>
    </row>
    <row r="2370" ht="15.75" spans="1:2">
      <c r="A2370" s="9" t="s">
        <v>7942</v>
      </c>
      <c r="B2370" s="5" t="s">
        <v>16952</v>
      </c>
    </row>
    <row r="2371" ht="15.75" spans="1:2">
      <c r="A2371" s="9" t="s">
        <v>7945</v>
      </c>
      <c r="B2371" s="5" t="s">
        <v>16952</v>
      </c>
    </row>
    <row r="2372" ht="15.75" spans="1:2">
      <c r="A2372" s="9" t="s">
        <v>7948</v>
      </c>
      <c r="B2372" s="5" t="s">
        <v>16952</v>
      </c>
    </row>
    <row r="2373" ht="15.75" spans="1:2">
      <c r="A2373" s="9" t="s">
        <v>7951</v>
      </c>
      <c r="B2373" s="5" t="s">
        <v>16952</v>
      </c>
    </row>
    <row r="2374" ht="15.75" spans="1:2">
      <c r="A2374" s="9" t="s">
        <v>7954</v>
      </c>
      <c r="B2374" s="5" t="s">
        <v>16952</v>
      </c>
    </row>
    <row r="2375" ht="15.75" spans="1:2">
      <c r="A2375" s="9" t="s">
        <v>7958</v>
      </c>
      <c r="B2375" s="5" t="s">
        <v>16952</v>
      </c>
    </row>
    <row r="2376" ht="15.75" spans="1:2">
      <c r="A2376" s="9" t="s">
        <v>7962</v>
      </c>
      <c r="B2376" s="5" t="s">
        <v>16952</v>
      </c>
    </row>
    <row r="2377" ht="15.75" spans="1:2">
      <c r="A2377" s="9" t="s">
        <v>7966</v>
      </c>
      <c r="B2377" s="5" t="s">
        <v>16952</v>
      </c>
    </row>
    <row r="2378" ht="15.75" spans="1:2">
      <c r="A2378" s="9" t="s">
        <v>7971</v>
      </c>
      <c r="B2378" s="5" t="s">
        <v>16952</v>
      </c>
    </row>
    <row r="2379" ht="15.75" spans="1:2">
      <c r="A2379" s="9" t="s">
        <v>7974</v>
      </c>
      <c r="B2379" s="5" t="s">
        <v>16952</v>
      </c>
    </row>
    <row r="2380" ht="15.75" spans="1:2">
      <c r="A2380" s="9" t="s">
        <v>7977</v>
      </c>
      <c r="B2380" s="11"/>
    </row>
    <row r="2381" ht="15.75" spans="1:2">
      <c r="A2381" s="9" t="s">
        <v>7978</v>
      </c>
      <c r="B2381" s="5" t="s">
        <v>16952</v>
      </c>
    </row>
    <row r="2382" ht="15.75" spans="1:2">
      <c r="A2382" s="9" t="s">
        <v>7981</v>
      </c>
      <c r="B2382" s="5" t="s">
        <v>16952</v>
      </c>
    </row>
    <row r="2383" ht="15.75" spans="1:2">
      <c r="A2383" s="9" t="s">
        <v>7984</v>
      </c>
      <c r="B2383" s="5" t="s">
        <v>16952</v>
      </c>
    </row>
    <row r="2384" ht="15.75" spans="1:2">
      <c r="A2384" s="9" t="s">
        <v>7987</v>
      </c>
      <c r="B2384" s="5" t="s">
        <v>16952</v>
      </c>
    </row>
    <row r="2385" ht="15.75" spans="1:2">
      <c r="A2385" s="9" t="s">
        <v>7991</v>
      </c>
      <c r="B2385" s="5" t="s">
        <v>16952</v>
      </c>
    </row>
    <row r="2386" ht="15.75" spans="1:2">
      <c r="A2386" s="9" t="s">
        <v>7995</v>
      </c>
      <c r="B2386" s="5" t="s">
        <v>16952</v>
      </c>
    </row>
    <row r="2387" ht="15.75" spans="1:2">
      <c r="A2387" s="9" t="s">
        <v>7999</v>
      </c>
      <c r="B2387" s="5" t="s">
        <v>16952</v>
      </c>
    </row>
    <row r="2388" ht="15.75" spans="1:2">
      <c r="A2388" s="9" t="s">
        <v>8003</v>
      </c>
      <c r="B2388" s="5" t="s">
        <v>16952</v>
      </c>
    </row>
    <row r="2389" ht="15.75" spans="1:2">
      <c r="A2389" s="9" t="s">
        <v>8006</v>
      </c>
      <c r="B2389" s="5" t="s">
        <v>16952</v>
      </c>
    </row>
    <row r="2390" ht="15.75" spans="1:2">
      <c r="A2390" s="9" t="s">
        <v>8009</v>
      </c>
      <c r="B2390" s="5" t="s">
        <v>16952</v>
      </c>
    </row>
    <row r="2391" ht="15.75" spans="1:2">
      <c r="A2391" s="9" t="s">
        <v>8013</v>
      </c>
      <c r="B2391" s="5" t="s">
        <v>16952</v>
      </c>
    </row>
    <row r="2392" ht="15.75" spans="1:2">
      <c r="A2392" s="9" t="s">
        <v>8017</v>
      </c>
      <c r="B2392" s="5" t="s">
        <v>16952</v>
      </c>
    </row>
    <row r="2393" ht="15.75" spans="1:2">
      <c r="A2393" s="9" t="s">
        <v>8020</v>
      </c>
      <c r="B2393" s="5" t="s">
        <v>16952</v>
      </c>
    </row>
    <row r="2394" ht="15.75" spans="1:2">
      <c r="A2394" s="9" t="s">
        <v>8024</v>
      </c>
      <c r="B2394" s="5" t="s">
        <v>16952</v>
      </c>
    </row>
    <row r="2395" ht="15.75" spans="1:2">
      <c r="A2395" s="9" t="s">
        <v>8027</v>
      </c>
      <c r="B2395" s="5" t="s">
        <v>16952</v>
      </c>
    </row>
    <row r="2396" ht="15.75" spans="1:2">
      <c r="A2396" s="9" t="s">
        <v>8031</v>
      </c>
      <c r="B2396" s="5" t="s">
        <v>16952</v>
      </c>
    </row>
    <row r="2397" ht="15.75" spans="1:2">
      <c r="A2397" s="9" t="s">
        <v>8035</v>
      </c>
      <c r="B2397" s="5" t="s">
        <v>16952</v>
      </c>
    </row>
    <row r="2398" ht="15.75" spans="1:2">
      <c r="A2398" s="9" t="s">
        <v>8038</v>
      </c>
      <c r="B2398" s="5" t="s">
        <v>16952</v>
      </c>
    </row>
    <row r="2399" ht="15.75" spans="1:2">
      <c r="A2399" s="9" t="s">
        <v>8041</v>
      </c>
      <c r="B2399" s="5" t="s">
        <v>16952</v>
      </c>
    </row>
    <row r="2400" ht="15.75" spans="1:2">
      <c r="A2400" s="9" t="s">
        <v>8044</v>
      </c>
      <c r="B2400" s="5" t="s">
        <v>16952</v>
      </c>
    </row>
    <row r="2401" ht="15.75" spans="1:2">
      <c r="A2401" s="9" t="s">
        <v>8047</v>
      </c>
      <c r="B2401" s="5" t="s">
        <v>16952</v>
      </c>
    </row>
    <row r="2402" ht="15.75" spans="1:2">
      <c r="A2402" s="9" t="s">
        <v>8050</v>
      </c>
      <c r="B2402" s="5" t="s">
        <v>16952</v>
      </c>
    </row>
    <row r="2403" ht="15.75" spans="1:2">
      <c r="A2403" s="9" t="s">
        <v>8054</v>
      </c>
      <c r="B2403" s="5" t="s">
        <v>16952</v>
      </c>
    </row>
    <row r="2404" ht="15.75" spans="1:2">
      <c r="A2404" s="9" t="s">
        <v>8058</v>
      </c>
      <c r="B2404" s="5" t="s">
        <v>16952</v>
      </c>
    </row>
    <row r="2405" ht="15.75" spans="1:2">
      <c r="A2405" s="9" t="s">
        <v>8062</v>
      </c>
      <c r="B2405" s="5" t="s">
        <v>16952</v>
      </c>
    </row>
    <row r="2406" ht="15.75" spans="1:2">
      <c r="A2406" s="9" t="s">
        <v>8065</v>
      </c>
      <c r="B2406" s="5" t="s">
        <v>16952</v>
      </c>
    </row>
    <row r="2407" ht="15.75" spans="1:2">
      <c r="A2407" s="9" t="s">
        <v>8069</v>
      </c>
      <c r="B2407" s="5" t="s">
        <v>16952</v>
      </c>
    </row>
    <row r="2408" ht="15.75" spans="1:2">
      <c r="A2408" s="9" t="s">
        <v>8073</v>
      </c>
      <c r="B2408" s="5" t="s">
        <v>16952</v>
      </c>
    </row>
    <row r="2409" ht="15.75" spans="1:2">
      <c r="A2409" s="9" t="s">
        <v>8076</v>
      </c>
      <c r="B2409" s="5" t="s">
        <v>16952</v>
      </c>
    </row>
    <row r="2410" ht="15.75" spans="1:2">
      <c r="A2410" s="9" t="s">
        <v>8079</v>
      </c>
      <c r="B2410" s="5" t="s">
        <v>16952</v>
      </c>
    </row>
    <row r="2411" ht="15.75" spans="1:2">
      <c r="A2411" s="9" t="s">
        <v>8082</v>
      </c>
      <c r="B2411" s="5" t="s">
        <v>16952</v>
      </c>
    </row>
    <row r="2412" ht="15.75" spans="1:2">
      <c r="A2412" s="9" t="s">
        <v>8085</v>
      </c>
      <c r="B2412" s="5" t="s">
        <v>16952</v>
      </c>
    </row>
    <row r="2413" ht="15.75" spans="1:2">
      <c r="A2413" s="9" t="s">
        <v>8088</v>
      </c>
      <c r="B2413" s="5" t="s">
        <v>16952</v>
      </c>
    </row>
    <row r="2414" ht="15.75" spans="1:2">
      <c r="A2414" s="9" t="s">
        <v>8091</v>
      </c>
      <c r="B2414" s="5" t="s">
        <v>16952</v>
      </c>
    </row>
    <row r="2415" ht="15.75" spans="1:2">
      <c r="A2415" s="9" t="s">
        <v>8094</v>
      </c>
      <c r="B2415" s="5" t="s">
        <v>16952</v>
      </c>
    </row>
    <row r="2416" ht="15.75" spans="1:2">
      <c r="A2416" s="9" t="s">
        <v>8099</v>
      </c>
      <c r="B2416" s="5" t="s">
        <v>16952</v>
      </c>
    </row>
    <row r="2417" ht="15.75" spans="1:2">
      <c r="A2417" s="9" t="s">
        <v>8104</v>
      </c>
      <c r="B2417" s="5" t="s">
        <v>16952</v>
      </c>
    </row>
    <row r="2418" ht="15.75" spans="1:2">
      <c r="A2418" s="9" t="s">
        <v>8108</v>
      </c>
      <c r="B2418" s="5" t="s">
        <v>16952</v>
      </c>
    </row>
    <row r="2419" ht="15.75" spans="1:2">
      <c r="A2419" s="9" t="s">
        <v>8111</v>
      </c>
      <c r="B2419" s="5" t="s">
        <v>16952</v>
      </c>
    </row>
    <row r="2420" ht="15.75" spans="1:2">
      <c r="A2420" s="9" t="s">
        <v>8114</v>
      </c>
      <c r="B2420" s="5" t="s">
        <v>16952</v>
      </c>
    </row>
    <row r="2421" ht="15.75" spans="1:2">
      <c r="A2421" s="9" t="s">
        <v>8117</v>
      </c>
      <c r="B2421" s="5" t="s">
        <v>16952</v>
      </c>
    </row>
    <row r="2422" ht="15.75" spans="1:2">
      <c r="A2422" s="9" t="s">
        <v>8120</v>
      </c>
      <c r="B2422" s="5" t="s">
        <v>16952</v>
      </c>
    </row>
    <row r="2423" ht="15.75" spans="1:2">
      <c r="A2423" s="9" t="s">
        <v>8123</v>
      </c>
      <c r="B2423" s="5" t="s">
        <v>16952</v>
      </c>
    </row>
    <row r="2424" ht="15.75" spans="1:2">
      <c r="A2424" s="9" t="s">
        <v>8126</v>
      </c>
      <c r="B2424" s="8"/>
    </row>
    <row r="2425" ht="15.75" spans="1:2">
      <c r="A2425" s="9" t="s">
        <v>8129</v>
      </c>
      <c r="B2425" s="5" t="s">
        <v>16952</v>
      </c>
    </row>
    <row r="2426" ht="15.75" spans="1:2">
      <c r="A2426" s="9" t="s">
        <v>8134</v>
      </c>
      <c r="B2426" s="5" t="s">
        <v>16952</v>
      </c>
    </row>
    <row r="2427" ht="15.75" spans="1:2">
      <c r="A2427" s="9" t="s">
        <v>8138</v>
      </c>
      <c r="B2427" s="5" t="s">
        <v>16952</v>
      </c>
    </row>
    <row r="2428" ht="15.75" spans="1:2">
      <c r="A2428" s="9" t="s">
        <v>8142</v>
      </c>
      <c r="B2428" s="5" t="s">
        <v>16952</v>
      </c>
    </row>
    <row r="2429" ht="15.75" spans="1:2">
      <c r="A2429" s="9" t="s">
        <v>8145</v>
      </c>
      <c r="B2429" s="5" t="s">
        <v>16952</v>
      </c>
    </row>
    <row r="2430" ht="15.75" spans="1:2">
      <c r="A2430" s="9" t="s">
        <v>8149</v>
      </c>
      <c r="B2430" s="5" t="s">
        <v>16952</v>
      </c>
    </row>
    <row r="2431" ht="15.75" spans="1:2">
      <c r="A2431" s="9" t="s">
        <v>8153</v>
      </c>
      <c r="B2431" s="5" t="s">
        <v>16952</v>
      </c>
    </row>
    <row r="2432" ht="15.75" spans="1:2">
      <c r="A2432" s="9" t="s">
        <v>8157</v>
      </c>
      <c r="B2432" s="5" t="s">
        <v>16952</v>
      </c>
    </row>
    <row r="2433" ht="15.75" spans="1:2">
      <c r="A2433" s="9" t="s">
        <v>8161</v>
      </c>
      <c r="B2433" s="5" t="s">
        <v>16952</v>
      </c>
    </row>
    <row r="2434" ht="15.75" spans="1:2">
      <c r="A2434" s="9" t="s">
        <v>8165</v>
      </c>
      <c r="B2434" s="5" t="s">
        <v>16952</v>
      </c>
    </row>
    <row r="2435" ht="15.75" spans="1:2">
      <c r="A2435" s="9" t="s">
        <v>8169</v>
      </c>
      <c r="B2435" s="5" t="s">
        <v>16952</v>
      </c>
    </row>
    <row r="2436" ht="15.75" spans="1:2">
      <c r="A2436" s="9" t="s">
        <v>8172</v>
      </c>
      <c r="B2436" s="5" t="s">
        <v>16952</v>
      </c>
    </row>
    <row r="2437" ht="15.75" spans="1:2">
      <c r="A2437" s="9" t="s">
        <v>8175</v>
      </c>
      <c r="B2437" s="5" t="s">
        <v>16952</v>
      </c>
    </row>
    <row r="2438" ht="15.75" spans="1:2">
      <c r="A2438" s="9" t="s">
        <v>8179</v>
      </c>
      <c r="B2438" s="5" t="s">
        <v>16952</v>
      </c>
    </row>
    <row r="2439" ht="15.75" spans="1:2">
      <c r="A2439" s="9" t="s">
        <v>8182</v>
      </c>
      <c r="B2439" s="5" t="s">
        <v>16952</v>
      </c>
    </row>
    <row r="2440" ht="15.75" spans="1:2">
      <c r="A2440" s="9" t="s">
        <v>8185</v>
      </c>
      <c r="B2440" s="5" t="s">
        <v>16952</v>
      </c>
    </row>
    <row r="2441" ht="15.75" spans="1:2">
      <c r="A2441" s="9" t="s">
        <v>8189</v>
      </c>
      <c r="B2441" s="5" t="s">
        <v>16952</v>
      </c>
    </row>
    <row r="2442" ht="15.75" spans="1:2">
      <c r="A2442" s="9" t="s">
        <v>8192</v>
      </c>
      <c r="B2442" s="5" t="s">
        <v>16952</v>
      </c>
    </row>
    <row r="2443" ht="15.75" spans="1:2">
      <c r="A2443" s="9" t="s">
        <v>8195</v>
      </c>
      <c r="B2443" s="5" t="s">
        <v>16952</v>
      </c>
    </row>
    <row r="2444" ht="15.75" spans="1:2">
      <c r="A2444" s="9" t="s">
        <v>8198</v>
      </c>
      <c r="B2444" s="5" t="s">
        <v>16952</v>
      </c>
    </row>
    <row r="2445" ht="15.75" spans="1:2">
      <c r="A2445" s="9" t="s">
        <v>8202</v>
      </c>
      <c r="B2445" s="5" t="s">
        <v>16952</v>
      </c>
    </row>
    <row r="2446" ht="15.75" spans="1:2">
      <c r="A2446" s="9" t="s">
        <v>8206</v>
      </c>
      <c r="B2446" s="5" t="s">
        <v>16952</v>
      </c>
    </row>
    <row r="2447" ht="15.75" spans="1:2">
      <c r="A2447" s="9" t="s">
        <v>8209</v>
      </c>
      <c r="B2447" s="5" t="s">
        <v>16952</v>
      </c>
    </row>
    <row r="2448" ht="15.75" spans="1:2">
      <c r="A2448" s="9" t="s">
        <v>8212</v>
      </c>
      <c r="B2448" s="5" t="s">
        <v>16952</v>
      </c>
    </row>
    <row r="2449" ht="15.75" spans="1:2">
      <c r="A2449" s="9" t="s">
        <v>8215</v>
      </c>
      <c r="B2449" s="5" t="s">
        <v>16952</v>
      </c>
    </row>
    <row r="2450" ht="15.75" spans="1:2">
      <c r="A2450" s="9" t="s">
        <v>8218</v>
      </c>
      <c r="B2450" s="5" t="s">
        <v>16952</v>
      </c>
    </row>
    <row r="2451" ht="15.75" spans="1:2">
      <c r="A2451" s="9" t="s">
        <v>8221</v>
      </c>
      <c r="B2451" s="5" t="s">
        <v>16952</v>
      </c>
    </row>
    <row r="2452" ht="15.75" spans="1:2">
      <c r="A2452" s="9" t="s">
        <v>8224</v>
      </c>
      <c r="B2452" s="5" t="s">
        <v>16952</v>
      </c>
    </row>
    <row r="2453" ht="15.75" spans="1:2">
      <c r="A2453" s="9" t="s">
        <v>8228</v>
      </c>
      <c r="B2453" s="5" t="s">
        <v>16952</v>
      </c>
    </row>
    <row r="2454" ht="15.75" spans="1:2">
      <c r="A2454" s="9" t="s">
        <v>8231</v>
      </c>
      <c r="B2454" s="5" t="s">
        <v>16952</v>
      </c>
    </row>
    <row r="2455" ht="15.75" spans="1:2">
      <c r="A2455" s="9" t="s">
        <v>8235</v>
      </c>
      <c r="B2455" s="5" t="s">
        <v>16952</v>
      </c>
    </row>
    <row r="2456" ht="15.75" spans="1:2">
      <c r="A2456" s="9" t="s">
        <v>8239</v>
      </c>
      <c r="B2456" s="5" t="s">
        <v>16952</v>
      </c>
    </row>
    <row r="2457" ht="15.75" spans="1:2">
      <c r="A2457" s="9" t="s">
        <v>8242</v>
      </c>
      <c r="B2457" s="5" t="s">
        <v>16952</v>
      </c>
    </row>
    <row r="2458" ht="15.75" spans="1:2">
      <c r="A2458" s="9" t="s">
        <v>8245</v>
      </c>
      <c r="B2458" s="5" t="s">
        <v>16952</v>
      </c>
    </row>
    <row r="2459" ht="15.75" spans="1:2">
      <c r="A2459" s="9" t="s">
        <v>8248</v>
      </c>
      <c r="B2459" s="5" t="s">
        <v>16952</v>
      </c>
    </row>
    <row r="2460" ht="15.75" spans="1:2">
      <c r="A2460" s="9" t="s">
        <v>8251</v>
      </c>
      <c r="B2460" s="5" t="s">
        <v>16952</v>
      </c>
    </row>
    <row r="2461" ht="15.75" spans="1:2">
      <c r="A2461" s="9" t="s">
        <v>8254</v>
      </c>
      <c r="B2461" s="5" t="s">
        <v>16952</v>
      </c>
    </row>
    <row r="2462" ht="15.75" spans="1:2">
      <c r="A2462" s="9" t="s">
        <v>8257</v>
      </c>
      <c r="B2462" s="5" t="s">
        <v>16952</v>
      </c>
    </row>
    <row r="2463" ht="15.75" spans="1:2">
      <c r="A2463" s="9" t="s">
        <v>8261</v>
      </c>
      <c r="B2463" s="5" t="s">
        <v>16952</v>
      </c>
    </row>
    <row r="2464" ht="15.75" spans="1:2">
      <c r="A2464" s="9" t="s">
        <v>8265</v>
      </c>
      <c r="B2464" s="5" t="s">
        <v>16952</v>
      </c>
    </row>
    <row r="2465" ht="15.75" spans="1:2">
      <c r="A2465" s="9" t="s">
        <v>8268</v>
      </c>
      <c r="B2465" s="5" t="s">
        <v>16952</v>
      </c>
    </row>
    <row r="2466" ht="15.75" spans="1:2">
      <c r="A2466" s="9" t="s">
        <v>8271</v>
      </c>
      <c r="B2466" s="5" t="s">
        <v>16952</v>
      </c>
    </row>
    <row r="2467" ht="15.75" spans="1:2">
      <c r="A2467" s="9" t="s">
        <v>8275</v>
      </c>
      <c r="B2467" s="5" t="s">
        <v>16952</v>
      </c>
    </row>
    <row r="2468" ht="15.75" spans="1:2">
      <c r="A2468" s="9" t="s">
        <v>8278</v>
      </c>
      <c r="B2468" s="5" t="s">
        <v>16952</v>
      </c>
    </row>
    <row r="2469" ht="15.75" spans="1:2">
      <c r="A2469" s="9" t="s">
        <v>8281</v>
      </c>
      <c r="B2469" s="18"/>
    </row>
    <row r="2470" ht="15.75" spans="1:2">
      <c r="A2470" s="9" t="s">
        <v>8282</v>
      </c>
      <c r="B2470" s="5" t="s">
        <v>16952</v>
      </c>
    </row>
    <row r="2471" ht="15.75" spans="1:2">
      <c r="A2471" s="9" t="s">
        <v>8286</v>
      </c>
      <c r="B2471" s="5" t="s">
        <v>16952</v>
      </c>
    </row>
    <row r="2472" ht="15.75" spans="1:2">
      <c r="A2472" s="9" t="s">
        <v>8289</v>
      </c>
      <c r="B2472" s="5" t="s">
        <v>16952</v>
      </c>
    </row>
    <row r="2473" ht="15.75" spans="1:2">
      <c r="A2473" s="9" t="s">
        <v>8294</v>
      </c>
      <c r="B2473" s="5" t="s">
        <v>16952</v>
      </c>
    </row>
    <row r="2474" ht="15.75" spans="1:2">
      <c r="A2474" s="9" t="s">
        <v>8298</v>
      </c>
      <c r="B2474" s="5" t="s">
        <v>16952</v>
      </c>
    </row>
    <row r="2475" ht="15.75" spans="1:2">
      <c r="A2475" s="9" t="s">
        <v>8303</v>
      </c>
      <c r="B2475" s="5" t="s">
        <v>16952</v>
      </c>
    </row>
    <row r="2476" ht="15.75" spans="1:2">
      <c r="A2476" s="9" t="s">
        <v>8307</v>
      </c>
      <c r="B2476" s="5" t="s">
        <v>16952</v>
      </c>
    </row>
    <row r="2477" ht="15.75" spans="1:2">
      <c r="A2477" s="9" t="s">
        <v>8310</v>
      </c>
      <c r="B2477" s="15"/>
    </row>
    <row r="2478" ht="15.75" spans="1:2">
      <c r="A2478" s="9" t="s">
        <v>8310</v>
      </c>
      <c r="B2478" s="12"/>
    </row>
    <row r="2479" ht="15.75" spans="1:2">
      <c r="A2479" s="9" t="s">
        <v>8310</v>
      </c>
      <c r="B2479" s="12"/>
    </row>
    <row r="2480" ht="15.75" spans="1:2">
      <c r="A2480" s="9" t="s">
        <v>8311</v>
      </c>
      <c r="B2480" s="13"/>
    </row>
    <row r="2481" ht="15.75" spans="1:2">
      <c r="A2481" s="9" t="s">
        <v>8315</v>
      </c>
      <c r="B2481" s="5" t="s">
        <v>16952</v>
      </c>
    </row>
    <row r="2482" ht="15.75" spans="1:2">
      <c r="A2482" s="9" t="s">
        <v>8318</v>
      </c>
      <c r="B2482" s="5" t="s">
        <v>16952</v>
      </c>
    </row>
    <row r="2483" ht="15.75" spans="1:2">
      <c r="A2483" s="9" t="s">
        <v>8321</v>
      </c>
      <c r="B2483" s="5" t="s">
        <v>16952</v>
      </c>
    </row>
    <row r="2484" ht="15.75" spans="1:2">
      <c r="A2484" s="9" t="s">
        <v>8324</v>
      </c>
      <c r="B2484" s="5" t="s">
        <v>16952</v>
      </c>
    </row>
    <row r="2485" ht="15.75" spans="1:2">
      <c r="A2485" s="9" t="s">
        <v>8327</v>
      </c>
      <c r="B2485" s="5" t="s">
        <v>16952</v>
      </c>
    </row>
    <row r="2486" ht="15.75" spans="1:2">
      <c r="A2486" s="9" t="s">
        <v>8330</v>
      </c>
      <c r="B2486" s="5" t="s">
        <v>16952</v>
      </c>
    </row>
    <row r="2487" ht="15.75" spans="1:2">
      <c r="A2487" s="9" t="s">
        <v>8333</v>
      </c>
      <c r="B2487" s="5" t="s">
        <v>16952</v>
      </c>
    </row>
    <row r="2488" ht="15.75" spans="1:2">
      <c r="A2488" s="9" t="s">
        <v>8336</v>
      </c>
      <c r="B2488" s="5" t="s">
        <v>16952</v>
      </c>
    </row>
    <row r="2489" ht="15.75" spans="1:2">
      <c r="A2489" s="6" t="s">
        <v>8339</v>
      </c>
      <c r="B2489" s="7" t="s">
        <v>16952</v>
      </c>
    </row>
    <row r="2490" ht="15.75" spans="1:2">
      <c r="A2490" s="9" t="s">
        <v>8343</v>
      </c>
      <c r="B2490" s="5" t="s">
        <v>16952</v>
      </c>
    </row>
    <row r="2491" ht="15.75" spans="1:2">
      <c r="A2491" s="9" t="s">
        <v>8346</v>
      </c>
      <c r="B2491" s="5" t="s">
        <v>16952</v>
      </c>
    </row>
    <row r="2492" ht="15.75" spans="1:2">
      <c r="A2492" s="9" t="s">
        <v>8350</v>
      </c>
      <c r="B2492" s="5" t="s">
        <v>16952</v>
      </c>
    </row>
    <row r="2493" ht="15.75" spans="1:2">
      <c r="A2493" s="9" t="s">
        <v>8354</v>
      </c>
      <c r="B2493" s="5" t="s">
        <v>16952</v>
      </c>
    </row>
    <row r="2494" ht="15.75" spans="1:2">
      <c r="A2494" s="9" t="s">
        <v>8354</v>
      </c>
      <c r="B2494" s="5" t="s">
        <v>16952</v>
      </c>
    </row>
    <row r="2495" ht="15.75" spans="1:2">
      <c r="A2495" s="9" t="s">
        <v>8354</v>
      </c>
      <c r="B2495" s="5" t="s">
        <v>16952</v>
      </c>
    </row>
    <row r="2496" ht="15.75" spans="1:2">
      <c r="A2496" s="9" t="s">
        <v>8354</v>
      </c>
      <c r="B2496" s="5" t="s">
        <v>16952</v>
      </c>
    </row>
    <row r="2497" ht="15.75" spans="1:2">
      <c r="A2497" s="9" t="s">
        <v>8354</v>
      </c>
      <c r="B2497" s="5" t="s">
        <v>16952</v>
      </c>
    </row>
    <row r="2498" ht="15.75" spans="1:2">
      <c r="A2498" s="9" t="s">
        <v>8367</v>
      </c>
      <c r="B2498" s="5" t="s">
        <v>16952</v>
      </c>
    </row>
    <row r="2499" ht="15.75" spans="1:2">
      <c r="A2499" s="9" t="s">
        <v>8370</v>
      </c>
      <c r="B2499" s="5" t="s">
        <v>16952</v>
      </c>
    </row>
    <row r="2500" ht="15.75" spans="1:2">
      <c r="A2500" s="9" t="s">
        <v>8373</v>
      </c>
      <c r="B2500" s="5" t="s">
        <v>16952</v>
      </c>
    </row>
    <row r="2501" ht="15.75" spans="1:2">
      <c r="A2501" s="9" t="s">
        <v>8377</v>
      </c>
      <c r="B2501" s="5" t="s">
        <v>16952</v>
      </c>
    </row>
    <row r="2502" ht="15.75" spans="1:2">
      <c r="A2502" s="9" t="s">
        <v>8380</v>
      </c>
      <c r="B2502" s="5" t="s">
        <v>16952</v>
      </c>
    </row>
    <row r="2503" ht="15.75" spans="1:2">
      <c r="A2503" s="9" t="s">
        <v>8383</v>
      </c>
      <c r="B2503" s="5" t="s">
        <v>16952</v>
      </c>
    </row>
    <row r="2504" ht="15.75" spans="1:2">
      <c r="A2504" s="9" t="s">
        <v>8386</v>
      </c>
      <c r="B2504" s="5" t="s">
        <v>16952</v>
      </c>
    </row>
    <row r="2505" ht="15.75" spans="1:2">
      <c r="A2505" s="9" t="s">
        <v>8389</v>
      </c>
      <c r="B2505" s="5" t="s">
        <v>16952</v>
      </c>
    </row>
    <row r="2506" ht="15.75" spans="1:2">
      <c r="A2506" s="9" t="s">
        <v>8392</v>
      </c>
      <c r="B2506" s="5" t="s">
        <v>16952</v>
      </c>
    </row>
    <row r="2507" ht="15.75" spans="1:2">
      <c r="A2507" s="9" t="s">
        <v>8396</v>
      </c>
      <c r="B2507" s="5" t="s">
        <v>16952</v>
      </c>
    </row>
    <row r="2508" ht="15.75" spans="1:2">
      <c r="A2508" s="9" t="s">
        <v>8399</v>
      </c>
      <c r="B2508" s="5" t="s">
        <v>16952</v>
      </c>
    </row>
    <row r="2509" ht="15.75" spans="1:2">
      <c r="A2509" s="9" t="s">
        <v>8403</v>
      </c>
      <c r="B2509" s="5" t="s">
        <v>16952</v>
      </c>
    </row>
    <row r="2510" ht="15.75" spans="1:2">
      <c r="A2510" s="9" t="s">
        <v>8406</v>
      </c>
      <c r="B2510" s="5" t="s">
        <v>16952</v>
      </c>
    </row>
    <row r="2511" ht="15.75" spans="1:2">
      <c r="A2511" s="9" t="s">
        <v>8409</v>
      </c>
      <c r="B2511" s="5" t="s">
        <v>16952</v>
      </c>
    </row>
    <row r="2512" ht="15.75" spans="1:2">
      <c r="A2512" s="9" t="s">
        <v>8412</v>
      </c>
      <c r="B2512" s="5" t="s">
        <v>16952</v>
      </c>
    </row>
    <row r="2513" ht="15.75" spans="1:2">
      <c r="A2513" s="9" t="s">
        <v>8415</v>
      </c>
      <c r="B2513" s="5" t="s">
        <v>16952</v>
      </c>
    </row>
    <row r="2514" ht="15.75" spans="1:2">
      <c r="A2514" s="9" t="s">
        <v>8419</v>
      </c>
      <c r="B2514" s="5" t="s">
        <v>16952</v>
      </c>
    </row>
    <row r="2515" ht="15.75" spans="1:2">
      <c r="A2515" s="9" t="s">
        <v>8423</v>
      </c>
      <c r="B2515" s="5" t="s">
        <v>16952</v>
      </c>
    </row>
    <row r="2516" ht="15.75" spans="1:2">
      <c r="A2516" s="9" t="s">
        <v>8427</v>
      </c>
      <c r="B2516" s="5" t="s">
        <v>16952</v>
      </c>
    </row>
    <row r="2517" ht="15.75" spans="1:2">
      <c r="A2517" s="9" t="s">
        <v>8430</v>
      </c>
      <c r="B2517" s="10" t="s">
        <v>16952</v>
      </c>
    </row>
    <row r="2518" ht="15.75" spans="1:2">
      <c r="A2518" s="9" t="s">
        <v>8430</v>
      </c>
      <c r="B2518" s="10" t="s">
        <v>16952</v>
      </c>
    </row>
    <row r="2519" ht="15.75" spans="1:2">
      <c r="A2519" s="9" t="s">
        <v>8434</v>
      </c>
      <c r="B2519" s="5" t="s">
        <v>16952</v>
      </c>
    </row>
    <row r="2520" ht="15.75" spans="1:2">
      <c r="A2520" s="9" t="s">
        <v>8437</v>
      </c>
      <c r="B2520" s="5" t="s">
        <v>16952</v>
      </c>
    </row>
    <row r="2521" ht="15.75" spans="1:2">
      <c r="A2521" s="9" t="s">
        <v>8440</v>
      </c>
      <c r="B2521" s="5" t="s">
        <v>16952</v>
      </c>
    </row>
    <row r="2522" ht="15.75" spans="1:2">
      <c r="A2522" s="9" t="s">
        <v>8443</v>
      </c>
      <c r="B2522" s="5" t="s">
        <v>16952</v>
      </c>
    </row>
    <row r="2523" ht="15.75" spans="1:2">
      <c r="A2523" s="9" t="s">
        <v>8447</v>
      </c>
      <c r="B2523" s="5" t="s">
        <v>16952</v>
      </c>
    </row>
    <row r="2524" ht="15.75" spans="1:2">
      <c r="A2524" s="9" t="s">
        <v>8451</v>
      </c>
      <c r="B2524" s="5" t="s">
        <v>16952</v>
      </c>
    </row>
    <row r="2525" ht="15.75" spans="1:2">
      <c r="A2525" s="9" t="s">
        <v>8454</v>
      </c>
      <c r="B2525" s="5" t="s">
        <v>16952</v>
      </c>
    </row>
    <row r="2526" ht="15.75" spans="1:2">
      <c r="A2526" s="9" t="s">
        <v>8457</v>
      </c>
      <c r="B2526" s="5" t="s">
        <v>16952</v>
      </c>
    </row>
    <row r="2527" ht="15.75" spans="1:2">
      <c r="A2527" s="9" t="s">
        <v>8460</v>
      </c>
      <c r="B2527" s="5" t="s">
        <v>16952</v>
      </c>
    </row>
    <row r="2528" ht="15.75" spans="1:2">
      <c r="A2528" s="9" t="s">
        <v>8463</v>
      </c>
      <c r="B2528" s="5" t="s">
        <v>16952</v>
      </c>
    </row>
    <row r="2529" ht="15.75" spans="1:2">
      <c r="A2529" s="9" t="s">
        <v>8466</v>
      </c>
      <c r="B2529" s="5" t="s">
        <v>16952</v>
      </c>
    </row>
    <row r="2530" ht="15.75" spans="1:2">
      <c r="A2530" s="9" t="s">
        <v>8470</v>
      </c>
      <c r="B2530" s="5" t="s">
        <v>16952</v>
      </c>
    </row>
    <row r="2531" ht="15.75" spans="1:2">
      <c r="A2531" s="9" t="s">
        <v>8473</v>
      </c>
      <c r="B2531" s="5" t="s">
        <v>16952</v>
      </c>
    </row>
    <row r="2532" ht="15.75" spans="1:2">
      <c r="A2532" s="9" t="s">
        <v>8476</v>
      </c>
      <c r="B2532" s="5" t="s">
        <v>16952</v>
      </c>
    </row>
    <row r="2533" ht="15.75" spans="1:2">
      <c r="A2533" s="9" t="s">
        <v>8479</v>
      </c>
      <c r="B2533" s="5" t="s">
        <v>16952</v>
      </c>
    </row>
    <row r="2534" ht="15.75" spans="1:2">
      <c r="A2534" s="9" t="s">
        <v>8483</v>
      </c>
      <c r="B2534" s="5" t="s">
        <v>16952</v>
      </c>
    </row>
    <row r="2535" ht="15.75" spans="1:2">
      <c r="A2535" s="9" t="s">
        <v>8487</v>
      </c>
      <c r="B2535" s="5" t="s">
        <v>16952</v>
      </c>
    </row>
    <row r="2536" ht="15.75" spans="1:2">
      <c r="A2536" s="9" t="s">
        <v>8491</v>
      </c>
      <c r="B2536" s="5" t="s">
        <v>16952</v>
      </c>
    </row>
    <row r="2537" ht="15.75" spans="1:2">
      <c r="A2537" s="9" t="s">
        <v>8495</v>
      </c>
      <c r="B2537" s="5" t="s">
        <v>16952</v>
      </c>
    </row>
    <row r="2538" ht="15.75" spans="1:2">
      <c r="A2538" s="9" t="s">
        <v>8498</v>
      </c>
      <c r="B2538" s="5" t="s">
        <v>16952</v>
      </c>
    </row>
    <row r="2539" ht="15.75" spans="1:2">
      <c r="A2539" s="9" t="s">
        <v>8501</v>
      </c>
      <c r="B2539" s="5" t="s">
        <v>16952</v>
      </c>
    </row>
    <row r="2540" ht="15.75" spans="1:2">
      <c r="A2540" s="9" t="s">
        <v>8504</v>
      </c>
      <c r="B2540" s="5" t="s">
        <v>16952</v>
      </c>
    </row>
    <row r="2541" ht="15.75" spans="1:2">
      <c r="A2541" s="9" t="s">
        <v>8507</v>
      </c>
      <c r="B2541" s="5" t="s">
        <v>16952</v>
      </c>
    </row>
    <row r="2542" ht="15.75" spans="1:2">
      <c r="A2542" s="9" t="s">
        <v>8512</v>
      </c>
      <c r="B2542" s="5" t="s">
        <v>16952</v>
      </c>
    </row>
    <row r="2543" ht="15.75" spans="1:2">
      <c r="A2543" s="9" t="s">
        <v>8515</v>
      </c>
      <c r="B2543" s="5" t="s">
        <v>16952</v>
      </c>
    </row>
    <row r="2544" ht="15.75" spans="1:2">
      <c r="A2544" s="9" t="s">
        <v>8518</v>
      </c>
      <c r="B2544" s="5" t="s">
        <v>16952</v>
      </c>
    </row>
    <row r="2545" ht="15.75" spans="1:2">
      <c r="A2545" s="9" t="s">
        <v>8522</v>
      </c>
      <c r="B2545" s="5" t="s">
        <v>16952</v>
      </c>
    </row>
    <row r="2546" ht="15.75" spans="1:2">
      <c r="A2546" s="9" t="s">
        <v>8525</v>
      </c>
      <c r="B2546" s="5" t="s">
        <v>16952</v>
      </c>
    </row>
    <row r="2547" ht="15.75" spans="1:2">
      <c r="A2547" s="9" t="s">
        <v>8528</v>
      </c>
      <c r="B2547" s="5" t="s">
        <v>16952</v>
      </c>
    </row>
    <row r="2548" ht="15.75" spans="1:2">
      <c r="A2548" s="9" t="s">
        <v>8531</v>
      </c>
      <c r="B2548" s="5" t="s">
        <v>16952</v>
      </c>
    </row>
    <row r="2549" ht="15.75" spans="1:2">
      <c r="A2549" s="9" t="s">
        <v>8535</v>
      </c>
      <c r="B2549" s="5" t="s">
        <v>16952</v>
      </c>
    </row>
    <row r="2550" ht="15.75" spans="1:2">
      <c r="A2550" s="9" t="s">
        <v>8538</v>
      </c>
      <c r="B2550" s="5" t="s">
        <v>16952</v>
      </c>
    </row>
    <row r="2551" ht="15.75" spans="1:2">
      <c r="A2551" s="9" t="s">
        <v>8542</v>
      </c>
      <c r="B2551" s="5" t="s">
        <v>16952</v>
      </c>
    </row>
    <row r="2552" ht="15.75" spans="1:2">
      <c r="A2552" s="9" t="s">
        <v>8545</v>
      </c>
      <c r="B2552" s="5" t="s">
        <v>16952</v>
      </c>
    </row>
    <row r="2553" ht="15.75" spans="1:2">
      <c r="A2553" s="9" t="s">
        <v>8548</v>
      </c>
      <c r="B2553" s="5" t="s">
        <v>16952</v>
      </c>
    </row>
    <row r="2554" ht="15.75" spans="1:2">
      <c r="A2554" s="9" t="s">
        <v>8552</v>
      </c>
      <c r="B2554" s="5" t="s">
        <v>16952</v>
      </c>
    </row>
    <row r="2555" ht="15.75" spans="1:2">
      <c r="A2555" s="9" t="s">
        <v>8555</v>
      </c>
      <c r="B2555" s="5" t="s">
        <v>16952</v>
      </c>
    </row>
    <row r="2556" ht="15.75" spans="1:2">
      <c r="A2556" s="9" t="s">
        <v>8558</v>
      </c>
      <c r="B2556" s="5" t="s">
        <v>16952</v>
      </c>
    </row>
    <row r="2557" ht="15.75" spans="1:2">
      <c r="A2557" s="9" t="s">
        <v>8562</v>
      </c>
      <c r="B2557" s="5" t="s">
        <v>16952</v>
      </c>
    </row>
    <row r="2558" ht="15.75" spans="1:2">
      <c r="A2558" s="9" t="s">
        <v>8565</v>
      </c>
      <c r="B2558" s="5" t="s">
        <v>16952</v>
      </c>
    </row>
    <row r="2559" ht="15.75" spans="1:2">
      <c r="A2559" s="9" t="s">
        <v>8570</v>
      </c>
      <c r="B2559" s="5" t="s">
        <v>16952</v>
      </c>
    </row>
    <row r="2560" ht="15.75" spans="1:2">
      <c r="A2560" s="9" t="s">
        <v>8574</v>
      </c>
      <c r="B2560" s="5" t="s">
        <v>16952</v>
      </c>
    </row>
    <row r="2561" ht="15.75" spans="1:2">
      <c r="A2561" s="9" t="s">
        <v>8578</v>
      </c>
      <c r="B2561" s="5" t="s">
        <v>16952</v>
      </c>
    </row>
    <row r="2562" ht="15.75" spans="1:2">
      <c r="A2562" s="9" t="s">
        <v>8581</v>
      </c>
      <c r="B2562" s="5" t="s">
        <v>16952</v>
      </c>
    </row>
    <row r="2563" ht="15.75" spans="1:2">
      <c r="A2563" s="9" t="s">
        <v>8584</v>
      </c>
      <c r="B2563" s="5" t="s">
        <v>16952</v>
      </c>
    </row>
    <row r="2564" ht="15.75" spans="1:2">
      <c r="A2564" s="9" t="s">
        <v>8587</v>
      </c>
      <c r="B2564" s="5" t="s">
        <v>16952</v>
      </c>
    </row>
    <row r="2565" ht="15.75" spans="1:2">
      <c r="A2565" s="9" t="s">
        <v>8590</v>
      </c>
      <c r="B2565" s="5" t="s">
        <v>16952</v>
      </c>
    </row>
    <row r="2566" ht="15.75" spans="1:2">
      <c r="A2566" s="9" t="s">
        <v>8594</v>
      </c>
      <c r="B2566" s="5" t="s">
        <v>16952</v>
      </c>
    </row>
    <row r="2567" ht="15.75" spans="1:2">
      <c r="A2567" s="9" t="s">
        <v>8597</v>
      </c>
      <c r="B2567" s="5" t="s">
        <v>16952</v>
      </c>
    </row>
    <row r="2568" ht="15.75" spans="1:2">
      <c r="A2568" s="9" t="s">
        <v>8600</v>
      </c>
      <c r="B2568" s="5" t="s">
        <v>16952</v>
      </c>
    </row>
    <row r="2569" ht="15.75" spans="1:2">
      <c r="A2569" s="9" t="s">
        <v>8603</v>
      </c>
      <c r="B2569" s="5" t="s">
        <v>16952</v>
      </c>
    </row>
    <row r="2570" ht="15.75" spans="1:2">
      <c r="A2570" s="9" t="s">
        <v>8608</v>
      </c>
      <c r="B2570" s="5" t="s">
        <v>16952</v>
      </c>
    </row>
    <row r="2571" ht="15.75" spans="1:2">
      <c r="A2571" s="9" t="s">
        <v>8611</v>
      </c>
      <c r="B2571" s="5" t="s">
        <v>16952</v>
      </c>
    </row>
    <row r="2572" ht="15.75" spans="1:2">
      <c r="A2572" s="9" t="s">
        <v>8615</v>
      </c>
      <c r="B2572" s="5" t="s">
        <v>16952</v>
      </c>
    </row>
    <row r="2573" ht="15.75" spans="1:2">
      <c r="A2573" s="9" t="s">
        <v>8620</v>
      </c>
      <c r="B2573" s="5" t="s">
        <v>16952</v>
      </c>
    </row>
    <row r="2574" ht="15.75" spans="1:2">
      <c r="A2574" s="9" t="s">
        <v>8624</v>
      </c>
      <c r="B2574" s="5" t="s">
        <v>16952</v>
      </c>
    </row>
    <row r="2575" ht="15.75" spans="1:2">
      <c r="A2575" s="9" t="s">
        <v>8628</v>
      </c>
      <c r="B2575" s="11"/>
    </row>
    <row r="2576" ht="15.75" spans="1:2">
      <c r="A2576" s="9" t="s">
        <v>8629</v>
      </c>
      <c r="B2576" s="5" t="s">
        <v>16952</v>
      </c>
    </row>
    <row r="2577" ht="15.75" spans="1:2">
      <c r="A2577" s="9" t="s">
        <v>8632</v>
      </c>
      <c r="B2577" s="5" t="s">
        <v>16952</v>
      </c>
    </row>
    <row r="2578" ht="15.75" spans="1:2">
      <c r="A2578" s="9" t="s">
        <v>8636</v>
      </c>
      <c r="B2578" s="5" t="s">
        <v>16952</v>
      </c>
    </row>
    <row r="2579" ht="15.75" spans="1:2">
      <c r="A2579" s="9" t="s">
        <v>8639</v>
      </c>
      <c r="B2579" s="5"/>
    </row>
    <row r="2580" ht="15.75" spans="1:2">
      <c r="A2580" s="9" t="s">
        <v>8643</v>
      </c>
      <c r="B2580" s="5" t="s">
        <v>16952</v>
      </c>
    </row>
    <row r="2581" ht="15.75" spans="1:2">
      <c r="A2581" s="9" t="s">
        <v>8647</v>
      </c>
      <c r="B2581" s="5" t="s">
        <v>16952</v>
      </c>
    </row>
    <row r="2582" ht="15.75" spans="1:2">
      <c r="A2582" s="9" t="s">
        <v>8650</v>
      </c>
      <c r="B2582" s="5" t="s">
        <v>16952</v>
      </c>
    </row>
    <row r="2583" ht="15.75" spans="1:2">
      <c r="A2583" s="9" t="s">
        <v>8653</v>
      </c>
      <c r="B2583" s="5" t="s">
        <v>16952</v>
      </c>
    </row>
    <row r="2584" ht="15.75" spans="1:2">
      <c r="A2584" s="9" t="s">
        <v>8656</v>
      </c>
      <c r="B2584" s="5" t="s">
        <v>16952</v>
      </c>
    </row>
    <row r="2585" ht="15.75" spans="1:2">
      <c r="A2585" s="9" t="s">
        <v>8659</v>
      </c>
      <c r="B2585" s="5" t="s">
        <v>16952</v>
      </c>
    </row>
    <row r="2586" ht="15.75" spans="1:2">
      <c r="A2586" s="9" t="s">
        <v>8662</v>
      </c>
      <c r="B2586" s="5" t="s">
        <v>16952</v>
      </c>
    </row>
    <row r="2587" ht="15.75" spans="1:2">
      <c r="A2587" s="9" t="s">
        <v>8665</v>
      </c>
      <c r="B2587" s="5" t="s">
        <v>16952</v>
      </c>
    </row>
    <row r="2588" ht="15.75" spans="1:2">
      <c r="A2588" s="9" t="s">
        <v>8668</v>
      </c>
      <c r="B2588" s="5" t="s">
        <v>16952</v>
      </c>
    </row>
    <row r="2589" ht="15.75" spans="1:2">
      <c r="A2589" s="9" t="s">
        <v>8671</v>
      </c>
      <c r="B2589" s="8"/>
    </row>
    <row r="2590" ht="15.75" spans="1:2">
      <c r="A2590" s="9" t="s">
        <v>8675</v>
      </c>
      <c r="B2590" s="5" t="s">
        <v>16952</v>
      </c>
    </row>
    <row r="2591" ht="15.75" spans="1:2">
      <c r="A2591" s="9" t="s">
        <v>8678</v>
      </c>
      <c r="B2591" s="5" t="s">
        <v>16952</v>
      </c>
    </row>
    <row r="2592" ht="15.75" spans="1:2">
      <c r="A2592" s="9" t="s">
        <v>8682</v>
      </c>
      <c r="B2592" s="5" t="s">
        <v>16952</v>
      </c>
    </row>
    <row r="2593" ht="15.75" spans="1:2">
      <c r="A2593" s="9" t="s">
        <v>8686</v>
      </c>
      <c r="B2593" s="5" t="s">
        <v>16952</v>
      </c>
    </row>
    <row r="2594" ht="15.75" spans="1:2">
      <c r="A2594" s="9" t="s">
        <v>8689</v>
      </c>
      <c r="B2594" s="5" t="s">
        <v>16952</v>
      </c>
    </row>
    <row r="2595" ht="15.75" spans="1:2">
      <c r="A2595" s="9" t="s">
        <v>8692</v>
      </c>
      <c r="B2595" s="5" t="s">
        <v>16952</v>
      </c>
    </row>
    <row r="2596" ht="15.75" spans="1:2">
      <c r="A2596" s="9" t="s">
        <v>8696</v>
      </c>
      <c r="B2596" s="5" t="s">
        <v>16952</v>
      </c>
    </row>
    <row r="2597" ht="15.75" spans="1:2">
      <c r="A2597" s="9" t="s">
        <v>8700</v>
      </c>
      <c r="B2597" s="5" t="s">
        <v>16952</v>
      </c>
    </row>
    <row r="2598" ht="15.75" spans="1:2">
      <c r="A2598" s="9" t="s">
        <v>8704</v>
      </c>
      <c r="B2598" s="5" t="s">
        <v>16952</v>
      </c>
    </row>
    <row r="2599" ht="15.75" spans="1:2">
      <c r="A2599" s="9" t="s">
        <v>8708</v>
      </c>
      <c r="B2599" s="5" t="s">
        <v>16952</v>
      </c>
    </row>
    <row r="2600" ht="15.75" spans="1:2">
      <c r="A2600" s="9" t="s">
        <v>8712</v>
      </c>
      <c r="B2600" s="5" t="s">
        <v>16952</v>
      </c>
    </row>
    <row r="2601" ht="15.75" spans="1:2">
      <c r="A2601" s="9" t="s">
        <v>8716</v>
      </c>
      <c r="B2601" s="5" t="s">
        <v>16952</v>
      </c>
    </row>
    <row r="2602" ht="15.75" spans="1:2">
      <c r="A2602" s="9" t="s">
        <v>8720</v>
      </c>
      <c r="B2602" s="5" t="s">
        <v>16952</v>
      </c>
    </row>
    <row r="2603" ht="15.75" spans="1:2">
      <c r="A2603" s="9" t="s">
        <v>8723</v>
      </c>
      <c r="B2603" s="5" t="s">
        <v>16952</v>
      </c>
    </row>
    <row r="2604" ht="15.75" spans="1:2">
      <c r="A2604" s="9" t="s">
        <v>8726</v>
      </c>
      <c r="B2604" s="5" t="s">
        <v>16952</v>
      </c>
    </row>
    <row r="2605" ht="15.75" spans="1:2">
      <c r="A2605" s="9" t="s">
        <v>8729</v>
      </c>
      <c r="B2605" s="5" t="s">
        <v>16952</v>
      </c>
    </row>
    <row r="2606" ht="15.75" spans="1:2">
      <c r="A2606" s="9" t="s">
        <v>8732</v>
      </c>
      <c r="B2606" s="5" t="s">
        <v>16952</v>
      </c>
    </row>
    <row r="2607" ht="15.75" spans="1:2">
      <c r="A2607" s="9" t="s">
        <v>8735</v>
      </c>
      <c r="B2607" s="5" t="s">
        <v>16952</v>
      </c>
    </row>
    <row r="2608" ht="15.75" spans="1:2">
      <c r="A2608" s="9" t="s">
        <v>8738</v>
      </c>
      <c r="B2608" s="5" t="s">
        <v>16952</v>
      </c>
    </row>
    <row r="2609" ht="15.75" spans="1:2">
      <c r="A2609" s="9" t="s">
        <v>8741</v>
      </c>
      <c r="B2609" s="5" t="s">
        <v>16952</v>
      </c>
    </row>
    <row r="2610" ht="15.75" spans="1:2">
      <c r="A2610" s="9" t="s">
        <v>8744</v>
      </c>
      <c r="B2610" s="5" t="s">
        <v>16952</v>
      </c>
    </row>
    <row r="2611" ht="15.75" spans="1:2">
      <c r="A2611" s="9" t="s">
        <v>8748</v>
      </c>
      <c r="B2611" s="5" t="s">
        <v>16952</v>
      </c>
    </row>
    <row r="2612" ht="15.75" spans="1:2">
      <c r="A2612" s="9" t="s">
        <v>8752</v>
      </c>
      <c r="B2612" s="5" t="s">
        <v>16952</v>
      </c>
    </row>
    <row r="2613" ht="15.75" spans="1:2">
      <c r="A2613" s="9" t="s">
        <v>8756</v>
      </c>
      <c r="B2613" s="5" t="s">
        <v>16952</v>
      </c>
    </row>
    <row r="2614" ht="15.75" spans="1:2">
      <c r="A2614" s="9" t="s">
        <v>8760</v>
      </c>
      <c r="B2614" s="5" t="s">
        <v>16952</v>
      </c>
    </row>
    <row r="2615" ht="15.75" spans="1:2">
      <c r="A2615" s="9" t="s">
        <v>8763</v>
      </c>
      <c r="B2615" s="5" t="s">
        <v>16952</v>
      </c>
    </row>
    <row r="2616" ht="15.75" spans="1:2">
      <c r="A2616" s="9" t="s">
        <v>8766</v>
      </c>
      <c r="B2616" s="5" t="s">
        <v>16952</v>
      </c>
    </row>
    <row r="2617" ht="15.75" spans="1:2">
      <c r="A2617" s="9" t="s">
        <v>8769</v>
      </c>
      <c r="B2617" s="5" t="s">
        <v>16952</v>
      </c>
    </row>
    <row r="2618" ht="15.75" spans="1:2">
      <c r="A2618" s="9" t="s">
        <v>8774</v>
      </c>
      <c r="B2618" s="5" t="s">
        <v>16952</v>
      </c>
    </row>
    <row r="2619" ht="15.75" spans="1:2">
      <c r="A2619" s="9" t="s">
        <v>8779</v>
      </c>
      <c r="B2619" s="5" t="s">
        <v>16952</v>
      </c>
    </row>
    <row r="2620" ht="15.75" spans="1:2">
      <c r="A2620" s="9" t="s">
        <v>8780</v>
      </c>
      <c r="B2620" s="5" t="s">
        <v>16952</v>
      </c>
    </row>
    <row r="2621" ht="15.75" spans="1:2">
      <c r="A2621" s="9" t="s">
        <v>8785</v>
      </c>
      <c r="B2621" s="5" t="s">
        <v>16952</v>
      </c>
    </row>
    <row r="2622" ht="15.75" spans="1:2">
      <c r="A2622" s="9" t="s">
        <v>8790</v>
      </c>
      <c r="B2622" s="5" t="s">
        <v>16952</v>
      </c>
    </row>
    <row r="2623" ht="15.75" spans="1:2">
      <c r="A2623" s="9" t="s">
        <v>8794</v>
      </c>
      <c r="B2623" s="5" t="s">
        <v>16952</v>
      </c>
    </row>
    <row r="2624" ht="15.75" spans="1:2">
      <c r="A2624" s="9" t="s">
        <v>8799</v>
      </c>
      <c r="B2624" s="5" t="s">
        <v>16952</v>
      </c>
    </row>
    <row r="2625" ht="15.75" spans="1:2">
      <c r="A2625" s="9" t="s">
        <v>8803</v>
      </c>
      <c r="B2625" s="5" t="s">
        <v>16952</v>
      </c>
    </row>
    <row r="2626" ht="15.75" spans="1:2">
      <c r="A2626" s="9" t="s">
        <v>8807</v>
      </c>
      <c r="B2626" s="5" t="s">
        <v>16952</v>
      </c>
    </row>
    <row r="2627" ht="15.75" spans="1:2">
      <c r="A2627" s="9" t="s">
        <v>8810</v>
      </c>
      <c r="B2627" s="5" t="s">
        <v>16952</v>
      </c>
    </row>
    <row r="2628" ht="15.75" spans="1:2">
      <c r="A2628" s="9" t="s">
        <v>8813</v>
      </c>
      <c r="B2628" s="5" t="s">
        <v>16952</v>
      </c>
    </row>
    <row r="2629" ht="15.75" spans="1:2">
      <c r="A2629" s="9" t="s">
        <v>8817</v>
      </c>
      <c r="B2629" s="5" t="s">
        <v>16952</v>
      </c>
    </row>
    <row r="2630" ht="15.75" spans="1:2">
      <c r="A2630" s="9" t="s">
        <v>8821</v>
      </c>
      <c r="B2630" s="5" t="s">
        <v>16952</v>
      </c>
    </row>
    <row r="2631" ht="15.75" spans="1:2">
      <c r="A2631" s="9" t="s">
        <v>8824</v>
      </c>
      <c r="B2631" s="5" t="s">
        <v>16952</v>
      </c>
    </row>
    <row r="2632" ht="15.75" spans="1:2">
      <c r="A2632" s="9" t="s">
        <v>8827</v>
      </c>
      <c r="B2632" s="5" t="s">
        <v>16952</v>
      </c>
    </row>
    <row r="2633" ht="15.75" spans="1:2">
      <c r="A2633" s="9" t="s">
        <v>8832</v>
      </c>
      <c r="B2633" s="5" t="s">
        <v>16952</v>
      </c>
    </row>
    <row r="2634" ht="15.75" spans="1:2">
      <c r="A2634" s="9" t="s">
        <v>8835</v>
      </c>
      <c r="B2634" s="5" t="s">
        <v>16952</v>
      </c>
    </row>
    <row r="2635" ht="15.75" spans="1:2">
      <c r="A2635" s="9" t="s">
        <v>8839</v>
      </c>
      <c r="B2635" s="5" t="s">
        <v>16952</v>
      </c>
    </row>
    <row r="2636" ht="15.75" spans="1:2">
      <c r="A2636" s="9" t="s">
        <v>8842</v>
      </c>
      <c r="B2636" s="5" t="s">
        <v>16952</v>
      </c>
    </row>
    <row r="2637" ht="15.75" spans="1:2">
      <c r="A2637" s="9" t="s">
        <v>8845</v>
      </c>
      <c r="B2637" s="5" t="s">
        <v>16952</v>
      </c>
    </row>
    <row r="2638" ht="15.75" spans="1:2">
      <c r="A2638" s="9" t="s">
        <v>8848</v>
      </c>
      <c r="B2638" s="5" t="s">
        <v>16952</v>
      </c>
    </row>
    <row r="2639" ht="15.75" spans="1:2">
      <c r="A2639" s="9" t="s">
        <v>8851</v>
      </c>
      <c r="B2639" s="5" t="s">
        <v>16952</v>
      </c>
    </row>
    <row r="2640" ht="15.75" spans="1:2">
      <c r="A2640" s="9" t="s">
        <v>8855</v>
      </c>
      <c r="B2640" s="5" t="s">
        <v>16952</v>
      </c>
    </row>
    <row r="2641" ht="15.75" spans="1:2">
      <c r="A2641" s="9" t="s">
        <v>8858</v>
      </c>
      <c r="B2641" s="5" t="s">
        <v>16952</v>
      </c>
    </row>
    <row r="2642" ht="15.75" spans="1:2">
      <c r="A2642" s="9" t="s">
        <v>8861</v>
      </c>
      <c r="B2642" s="5" t="s">
        <v>16952</v>
      </c>
    </row>
    <row r="2643" ht="15.75" spans="1:2">
      <c r="A2643" s="9" t="s">
        <v>8864</v>
      </c>
      <c r="B2643" s="5" t="s">
        <v>16952</v>
      </c>
    </row>
    <row r="2644" ht="15.75" spans="1:2">
      <c r="A2644" s="9" t="s">
        <v>8867</v>
      </c>
      <c r="B2644" s="5" t="s">
        <v>16952</v>
      </c>
    </row>
    <row r="2645" ht="15.75" spans="1:2">
      <c r="A2645" s="9" t="s">
        <v>8871</v>
      </c>
      <c r="B2645" s="5" t="s">
        <v>16952</v>
      </c>
    </row>
    <row r="2646" ht="15.75" spans="1:2">
      <c r="A2646" s="9" t="s">
        <v>8875</v>
      </c>
      <c r="B2646" s="5" t="s">
        <v>16952</v>
      </c>
    </row>
    <row r="2647" ht="15.75" spans="1:2">
      <c r="A2647" s="9" t="s">
        <v>8878</v>
      </c>
      <c r="B2647" s="5" t="s">
        <v>16952</v>
      </c>
    </row>
    <row r="2648" ht="15.75" spans="1:2">
      <c r="A2648" s="9" t="s">
        <v>8881</v>
      </c>
      <c r="B2648" s="5" t="s">
        <v>16952</v>
      </c>
    </row>
    <row r="2649" ht="15.75" spans="1:2">
      <c r="A2649" s="9" t="s">
        <v>8884</v>
      </c>
      <c r="B2649" s="5" t="s">
        <v>16952</v>
      </c>
    </row>
    <row r="2650" ht="15.75" spans="1:2">
      <c r="A2650" s="9" t="s">
        <v>8887</v>
      </c>
      <c r="B2650" s="5" t="s">
        <v>16952</v>
      </c>
    </row>
    <row r="2651" ht="15.75" spans="1:2">
      <c r="A2651" s="9" t="s">
        <v>8890</v>
      </c>
      <c r="B2651" s="5" t="s">
        <v>16952</v>
      </c>
    </row>
    <row r="2652" ht="15.75" spans="1:2">
      <c r="A2652" s="9" t="s">
        <v>8893</v>
      </c>
      <c r="B2652" s="5" t="s">
        <v>16952</v>
      </c>
    </row>
    <row r="2653" ht="15.75" spans="1:2">
      <c r="A2653" s="9" t="s">
        <v>8897</v>
      </c>
      <c r="B2653" s="5" t="s">
        <v>16952</v>
      </c>
    </row>
    <row r="2654" ht="15.75" spans="1:2">
      <c r="A2654" s="9" t="s">
        <v>8900</v>
      </c>
      <c r="B2654" s="5" t="s">
        <v>16952</v>
      </c>
    </row>
    <row r="2655" ht="15.75" spans="1:2">
      <c r="A2655" s="9" t="s">
        <v>8903</v>
      </c>
      <c r="B2655" s="5" t="s">
        <v>16952</v>
      </c>
    </row>
    <row r="2656" ht="15.75" spans="1:2">
      <c r="A2656" s="9" t="s">
        <v>8906</v>
      </c>
      <c r="B2656" s="5" t="s">
        <v>16952</v>
      </c>
    </row>
    <row r="2657" ht="15.75" spans="1:2">
      <c r="A2657" s="9" t="s">
        <v>8909</v>
      </c>
      <c r="B2657" s="5" t="s">
        <v>16952</v>
      </c>
    </row>
    <row r="2658" ht="15.75" spans="1:2">
      <c r="A2658" s="9" t="s">
        <v>8913</v>
      </c>
      <c r="B2658" s="5" t="s">
        <v>16952</v>
      </c>
    </row>
    <row r="2659" ht="15.75" spans="1:2">
      <c r="A2659" s="9" t="s">
        <v>8916</v>
      </c>
      <c r="B2659" s="5" t="s">
        <v>16952</v>
      </c>
    </row>
    <row r="2660" ht="15.75" spans="1:2">
      <c r="A2660" s="9" t="s">
        <v>8919</v>
      </c>
      <c r="B2660" s="5" t="s">
        <v>16952</v>
      </c>
    </row>
    <row r="2661" ht="15.75" spans="1:2">
      <c r="A2661" s="9" t="s">
        <v>8922</v>
      </c>
      <c r="B2661" s="5" t="s">
        <v>16952</v>
      </c>
    </row>
    <row r="2662" ht="15.75" spans="1:2">
      <c r="A2662" s="9" t="s">
        <v>8926</v>
      </c>
      <c r="B2662" s="5" t="s">
        <v>16952</v>
      </c>
    </row>
    <row r="2663" ht="15.75" spans="1:2">
      <c r="A2663" s="9" t="s">
        <v>8929</v>
      </c>
      <c r="B2663" s="11">
        <v>37798738</v>
      </c>
    </row>
    <row r="2664" ht="15.75" spans="1:2">
      <c r="A2664" s="9" t="s">
        <v>8930</v>
      </c>
      <c r="B2664" s="5" t="s">
        <v>16952</v>
      </c>
    </row>
    <row r="2665" ht="15.75" spans="1:2">
      <c r="A2665" s="9" t="s">
        <v>8933</v>
      </c>
      <c r="B2665" s="5" t="s">
        <v>16952</v>
      </c>
    </row>
    <row r="2666" ht="15.75" spans="1:2">
      <c r="A2666" s="9" t="s">
        <v>8937</v>
      </c>
      <c r="B2666" s="5" t="s">
        <v>16952</v>
      </c>
    </row>
    <row r="2667" ht="15.75" spans="1:2">
      <c r="A2667" s="9" t="s">
        <v>8940</v>
      </c>
      <c r="B2667" s="5" t="s">
        <v>16952</v>
      </c>
    </row>
    <row r="2668" ht="15.75" spans="1:2">
      <c r="A2668" s="9" t="s">
        <v>8944</v>
      </c>
      <c r="B2668" s="5" t="s">
        <v>16952</v>
      </c>
    </row>
    <row r="2669" ht="15.75" spans="1:2">
      <c r="A2669" s="9" t="s">
        <v>8947</v>
      </c>
      <c r="B2669" s="5" t="s">
        <v>16952</v>
      </c>
    </row>
    <row r="2670" ht="15.75" spans="1:2">
      <c r="A2670" s="9" t="s">
        <v>8952</v>
      </c>
      <c r="B2670" s="5" t="s">
        <v>16952</v>
      </c>
    </row>
    <row r="2671" ht="15.75" spans="1:2">
      <c r="A2671" s="9" t="s">
        <v>8955</v>
      </c>
      <c r="B2671" s="5" t="s">
        <v>16952</v>
      </c>
    </row>
    <row r="2672" ht="15.75" spans="1:2">
      <c r="A2672" s="9" t="s">
        <v>8958</v>
      </c>
      <c r="B2672" s="5" t="s">
        <v>16952</v>
      </c>
    </row>
    <row r="2673" ht="15.75" spans="1:2">
      <c r="A2673" s="9" t="s">
        <v>8961</v>
      </c>
      <c r="B2673" s="5" t="s">
        <v>16952</v>
      </c>
    </row>
    <row r="2674" ht="15.75" spans="1:2">
      <c r="A2674" s="9" t="s">
        <v>8964</v>
      </c>
      <c r="B2674" s="5" t="s">
        <v>16952</v>
      </c>
    </row>
    <row r="2675" ht="15.75" spans="1:2">
      <c r="A2675" s="9" t="s">
        <v>8967</v>
      </c>
      <c r="B2675" s="5" t="s">
        <v>16952</v>
      </c>
    </row>
    <row r="2676" ht="31.5" spans="1:2">
      <c r="A2676" s="9" t="s">
        <v>8971</v>
      </c>
      <c r="B2676" s="8" t="s">
        <v>16978</v>
      </c>
    </row>
    <row r="2677" ht="15.75" spans="1:2">
      <c r="A2677" s="9" t="s">
        <v>8972</v>
      </c>
      <c r="B2677" s="5" t="s">
        <v>16952</v>
      </c>
    </row>
    <row r="2678" ht="15.75" spans="1:2">
      <c r="A2678" s="9" t="s">
        <v>8975</v>
      </c>
      <c r="B2678" s="5" t="s">
        <v>16952</v>
      </c>
    </row>
    <row r="2679" ht="15.75" spans="1:2">
      <c r="A2679" s="9" t="s">
        <v>8979</v>
      </c>
      <c r="B2679" s="5" t="s">
        <v>16952</v>
      </c>
    </row>
    <row r="2680" ht="15.75" spans="1:2">
      <c r="A2680" s="9" t="s">
        <v>8982</v>
      </c>
      <c r="B2680" s="5" t="s">
        <v>16952</v>
      </c>
    </row>
    <row r="2681" ht="15.75" spans="1:2">
      <c r="A2681" s="9" t="s">
        <v>8985</v>
      </c>
      <c r="B2681" s="5" t="s">
        <v>16952</v>
      </c>
    </row>
    <row r="2682" ht="15.75" spans="1:2">
      <c r="A2682" s="9" t="s">
        <v>8988</v>
      </c>
      <c r="B2682" s="5" t="s">
        <v>16952</v>
      </c>
    </row>
    <row r="2683" ht="15.75" spans="1:2">
      <c r="A2683" s="9" t="s">
        <v>8991</v>
      </c>
      <c r="B2683" s="5" t="s">
        <v>16952</v>
      </c>
    </row>
    <row r="2684" ht="15.75" spans="1:2">
      <c r="A2684" s="9" t="s">
        <v>8994</v>
      </c>
      <c r="B2684" s="5" t="s">
        <v>16952</v>
      </c>
    </row>
    <row r="2685" ht="15.75" spans="1:2">
      <c r="A2685" s="9" t="s">
        <v>8997</v>
      </c>
      <c r="B2685" s="8"/>
    </row>
    <row r="2686" ht="15.75" spans="1:2">
      <c r="A2686" s="9" t="s">
        <v>8998</v>
      </c>
      <c r="B2686" s="10" t="s">
        <v>16952</v>
      </c>
    </row>
    <row r="2687" ht="15.75" spans="1:2">
      <c r="A2687" s="9" t="s">
        <v>8998</v>
      </c>
      <c r="B2687" s="10" t="s">
        <v>16952</v>
      </c>
    </row>
    <row r="2688" ht="15.75" spans="1:2">
      <c r="A2688" s="9" t="s">
        <v>9002</v>
      </c>
      <c r="B2688" s="5" t="s">
        <v>16952</v>
      </c>
    </row>
    <row r="2689" ht="15.75" spans="1:2">
      <c r="A2689" s="9" t="s">
        <v>9007</v>
      </c>
      <c r="B2689" s="5" t="s">
        <v>16952</v>
      </c>
    </row>
    <row r="2690" ht="15.75" spans="1:2">
      <c r="A2690" s="9" t="s">
        <v>9010</v>
      </c>
      <c r="B2690" s="5" t="s">
        <v>16952</v>
      </c>
    </row>
    <row r="2691" ht="15.75" spans="1:2">
      <c r="A2691" s="9" t="s">
        <v>9013</v>
      </c>
      <c r="B2691" s="5" t="s">
        <v>16952</v>
      </c>
    </row>
    <row r="2692" ht="15.75" spans="1:2">
      <c r="A2692" s="9" t="s">
        <v>9016</v>
      </c>
      <c r="B2692" s="5" t="s">
        <v>16952</v>
      </c>
    </row>
    <row r="2693" ht="15.75" spans="1:2">
      <c r="A2693" s="9" t="s">
        <v>9020</v>
      </c>
      <c r="B2693" s="5" t="s">
        <v>16952</v>
      </c>
    </row>
    <row r="2694" ht="31.5" spans="1:2">
      <c r="A2694" s="9" t="s">
        <v>9025</v>
      </c>
      <c r="B2694" s="12" t="s">
        <v>16979</v>
      </c>
    </row>
    <row r="2695" ht="15.75" spans="1:2">
      <c r="A2695" s="9" t="s">
        <v>9025</v>
      </c>
      <c r="B2695" s="10" t="s">
        <v>16952</v>
      </c>
    </row>
    <row r="2696" ht="15.75" spans="1:2">
      <c r="A2696" s="9" t="s">
        <v>9025</v>
      </c>
      <c r="B2696" s="10" t="s">
        <v>16952</v>
      </c>
    </row>
    <row r="2697" ht="15.75" spans="1:2">
      <c r="A2697" s="9" t="s">
        <v>9026</v>
      </c>
      <c r="B2697" s="5" t="s">
        <v>16952</v>
      </c>
    </row>
    <row r="2698" ht="15.75" spans="1:2">
      <c r="A2698" s="9" t="s">
        <v>9029</v>
      </c>
      <c r="B2698" s="5" t="s">
        <v>16952</v>
      </c>
    </row>
    <row r="2699" ht="15.75" spans="1:2">
      <c r="A2699" s="9" t="s">
        <v>9032</v>
      </c>
      <c r="B2699" s="5" t="s">
        <v>16952</v>
      </c>
    </row>
    <row r="2700" ht="15.75" spans="1:2">
      <c r="A2700" s="9" t="s">
        <v>9035</v>
      </c>
      <c r="B2700" s="5" t="s">
        <v>16952</v>
      </c>
    </row>
    <row r="2701" ht="15.75" spans="1:2">
      <c r="A2701" s="9" t="s">
        <v>9039</v>
      </c>
      <c r="B2701" s="5" t="s">
        <v>16952</v>
      </c>
    </row>
    <row r="2702" ht="15.75" spans="1:2">
      <c r="A2702" s="9" t="s">
        <v>9042</v>
      </c>
      <c r="B2702" s="5" t="s">
        <v>16952</v>
      </c>
    </row>
    <row r="2703" ht="15.75" spans="1:2">
      <c r="A2703" s="9" t="s">
        <v>9045</v>
      </c>
      <c r="B2703" s="5" t="s">
        <v>16952</v>
      </c>
    </row>
    <row r="2704" ht="15.75" spans="1:2">
      <c r="A2704" s="9" t="s">
        <v>9049</v>
      </c>
      <c r="B2704" s="5" t="s">
        <v>16952</v>
      </c>
    </row>
    <row r="2705" ht="15.75" spans="1:2">
      <c r="A2705" s="9" t="s">
        <v>9052</v>
      </c>
      <c r="B2705" s="5" t="s">
        <v>16952</v>
      </c>
    </row>
    <row r="2706" ht="15.75" spans="1:2">
      <c r="A2706" s="9" t="s">
        <v>9055</v>
      </c>
      <c r="B2706" s="5" t="s">
        <v>16952</v>
      </c>
    </row>
    <row r="2707" ht="15.75" spans="1:2">
      <c r="A2707" s="9" t="s">
        <v>9059</v>
      </c>
      <c r="B2707" s="8"/>
    </row>
    <row r="2708" ht="15.75" spans="1:2">
      <c r="A2708" s="9" t="s">
        <v>9060</v>
      </c>
      <c r="B2708" s="5" t="s">
        <v>16952</v>
      </c>
    </row>
    <row r="2709" ht="15.75" spans="1:2">
      <c r="A2709" s="9" t="s">
        <v>9064</v>
      </c>
      <c r="B2709" s="5" t="s">
        <v>16952</v>
      </c>
    </row>
    <row r="2710" ht="15.75" spans="1:2">
      <c r="A2710" s="9" t="s">
        <v>9068</v>
      </c>
      <c r="B2710" s="5" t="s">
        <v>16952</v>
      </c>
    </row>
    <row r="2711" ht="15.75" spans="1:2">
      <c r="A2711" s="9" t="s">
        <v>9071</v>
      </c>
      <c r="B2711" s="5" t="s">
        <v>16952</v>
      </c>
    </row>
    <row r="2712" ht="15.75" spans="1:2">
      <c r="A2712" s="9" t="s">
        <v>9075</v>
      </c>
      <c r="B2712" s="5" t="s">
        <v>16952</v>
      </c>
    </row>
    <row r="2713" ht="15.75" spans="1:2">
      <c r="A2713" s="9" t="s">
        <v>9080</v>
      </c>
      <c r="B2713" s="5" t="s">
        <v>16952</v>
      </c>
    </row>
    <row r="2714" ht="15.75" spans="1:2">
      <c r="A2714" s="9" t="s">
        <v>9084</v>
      </c>
      <c r="B2714" s="5" t="s">
        <v>16952</v>
      </c>
    </row>
    <row r="2715" ht="15.75" spans="1:2">
      <c r="A2715" s="9" t="s">
        <v>9088</v>
      </c>
      <c r="B2715" s="5" t="s">
        <v>16952</v>
      </c>
    </row>
    <row r="2716" ht="15.75" spans="1:2">
      <c r="A2716" s="9" t="s">
        <v>9091</v>
      </c>
      <c r="B2716" s="5" t="s">
        <v>16952</v>
      </c>
    </row>
    <row r="2717" ht="15.75" spans="1:2">
      <c r="A2717" s="9" t="s">
        <v>9095</v>
      </c>
      <c r="B2717" s="5" t="s">
        <v>16952</v>
      </c>
    </row>
    <row r="2718" ht="15.75" spans="1:2">
      <c r="A2718" s="9" t="s">
        <v>9099</v>
      </c>
      <c r="B2718" s="5" t="s">
        <v>16952</v>
      </c>
    </row>
    <row r="2719" ht="15.75" spans="1:2">
      <c r="A2719" s="9" t="s">
        <v>9103</v>
      </c>
      <c r="B2719" s="5" t="s">
        <v>16952</v>
      </c>
    </row>
    <row r="2720" ht="15.75" spans="1:2">
      <c r="A2720" s="9" t="s">
        <v>9108</v>
      </c>
      <c r="B2720" s="5" t="s">
        <v>16952</v>
      </c>
    </row>
    <row r="2721" ht="15.75" spans="1:2">
      <c r="A2721" s="9" t="s">
        <v>9111</v>
      </c>
      <c r="B2721" s="5" t="s">
        <v>16952</v>
      </c>
    </row>
    <row r="2722" ht="15.75" spans="1:2">
      <c r="A2722" s="9" t="s">
        <v>9115</v>
      </c>
      <c r="B2722" s="5" t="s">
        <v>16952</v>
      </c>
    </row>
    <row r="2723" ht="15.75" spans="1:2">
      <c r="A2723" s="9" t="s">
        <v>9118</v>
      </c>
      <c r="B2723" s="5" t="s">
        <v>16952</v>
      </c>
    </row>
    <row r="2724" ht="15.75" spans="1:2">
      <c r="A2724" s="9" t="s">
        <v>9122</v>
      </c>
      <c r="B2724" s="5" t="s">
        <v>16952</v>
      </c>
    </row>
    <row r="2725" ht="15.75" spans="1:2">
      <c r="A2725" s="9" t="s">
        <v>9126</v>
      </c>
      <c r="B2725" s="5" t="s">
        <v>16952</v>
      </c>
    </row>
    <row r="2726" ht="15.75" spans="1:2">
      <c r="A2726" s="9" t="s">
        <v>9130</v>
      </c>
      <c r="B2726" s="5" t="s">
        <v>16952</v>
      </c>
    </row>
    <row r="2727" ht="15.75" spans="1:2">
      <c r="A2727" s="9" t="s">
        <v>9133</v>
      </c>
      <c r="B2727" s="8" t="s">
        <v>16980</v>
      </c>
    </row>
    <row r="2728" ht="15.75" spans="1:2">
      <c r="A2728" s="9" t="s">
        <v>9134</v>
      </c>
      <c r="B2728" s="5" t="s">
        <v>16952</v>
      </c>
    </row>
    <row r="2729" ht="15.75" spans="1:2">
      <c r="A2729" s="9" t="s">
        <v>9138</v>
      </c>
      <c r="B2729" s="5" t="s">
        <v>16952</v>
      </c>
    </row>
    <row r="2730" ht="15.75" spans="1:2">
      <c r="A2730" s="9" t="s">
        <v>9142</v>
      </c>
      <c r="B2730" s="5" t="s">
        <v>16952</v>
      </c>
    </row>
    <row r="2731" ht="15.75" spans="1:2">
      <c r="A2731" s="9" t="s">
        <v>9145</v>
      </c>
      <c r="B2731" s="10"/>
    </row>
    <row r="2732" ht="15.75" spans="1:2">
      <c r="A2732" s="9" t="s">
        <v>9145</v>
      </c>
      <c r="B2732" s="12"/>
    </row>
    <row r="2733" ht="15.75" spans="1:2">
      <c r="A2733" s="9" t="s">
        <v>9145</v>
      </c>
      <c r="B2733" s="14"/>
    </row>
    <row r="2734" ht="15.75" spans="1:2">
      <c r="A2734" s="9" t="s">
        <v>9149</v>
      </c>
      <c r="B2734" s="5" t="s">
        <v>16952</v>
      </c>
    </row>
    <row r="2735" ht="15.75" spans="1:2">
      <c r="A2735" s="9" t="s">
        <v>9152</v>
      </c>
      <c r="B2735" s="5" t="s">
        <v>16952</v>
      </c>
    </row>
    <row r="2736" ht="15.75" spans="1:2">
      <c r="A2736" s="9" t="s">
        <v>9155</v>
      </c>
      <c r="B2736" s="5" t="s">
        <v>16952</v>
      </c>
    </row>
    <row r="2737" ht="15.75" spans="1:2">
      <c r="A2737" s="9" t="s">
        <v>9159</v>
      </c>
      <c r="B2737" s="5" t="s">
        <v>16952</v>
      </c>
    </row>
    <row r="2738" ht="15.75" spans="1:2">
      <c r="A2738" s="9" t="s">
        <v>9162</v>
      </c>
      <c r="B2738" s="5" t="s">
        <v>16952</v>
      </c>
    </row>
    <row r="2739" ht="15.75" spans="1:2">
      <c r="A2739" s="9" t="s">
        <v>9165</v>
      </c>
      <c r="B2739" s="5" t="s">
        <v>16952</v>
      </c>
    </row>
    <row r="2740" ht="15.75" spans="1:2">
      <c r="A2740" s="9" t="s">
        <v>9168</v>
      </c>
      <c r="B2740" s="5" t="s">
        <v>16952</v>
      </c>
    </row>
    <row r="2741" ht="15.75" spans="1:2">
      <c r="A2741" s="9" t="s">
        <v>9171</v>
      </c>
      <c r="B2741" s="5" t="s">
        <v>16952</v>
      </c>
    </row>
    <row r="2742" ht="15.75" spans="1:2">
      <c r="A2742" s="9" t="s">
        <v>9176</v>
      </c>
      <c r="B2742" s="5" t="s">
        <v>16952</v>
      </c>
    </row>
    <row r="2743" ht="15.75" spans="1:2">
      <c r="A2743" s="9" t="s">
        <v>9180</v>
      </c>
      <c r="B2743" s="5" t="s">
        <v>16952</v>
      </c>
    </row>
    <row r="2744" ht="15.75" spans="1:2">
      <c r="A2744" s="9" t="s">
        <v>9184</v>
      </c>
      <c r="B2744" s="5" t="s">
        <v>16952</v>
      </c>
    </row>
    <row r="2745" ht="15.75" spans="1:2">
      <c r="A2745" s="9" t="s">
        <v>9187</v>
      </c>
      <c r="B2745" s="5" t="s">
        <v>16952</v>
      </c>
    </row>
    <row r="2746" ht="15.75" spans="1:2">
      <c r="A2746" s="9" t="s">
        <v>9190</v>
      </c>
      <c r="B2746" s="5" t="s">
        <v>16952</v>
      </c>
    </row>
    <row r="2747" ht="15.75" spans="1:2">
      <c r="A2747" s="9" t="s">
        <v>9193</v>
      </c>
      <c r="B2747" s="5" t="s">
        <v>16952</v>
      </c>
    </row>
    <row r="2748" ht="15.75" spans="1:2">
      <c r="A2748" s="9" t="s">
        <v>9196</v>
      </c>
      <c r="B2748" s="5" t="s">
        <v>16952</v>
      </c>
    </row>
    <row r="2749" ht="15.75" spans="1:2">
      <c r="A2749" s="9" t="s">
        <v>9199</v>
      </c>
      <c r="B2749" s="5" t="s">
        <v>16952</v>
      </c>
    </row>
    <row r="2750" ht="15.75" spans="1:2">
      <c r="A2750" s="9" t="s">
        <v>9203</v>
      </c>
      <c r="B2750" s="5" t="s">
        <v>16952</v>
      </c>
    </row>
    <row r="2751" ht="15.75" spans="1:2">
      <c r="A2751" s="9" t="s">
        <v>9206</v>
      </c>
      <c r="B2751" s="5" t="s">
        <v>16952</v>
      </c>
    </row>
    <row r="2752" ht="15.75" spans="1:2">
      <c r="A2752" s="9" t="s">
        <v>9209</v>
      </c>
      <c r="B2752" s="5" t="s">
        <v>16952</v>
      </c>
    </row>
    <row r="2753" ht="15.75" spans="1:2">
      <c r="A2753" s="9" t="s">
        <v>9213</v>
      </c>
      <c r="B2753" s="5" t="s">
        <v>16952</v>
      </c>
    </row>
    <row r="2754" ht="15.75" spans="1:2">
      <c r="A2754" s="9" t="s">
        <v>9216</v>
      </c>
      <c r="B2754" s="5" t="s">
        <v>16952</v>
      </c>
    </row>
    <row r="2755" ht="15.75" spans="1:2">
      <c r="A2755" s="9" t="s">
        <v>9220</v>
      </c>
      <c r="B2755" s="5" t="s">
        <v>16952</v>
      </c>
    </row>
    <row r="2756" ht="15.75" spans="1:2">
      <c r="A2756" s="9" t="s">
        <v>9223</v>
      </c>
      <c r="B2756" s="5" t="s">
        <v>16952</v>
      </c>
    </row>
    <row r="2757" ht="15.75" spans="1:2">
      <c r="A2757" s="9" t="s">
        <v>9227</v>
      </c>
      <c r="B2757" s="5" t="s">
        <v>16952</v>
      </c>
    </row>
    <row r="2758" ht="15.75" spans="1:2">
      <c r="A2758" s="9" t="s">
        <v>9230</v>
      </c>
      <c r="B2758" s="5" t="s">
        <v>16952</v>
      </c>
    </row>
    <row r="2759" ht="15.75" spans="1:2">
      <c r="A2759" s="9" t="s">
        <v>9234</v>
      </c>
      <c r="B2759" s="5" t="s">
        <v>16952</v>
      </c>
    </row>
    <row r="2760" ht="15.75" spans="1:2">
      <c r="A2760" s="9" t="s">
        <v>9237</v>
      </c>
      <c r="B2760" s="5" t="s">
        <v>16952</v>
      </c>
    </row>
    <row r="2761" ht="15.75" spans="1:2">
      <c r="A2761" s="9" t="s">
        <v>9240</v>
      </c>
      <c r="B2761" s="5" t="s">
        <v>16952</v>
      </c>
    </row>
    <row r="2762" ht="15.75" spans="1:2">
      <c r="A2762" s="9" t="s">
        <v>9244</v>
      </c>
      <c r="B2762" s="5" t="s">
        <v>16952</v>
      </c>
    </row>
    <row r="2763" ht="15.75" spans="1:2">
      <c r="A2763" s="9" t="s">
        <v>9247</v>
      </c>
      <c r="B2763" s="5" t="s">
        <v>16952</v>
      </c>
    </row>
    <row r="2764" ht="15.75" spans="1:2">
      <c r="A2764" s="9" t="s">
        <v>9251</v>
      </c>
      <c r="B2764" s="5" t="s">
        <v>16952</v>
      </c>
    </row>
    <row r="2765" ht="15.75" spans="1:2">
      <c r="A2765" s="9" t="s">
        <v>9255</v>
      </c>
      <c r="B2765" s="5" t="s">
        <v>16952</v>
      </c>
    </row>
    <row r="2766" ht="15.75" spans="1:2">
      <c r="A2766" s="9" t="s">
        <v>9258</v>
      </c>
      <c r="B2766" s="5" t="s">
        <v>16952</v>
      </c>
    </row>
    <row r="2767" ht="15.75" spans="1:2">
      <c r="A2767" s="9" t="s">
        <v>9262</v>
      </c>
      <c r="B2767" s="5" t="s">
        <v>16952</v>
      </c>
    </row>
    <row r="2768" ht="15.75" spans="1:2">
      <c r="A2768" s="9" t="s">
        <v>9265</v>
      </c>
      <c r="B2768" s="5" t="s">
        <v>16952</v>
      </c>
    </row>
    <row r="2769" ht="15.75" spans="1:2">
      <c r="A2769" s="9" t="s">
        <v>9269</v>
      </c>
      <c r="B2769" s="5" t="s">
        <v>16952</v>
      </c>
    </row>
    <row r="2770" ht="15.75" spans="1:2">
      <c r="A2770" s="9" t="s">
        <v>9272</v>
      </c>
      <c r="B2770" s="5" t="s">
        <v>16952</v>
      </c>
    </row>
    <row r="2771" ht="15.75" spans="1:2">
      <c r="A2771" s="9" t="s">
        <v>9275</v>
      </c>
      <c r="B2771" s="5" t="s">
        <v>16952</v>
      </c>
    </row>
    <row r="2772" ht="15.75" spans="1:2">
      <c r="A2772" s="9" t="s">
        <v>9278</v>
      </c>
      <c r="B2772" s="5" t="s">
        <v>16952</v>
      </c>
    </row>
    <row r="2773" ht="15.75" spans="1:2">
      <c r="A2773" s="9" t="s">
        <v>9281</v>
      </c>
      <c r="B2773" s="5" t="s">
        <v>16952</v>
      </c>
    </row>
    <row r="2774" ht="15.75" spans="1:2">
      <c r="A2774" s="9" t="s">
        <v>9284</v>
      </c>
      <c r="B2774" s="5" t="s">
        <v>16952</v>
      </c>
    </row>
    <row r="2775" ht="15.75" spans="1:2">
      <c r="A2775" s="9" t="s">
        <v>9287</v>
      </c>
      <c r="B2775" s="5" t="s">
        <v>16952</v>
      </c>
    </row>
    <row r="2776" ht="15.75" spans="1:2">
      <c r="A2776" s="9" t="s">
        <v>9290</v>
      </c>
      <c r="B2776" s="5" t="s">
        <v>16952</v>
      </c>
    </row>
    <row r="2777" ht="15.75" spans="1:2">
      <c r="A2777" s="9" t="s">
        <v>9293</v>
      </c>
      <c r="B2777" s="5" t="s">
        <v>16952</v>
      </c>
    </row>
    <row r="2778" ht="15.75" spans="1:2">
      <c r="A2778" s="9" t="s">
        <v>9296</v>
      </c>
      <c r="B2778" s="5" t="s">
        <v>16952</v>
      </c>
    </row>
    <row r="2779" ht="15.75" spans="1:2">
      <c r="A2779" s="9" t="s">
        <v>9299</v>
      </c>
      <c r="B2779" s="5" t="s">
        <v>16952</v>
      </c>
    </row>
    <row r="2780" ht="15.75" spans="1:2">
      <c r="A2780" s="9" t="s">
        <v>9303</v>
      </c>
      <c r="B2780" s="5" t="s">
        <v>16952</v>
      </c>
    </row>
    <row r="2781" ht="15.75" spans="1:2">
      <c r="A2781" s="9" t="s">
        <v>9306</v>
      </c>
      <c r="B2781" s="5" t="s">
        <v>16952</v>
      </c>
    </row>
    <row r="2782" ht="15.75" spans="1:2">
      <c r="A2782" s="9" t="s">
        <v>9309</v>
      </c>
      <c r="B2782" s="5" t="s">
        <v>16952</v>
      </c>
    </row>
    <row r="2783" ht="15.75" spans="1:2">
      <c r="A2783" s="9" t="s">
        <v>9314</v>
      </c>
      <c r="B2783" s="5" t="s">
        <v>16952</v>
      </c>
    </row>
    <row r="2784" ht="15.75" spans="1:2">
      <c r="A2784" s="9" t="s">
        <v>9317</v>
      </c>
      <c r="B2784" s="5" t="s">
        <v>16952</v>
      </c>
    </row>
    <row r="2785" ht="15.75" spans="1:2">
      <c r="A2785" s="9" t="s">
        <v>9320</v>
      </c>
      <c r="B2785" s="5" t="s">
        <v>16952</v>
      </c>
    </row>
    <row r="2786" ht="15.75" spans="1:2">
      <c r="A2786" s="9" t="s">
        <v>9323</v>
      </c>
      <c r="B2786" s="5" t="s">
        <v>16952</v>
      </c>
    </row>
    <row r="2787" ht="15.75" spans="1:2">
      <c r="A2787" s="9" t="s">
        <v>9326</v>
      </c>
      <c r="B2787" s="5" t="s">
        <v>16952</v>
      </c>
    </row>
    <row r="2788" ht="15.75" spans="1:2">
      <c r="A2788" s="9" t="s">
        <v>9329</v>
      </c>
      <c r="B2788" s="5" t="s">
        <v>16952</v>
      </c>
    </row>
    <row r="2789" ht="15.75" spans="1:2">
      <c r="A2789" s="9" t="s">
        <v>9332</v>
      </c>
      <c r="B2789" s="5" t="s">
        <v>16952</v>
      </c>
    </row>
    <row r="2790" ht="15.75" spans="1:2">
      <c r="A2790" s="9" t="s">
        <v>9335</v>
      </c>
      <c r="B2790" s="5" t="s">
        <v>16952</v>
      </c>
    </row>
    <row r="2791" ht="15.75" spans="1:2">
      <c r="A2791" s="9" t="s">
        <v>9338</v>
      </c>
      <c r="B2791" s="5" t="s">
        <v>16952</v>
      </c>
    </row>
    <row r="2792" ht="15.75" spans="1:2">
      <c r="A2792" s="9" t="s">
        <v>9341</v>
      </c>
      <c r="B2792" s="5" t="s">
        <v>16952</v>
      </c>
    </row>
    <row r="2793" ht="15.75" spans="1:2">
      <c r="A2793" s="9" t="s">
        <v>9344</v>
      </c>
      <c r="B2793" s="5" t="s">
        <v>16952</v>
      </c>
    </row>
    <row r="2794" ht="15.75" spans="1:2">
      <c r="A2794" s="9" t="s">
        <v>9347</v>
      </c>
      <c r="B2794" s="5" t="s">
        <v>16952</v>
      </c>
    </row>
    <row r="2795" ht="15.75" spans="1:2">
      <c r="A2795" s="9" t="s">
        <v>9350</v>
      </c>
      <c r="B2795" s="5" t="s">
        <v>16952</v>
      </c>
    </row>
    <row r="2796" ht="15.75" spans="1:2">
      <c r="A2796" s="9" t="s">
        <v>9353</v>
      </c>
      <c r="B2796" s="5" t="s">
        <v>16952</v>
      </c>
    </row>
    <row r="2797" ht="15.75" spans="1:2">
      <c r="A2797" s="9" t="s">
        <v>9357</v>
      </c>
      <c r="B2797" s="5" t="s">
        <v>16952</v>
      </c>
    </row>
    <row r="2798" ht="15.75" spans="1:2">
      <c r="A2798" s="9" t="s">
        <v>9360</v>
      </c>
      <c r="B2798" s="5" t="s">
        <v>16952</v>
      </c>
    </row>
    <row r="2799" ht="15.75" spans="1:2">
      <c r="A2799" s="9" t="s">
        <v>9364</v>
      </c>
      <c r="B2799" s="5" t="s">
        <v>16952</v>
      </c>
    </row>
    <row r="2800" ht="15.75" spans="1:2">
      <c r="A2800" s="9" t="s">
        <v>9367</v>
      </c>
      <c r="B2800" s="5" t="s">
        <v>16952</v>
      </c>
    </row>
    <row r="2801" ht="15.75" spans="1:2">
      <c r="A2801" s="9" t="s">
        <v>9370</v>
      </c>
      <c r="B2801" s="8"/>
    </row>
    <row r="2802" ht="15.75" spans="1:2">
      <c r="A2802" s="9" t="s">
        <v>9371</v>
      </c>
      <c r="B2802" s="5" t="s">
        <v>16952</v>
      </c>
    </row>
    <row r="2803" ht="15.75" spans="1:2">
      <c r="A2803" s="9" t="s">
        <v>9375</v>
      </c>
      <c r="B2803" s="5" t="s">
        <v>16952</v>
      </c>
    </row>
    <row r="2804" ht="15.75" spans="1:2">
      <c r="A2804" s="9" t="s">
        <v>9378</v>
      </c>
      <c r="B2804" s="5" t="s">
        <v>16952</v>
      </c>
    </row>
    <row r="2805" ht="15.75" spans="1:2">
      <c r="A2805" s="9" t="s">
        <v>9382</v>
      </c>
      <c r="B2805" s="5" t="s">
        <v>16952</v>
      </c>
    </row>
    <row r="2806" ht="15.75" spans="1:2">
      <c r="A2806" s="9" t="s">
        <v>9386</v>
      </c>
      <c r="B2806" s="5" t="s">
        <v>16952</v>
      </c>
    </row>
    <row r="2807" ht="15.75" spans="1:2">
      <c r="A2807" s="9" t="s">
        <v>9390</v>
      </c>
      <c r="B2807" s="5" t="s">
        <v>16952</v>
      </c>
    </row>
    <row r="2808" ht="15.75" spans="1:2">
      <c r="A2808" s="9" t="s">
        <v>9394</v>
      </c>
      <c r="B2808" s="5" t="s">
        <v>16952</v>
      </c>
    </row>
    <row r="2809" ht="15.75" spans="1:2">
      <c r="A2809" s="9" t="s">
        <v>9397</v>
      </c>
      <c r="B2809" s="5" t="s">
        <v>16952</v>
      </c>
    </row>
    <row r="2810" ht="15.75" spans="1:2">
      <c r="A2810" s="9" t="s">
        <v>9401</v>
      </c>
      <c r="B2810" s="5" t="s">
        <v>16952</v>
      </c>
    </row>
    <row r="2811" ht="15.75" spans="1:2">
      <c r="A2811" s="9" t="s">
        <v>9404</v>
      </c>
      <c r="B2811" s="5" t="s">
        <v>16952</v>
      </c>
    </row>
    <row r="2812" ht="15.75" spans="1:2">
      <c r="A2812" s="9" t="s">
        <v>9407</v>
      </c>
      <c r="B2812" s="12"/>
    </row>
    <row r="2813" ht="15.75" spans="1:2">
      <c r="A2813" s="9" t="s">
        <v>9407</v>
      </c>
      <c r="B2813" s="12"/>
    </row>
    <row r="2814" ht="15.75" spans="1:2">
      <c r="A2814" s="9" t="s">
        <v>9407</v>
      </c>
      <c r="B2814" s="12"/>
    </row>
    <row r="2815" ht="15.75" spans="1:2">
      <c r="A2815" s="9" t="s">
        <v>9408</v>
      </c>
      <c r="B2815" s="8"/>
    </row>
    <row r="2816" ht="15.75" spans="1:2">
      <c r="A2816" s="9" t="s">
        <v>9409</v>
      </c>
      <c r="B2816" s="5" t="s">
        <v>16952</v>
      </c>
    </row>
    <row r="2817" ht="15.75" spans="1:2">
      <c r="A2817" s="9" t="s">
        <v>9412</v>
      </c>
      <c r="B2817" s="5" t="s">
        <v>16952</v>
      </c>
    </row>
    <row r="2818" ht="15.75" spans="1:2">
      <c r="A2818" s="9" t="s">
        <v>9415</v>
      </c>
      <c r="B2818" s="5" t="s">
        <v>16952</v>
      </c>
    </row>
    <row r="2819" ht="15.75" spans="1:2">
      <c r="A2819" s="9" t="s">
        <v>9419</v>
      </c>
      <c r="B2819" s="5" t="s">
        <v>16952</v>
      </c>
    </row>
    <row r="2820" ht="15.75" spans="1:2">
      <c r="A2820" s="9" t="s">
        <v>9422</v>
      </c>
      <c r="B2820" s="5" t="s">
        <v>16952</v>
      </c>
    </row>
    <row r="2821" ht="15.75" spans="1:2">
      <c r="A2821" s="9" t="s">
        <v>9425</v>
      </c>
      <c r="B2821" s="5" t="s">
        <v>16952</v>
      </c>
    </row>
    <row r="2822" ht="15.75" spans="1:2">
      <c r="A2822" s="9" t="s">
        <v>9428</v>
      </c>
      <c r="B2822" s="5" t="s">
        <v>16952</v>
      </c>
    </row>
    <row r="2823" ht="15.75" spans="1:2">
      <c r="A2823" s="9" t="s">
        <v>9431</v>
      </c>
      <c r="B2823" s="5" t="s">
        <v>16952</v>
      </c>
    </row>
    <row r="2824" ht="15.75" spans="1:2">
      <c r="A2824" s="9" t="s">
        <v>9435</v>
      </c>
      <c r="B2824" s="5" t="s">
        <v>16952</v>
      </c>
    </row>
    <row r="2825" ht="15.75" spans="1:2">
      <c r="A2825" s="9" t="s">
        <v>9439</v>
      </c>
      <c r="B2825" s="5" t="s">
        <v>16952</v>
      </c>
    </row>
    <row r="2826" ht="15.75" spans="1:2">
      <c r="A2826" s="9" t="s">
        <v>9442</v>
      </c>
      <c r="B2826" s="5" t="s">
        <v>16952</v>
      </c>
    </row>
    <row r="2827" ht="15.75" spans="1:2">
      <c r="A2827" s="9" t="s">
        <v>9445</v>
      </c>
      <c r="B2827" s="5" t="s">
        <v>16952</v>
      </c>
    </row>
    <row r="2828" ht="15.75" spans="1:2">
      <c r="A2828" s="9" t="s">
        <v>9448</v>
      </c>
      <c r="B2828" s="5" t="s">
        <v>16952</v>
      </c>
    </row>
    <row r="2829" ht="15.75" spans="1:2">
      <c r="A2829" s="9" t="s">
        <v>9451</v>
      </c>
      <c r="B2829" s="5" t="s">
        <v>16952</v>
      </c>
    </row>
    <row r="2830" ht="15.75" spans="1:2">
      <c r="A2830" s="9" t="s">
        <v>9454</v>
      </c>
      <c r="B2830" s="5" t="s">
        <v>16952</v>
      </c>
    </row>
    <row r="2831" ht="15.75" spans="1:2">
      <c r="A2831" s="9" t="s">
        <v>9457</v>
      </c>
      <c r="B2831" s="5" t="s">
        <v>16952</v>
      </c>
    </row>
    <row r="2832" ht="15.75" spans="1:2">
      <c r="A2832" s="9" t="s">
        <v>9462</v>
      </c>
      <c r="B2832" s="5" t="s">
        <v>16952</v>
      </c>
    </row>
    <row r="2833" ht="15.75" spans="1:2">
      <c r="A2833" s="9" t="s">
        <v>9465</v>
      </c>
      <c r="B2833" s="5" t="s">
        <v>16952</v>
      </c>
    </row>
    <row r="2834" ht="15.75" spans="1:2">
      <c r="A2834" s="9" t="s">
        <v>9468</v>
      </c>
      <c r="B2834" s="5" t="s">
        <v>16952</v>
      </c>
    </row>
    <row r="2835" ht="15.75" spans="1:2">
      <c r="A2835" s="9" t="s">
        <v>9472</v>
      </c>
      <c r="B2835" s="5" t="s">
        <v>16952</v>
      </c>
    </row>
    <row r="2836" ht="15.75" spans="1:2">
      <c r="A2836" s="9" t="s">
        <v>9475</v>
      </c>
      <c r="B2836" s="5" t="s">
        <v>16952</v>
      </c>
    </row>
    <row r="2837" ht="15.75" spans="1:2">
      <c r="A2837" s="9" t="s">
        <v>9478</v>
      </c>
      <c r="B2837" s="5" t="s">
        <v>16952</v>
      </c>
    </row>
    <row r="2838" ht="15.75" spans="1:2">
      <c r="A2838" s="9" t="s">
        <v>9482</v>
      </c>
      <c r="B2838" s="5" t="s">
        <v>16952</v>
      </c>
    </row>
    <row r="2839" ht="15.75" spans="1:2">
      <c r="A2839" s="9" t="s">
        <v>9485</v>
      </c>
      <c r="B2839" s="5" t="s">
        <v>16952</v>
      </c>
    </row>
    <row r="2840" ht="15.75" spans="1:2">
      <c r="A2840" s="9" t="s">
        <v>9488</v>
      </c>
      <c r="B2840" s="5" t="s">
        <v>16952</v>
      </c>
    </row>
    <row r="2841" ht="15.75" spans="1:2">
      <c r="A2841" s="9" t="s">
        <v>9492</v>
      </c>
      <c r="B2841" s="8"/>
    </row>
    <row r="2842" ht="15.75" spans="1:2">
      <c r="A2842" s="9" t="s">
        <v>9493</v>
      </c>
      <c r="B2842" s="5" t="s">
        <v>16952</v>
      </c>
    </row>
    <row r="2843" ht="15.75" spans="1:2">
      <c r="A2843" s="9" t="s">
        <v>9497</v>
      </c>
      <c r="B2843" s="8"/>
    </row>
    <row r="2844" ht="15.75" spans="1:2">
      <c r="A2844" s="9" t="s">
        <v>9498</v>
      </c>
      <c r="B2844" s="5" t="s">
        <v>16952</v>
      </c>
    </row>
    <row r="2845" ht="15.75" spans="1:2">
      <c r="A2845" s="9" t="s">
        <v>9501</v>
      </c>
      <c r="B2845" s="5" t="s">
        <v>16952</v>
      </c>
    </row>
    <row r="2846" ht="15.75" spans="1:2">
      <c r="A2846" s="9" t="s">
        <v>9504</v>
      </c>
      <c r="B2846" s="5" t="s">
        <v>16952</v>
      </c>
    </row>
    <row r="2847" ht="15.75" spans="1:2">
      <c r="A2847" s="9" t="s">
        <v>9507</v>
      </c>
      <c r="B2847" s="5" t="s">
        <v>16952</v>
      </c>
    </row>
    <row r="2848" ht="15.75" spans="1:2">
      <c r="A2848" s="9" t="s">
        <v>9510</v>
      </c>
      <c r="B2848" s="5" t="s">
        <v>16952</v>
      </c>
    </row>
    <row r="2849" ht="15.75" spans="1:2">
      <c r="A2849" s="9" t="s">
        <v>9515</v>
      </c>
      <c r="B2849" s="5" t="s">
        <v>16952</v>
      </c>
    </row>
    <row r="2850" ht="15.75" spans="1:2">
      <c r="A2850" s="9" t="s">
        <v>9519</v>
      </c>
      <c r="B2850" s="5" t="s">
        <v>16952</v>
      </c>
    </row>
    <row r="2851" ht="15.75" spans="1:2">
      <c r="A2851" s="9" t="s">
        <v>9522</v>
      </c>
      <c r="B2851" s="5" t="s">
        <v>16952</v>
      </c>
    </row>
    <row r="2852" ht="15.75" spans="1:2">
      <c r="A2852" s="9" t="s">
        <v>9525</v>
      </c>
      <c r="B2852" s="5" t="s">
        <v>16952</v>
      </c>
    </row>
    <row r="2853" ht="15.75" spans="1:2">
      <c r="A2853" s="9" t="s">
        <v>9529</v>
      </c>
      <c r="B2853" s="5" t="s">
        <v>16952</v>
      </c>
    </row>
    <row r="2854" ht="15.75" spans="1:2">
      <c r="A2854" s="9" t="s">
        <v>9533</v>
      </c>
      <c r="B2854" s="5" t="s">
        <v>16952</v>
      </c>
    </row>
    <row r="2855" ht="15.75" spans="1:2">
      <c r="A2855" s="9" t="s">
        <v>9536</v>
      </c>
      <c r="B2855" s="5" t="s">
        <v>16952</v>
      </c>
    </row>
    <row r="2856" ht="15.75" spans="1:2">
      <c r="A2856" s="9" t="s">
        <v>9539</v>
      </c>
      <c r="B2856" s="5" t="s">
        <v>16952</v>
      </c>
    </row>
    <row r="2857" ht="15.75" spans="1:2">
      <c r="A2857" s="9" t="s">
        <v>9543</v>
      </c>
      <c r="B2857" s="5" t="s">
        <v>16952</v>
      </c>
    </row>
    <row r="2858" ht="15.75" spans="1:2">
      <c r="A2858" s="9" t="s">
        <v>9546</v>
      </c>
      <c r="B2858" s="5" t="s">
        <v>16952</v>
      </c>
    </row>
    <row r="2859" ht="15.75" spans="1:2">
      <c r="A2859" s="9" t="s">
        <v>9549</v>
      </c>
      <c r="B2859" s="5" t="s">
        <v>16952</v>
      </c>
    </row>
    <row r="2860" ht="15.75" spans="1:2">
      <c r="A2860" s="9" t="s">
        <v>9552</v>
      </c>
      <c r="B2860" s="5" t="s">
        <v>16952</v>
      </c>
    </row>
    <row r="2861" ht="15.75" spans="1:2">
      <c r="A2861" s="9" t="s">
        <v>9555</v>
      </c>
      <c r="B2861" s="5" t="s">
        <v>16952</v>
      </c>
    </row>
    <row r="2862" ht="15.75" spans="1:2">
      <c r="A2862" s="9" t="s">
        <v>9558</v>
      </c>
      <c r="B2862" s="5" t="s">
        <v>16952</v>
      </c>
    </row>
    <row r="2863" ht="15.75" spans="1:2">
      <c r="A2863" s="9" t="s">
        <v>9561</v>
      </c>
      <c r="B2863" s="5" t="s">
        <v>16952</v>
      </c>
    </row>
    <row r="2864" ht="15.75" spans="1:2">
      <c r="A2864" s="9" t="s">
        <v>9564</v>
      </c>
      <c r="B2864" s="13"/>
    </row>
    <row r="2865" ht="15.75" spans="1:2">
      <c r="A2865" s="9" t="s">
        <v>9569</v>
      </c>
      <c r="B2865" s="5" t="s">
        <v>16952</v>
      </c>
    </row>
    <row r="2866" ht="15.75" spans="1:2">
      <c r="A2866" s="9" t="s">
        <v>9573</v>
      </c>
      <c r="B2866" s="5" t="s">
        <v>16952</v>
      </c>
    </row>
    <row r="2867" ht="15.75" spans="1:2">
      <c r="A2867" s="9" t="s">
        <v>9577</v>
      </c>
      <c r="B2867" s="5" t="s">
        <v>16952</v>
      </c>
    </row>
    <row r="2868" ht="15.75" spans="1:2">
      <c r="A2868" s="9" t="s">
        <v>9580</v>
      </c>
      <c r="B2868" s="5"/>
    </row>
    <row r="2869" ht="15.75" spans="1:2">
      <c r="A2869" s="9" t="s">
        <v>9584</v>
      </c>
      <c r="B2869" s="5" t="s">
        <v>16952</v>
      </c>
    </row>
    <row r="2870" ht="15.75" spans="1:2">
      <c r="A2870" s="9" t="s">
        <v>9588</v>
      </c>
      <c r="B2870" s="5" t="s">
        <v>16952</v>
      </c>
    </row>
    <row r="2871" ht="15.75" spans="1:2">
      <c r="A2871" s="9" t="s">
        <v>9591</v>
      </c>
      <c r="B2871" s="5" t="s">
        <v>16952</v>
      </c>
    </row>
    <row r="2872" ht="15.75" spans="1:2">
      <c r="A2872" s="9" t="s">
        <v>9594</v>
      </c>
      <c r="B2872" s="5" t="s">
        <v>16952</v>
      </c>
    </row>
    <row r="2873" ht="15.75" spans="1:2">
      <c r="A2873" s="9" t="s">
        <v>9598</v>
      </c>
      <c r="B2873" s="5" t="s">
        <v>16952</v>
      </c>
    </row>
    <row r="2874" ht="15.75" spans="1:2">
      <c r="A2874" s="9" t="s">
        <v>9602</v>
      </c>
      <c r="B2874" s="5" t="s">
        <v>16952</v>
      </c>
    </row>
    <row r="2875" ht="15.75" spans="1:2">
      <c r="A2875" s="9" t="s">
        <v>9606</v>
      </c>
      <c r="B2875" s="5" t="s">
        <v>16952</v>
      </c>
    </row>
    <row r="2876" ht="15.75" spans="1:2">
      <c r="A2876" s="9" t="s">
        <v>9610</v>
      </c>
      <c r="B2876" s="5" t="s">
        <v>16952</v>
      </c>
    </row>
    <row r="2877" ht="15.75" spans="1:2">
      <c r="A2877" s="9" t="s">
        <v>9614</v>
      </c>
      <c r="B2877" s="5" t="s">
        <v>16952</v>
      </c>
    </row>
    <row r="2878" ht="15.75" spans="1:2">
      <c r="A2878" s="9" t="s">
        <v>9618</v>
      </c>
      <c r="B2878" s="5" t="s">
        <v>16952</v>
      </c>
    </row>
    <row r="2879" ht="15.75" spans="1:2">
      <c r="A2879" s="9" t="s">
        <v>9622</v>
      </c>
      <c r="B2879" s="5" t="s">
        <v>16952</v>
      </c>
    </row>
    <row r="2880" ht="15.75" spans="1:2">
      <c r="A2880" s="9" t="s">
        <v>9626</v>
      </c>
      <c r="B2880" s="5" t="s">
        <v>16952</v>
      </c>
    </row>
    <row r="2881" ht="15.75" spans="1:2">
      <c r="A2881" s="9" t="s">
        <v>9630</v>
      </c>
      <c r="B2881" s="5" t="s">
        <v>16952</v>
      </c>
    </row>
    <row r="2882" ht="15.75" spans="1:2">
      <c r="A2882" s="9" t="s">
        <v>9633</v>
      </c>
      <c r="B2882" s="5" t="s">
        <v>16952</v>
      </c>
    </row>
    <row r="2883" ht="15.75" spans="1:2">
      <c r="A2883" s="9" t="s">
        <v>9636</v>
      </c>
      <c r="B2883" s="5" t="s">
        <v>16952</v>
      </c>
    </row>
    <row r="2884" ht="15.75" spans="1:2">
      <c r="A2884" s="9" t="s">
        <v>9639</v>
      </c>
      <c r="B2884" s="5" t="s">
        <v>16952</v>
      </c>
    </row>
    <row r="2885" ht="15.75" spans="1:2">
      <c r="A2885" s="9" t="s">
        <v>9644</v>
      </c>
      <c r="B2885" s="5" t="s">
        <v>16952</v>
      </c>
    </row>
    <row r="2886" ht="15.75" spans="1:2">
      <c r="A2886" s="9" t="s">
        <v>9648</v>
      </c>
      <c r="B2886" s="5" t="s">
        <v>16952</v>
      </c>
    </row>
    <row r="2887" ht="15.75" spans="1:2">
      <c r="A2887" s="9" t="s">
        <v>9651</v>
      </c>
      <c r="B2887" s="5" t="s">
        <v>16952</v>
      </c>
    </row>
    <row r="2888" ht="15.75" spans="1:2">
      <c r="A2888" s="9" t="s">
        <v>9654</v>
      </c>
      <c r="B2888" s="5" t="s">
        <v>16952</v>
      </c>
    </row>
    <row r="2889" ht="15.75" spans="1:2">
      <c r="A2889" s="9" t="s">
        <v>9657</v>
      </c>
      <c r="B2889" s="5" t="s">
        <v>16952</v>
      </c>
    </row>
    <row r="2890" ht="15.75" spans="1:2">
      <c r="A2890" s="9" t="s">
        <v>9660</v>
      </c>
      <c r="B2890" s="5" t="s">
        <v>16952</v>
      </c>
    </row>
    <row r="2891" ht="15.75" spans="1:2">
      <c r="A2891" s="9" t="s">
        <v>9664</v>
      </c>
      <c r="B2891" s="12"/>
    </row>
    <row r="2892" ht="15.75" spans="1:2">
      <c r="A2892" s="9" t="s">
        <v>9664</v>
      </c>
      <c r="B2892" s="12"/>
    </row>
    <row r="2893" ht="15.75" spans="1:2">
      <c r="A2893" s="9" t="s">
        <v>9664</v>
      </c>
      <c r="B2893" s="12"/>
    </row>
    <row r="2894" ht="15.75" spans="1:2">
      <c r="A2894" s="9" t="s">
        <v>9665</v>
      </c>
      <c r="B2894" s="5" t="s">
        <v>16952</v>
      </c>
    </row>
    <row r="2895" ht="15.75" spans="1:2">
      <c r="A2895" s="9" t="s">
        <v>9670</v>
      </c>
      <c r="B2895" s="5" t="s">
        <v>16952</v>
      </c>
    </row>
    <row r="2896" ht="15.75" spans="1:2">
      <c r="A2896" s="9" t="s">
        <v>9673</v>
      </c>
      <c r="B2896" s="5" t="s">
        <v>16952</v>
      </c>
    </row>
    <row r="2897" ht="15.75" spans="1:2">
      <c r="A2897" s="9" t="s">
        <v>9677</v>
      </c>
      <c r="B2897" s="5" t="s">
        <v>16952</v>
      </c>
    </row>
    <row r="2898" ht="15.75" spans="1:2">
      <c r="A2898" s="9" t="s">
        <v>9681</v>
      </c>
      <c r="B2898" s="5" t="s">
        <v>16952</v>
      </c>
    </row>
    <row r="2899" ht="15.75" spans="1:2">
      <c r="A2899" s="9" t="s">
        <v>9684</v>
      </c>
      <c r="B2899" s="5" t="s">
        <v>16952</v>
      </c>
    </row>
    <row r="2900" ht="15.75" spans="1:2">
      <c r="A2900" s="9" t="s">
        <v>9688</v>
      </c>
      <c r="B2900" s="5" t="s">
        <v>16952</v>
      </c>
    </row>
    <row r="2901" ht="15.75" spans="1:2">
      <c r="A2901" s="9" t="s">
        <v>9691</v>
      </c>
      <c r="B2901" s="5" t="s">
        <v>16952</v>
      </c>
    </row>
    <row r="2902" ht="15.75" spans="1:2">
      <c r="A2902" s="9" t="s">
        <v>9695</v>
      </c>
      <c r="B2902" s="5" t="s">
        <v>16952</v>
      </c>
    </row>
    <row r="2903" ht="15.75" spans="1:2">
      <c r="A2903" s="9" t="s">
        <v>9699</v>
      </c>
      <c r="B2903" s="5" t="s">
        <v>16952</v>
      </c>
    </row>
    <row r="2904" ht="15.75" spans="1:2">
      <c r="A2904" s="9" t="s">
        <v>9703</v>
      </c>
      <c r="B2904" s="5" t="s">
        <v>16952</v>
      </c>
    </row>
    <row r="2905" ht="15.75" spans="1:2">
      <c r="A2905" s="9" t="s">
        <v>9706</v>
      </c>
      <c r="B2905" s="5" t="s">
        <v>16952</v>
      </c>
    </row>
    <row r="2906" ht="15.75" spans="1:2">
      <c r="A2906" s="9" t="s">
        <v>9709</v>
      </c>
      <c r="B2906" s="5" t="s">
        <v>16952</v>
      </c>
    </row>
    <row r="2907" ht="15.75" spans="1:2">
      <c r="A2907" s="9" t="s">
        <v>9713</v>
      </c>
      <c r="B2907" s="5" t="s">
        <v>16952</v>
      </c>
    </row>
    <row r="2908" ht="15.75" spans="1:2">
      <c r="A2908" s="9" t="s">
        <v>9717</v>
      </c>
      <c r="B2908" s="5" t="s">
        <v>16952</v>
      </c>
    </row>
    <row r="2909" ht="15.75" spans="1:2">
      <c r="A2909" s="9" t="s">
        <v>9721</v>
      </c>
      <c r="B2909" s="5" t="s">
        <v>16952</v>
      </c>
    </row>
    <row r="2910" ht="15.75" spans="1:2">
      <c r="A2910" s="9" t="s">
        <v>9725</v>
      </c>
      <c r="B2910" s="8"/>
    </row>
    <row r="2911" ht="15.75" spans="1:2">
      <c r="A2911" s="9" t="s">
        <v>9726</v>
      </c>
      <c r="B2911" s="5" t="s">
        <v>16952</v>
      </c>
    </row>
    <row r="2912" ht="15.75" spans="1:2">
      <c r="A2912" s="9" t="s">
        <v>9730</v>
      </c>
      <c r="B2912" s="5" t="s">
        <v>16952</v>
      </c>
    </row>
    <row r="2913" ht="15.75" spans="1:2">
      <c r="A2913" s="9" t="s">
        <v>9733</v>
      </c>
      <c r="B2913" s="5" t="s">
        <v>16952</v>
      </c>
    </row>
    <row r="2914" ht="15.75" spans="1:2">
      <c r="A2914" s="9" t="s">
        <v>9736</v>
      </c>
      <c r="B2914" s="5" t="s">
        <v>16952</v>
      </c>
    </row>
    <row r="2915" ht="15.75" spans="1:2">
      <c r="A2915" s="9" t="s">
        <v>9740</v>
      </c>
      <c r="B2915" s="5" t="s">
        <v>16952</v>
      </c>
    </row>
    <row r="2916" ht="31.5" spans="1:2">
      <c r="A2916" s="9" t="s">
        <v>9743</v>
      </c>
      <c r="B2916" s="8" t="s">
        <v>16981</v>
      </c>
    </row>
    <row r="2917" ht="15.75" spans="1:2">
      <c r="A2917" s="9" t="s">
        <v>9744</v>
      </c>
      <c r="B2917" s="5" t="s">
        <v>16952</v>
      </c>
    </row>
    <row r="2918" ht="15.75" spans="1:2">
      <c r="A2918" s="9" t="s">
        <v>9748</v>
      </c>
      <c r="B2918" s="5" t="s">
        <v>16952</v>
      </c>
    </row>
    <row r="2919" ht="15.75" spans="1:2">
      <c r="A2919" s="9" t="s">
        <v>9751</v>
      </c>
      <c r="B2919" s="5" t="s">
        <v>16952</v>
      </c>
    </row>
    <row r="2920" ht="15.75" spans="1:2">
      <c r="A2920" s="9" t="s">
        <v>9754</v>
      </c>
      <c r="B2920" s="5" t="s">
        <v>16952</v>
      </c>
    </row>
    <row r="2921" ht="15.75" spans="1:2">
      <c r="A2921" s="9" t="s">
        <v>9757</v>
      </c>
      <c r="B2921" s="5" t="s">
        <v>16952</v>
      </c>
    </row>
    <row r="2922" ht="15.75" spans="1:2">
      <c r="A2922" s="9" t="s">
        <v>9760</v>
      </c>
      <c r="B2922" s="5" t="s">
        <v>16952</v>
      </c>
    </row>
    <row r="2923" ht="15.75" spans="1:2">
      <c r="A2923" s="9" t="s">
        <v>9763</v>
      </c>
      <c r="B2923" s="5" t="s">
        <v>16952</v>
      </c>
    </row>
    <row r="2924" ht="15.75" spans="1:2">
      <c r="A2924" s="9" t="s">
        <v>9766</v>
      </c>
      <c r="B2924" s="5" t="s">
        <v>16952</v>
      </c>
    </row>
    <row r="2925" ht="15.75" spans="1:2">
      <c r="A2925" s="9" t="s">
        <v>9769</v>
      </c>
      <c r="B2925" s="5" t="s">
        <v>16952</v>
      </c>
    </row>
    <row r="2926" ht="15.75" spans="1:2">
      <c r="A2926" s="9" t="s">
        <v>9772</v>
      </c>
      <c r="B2926" s="5" t="s">
        <v>16952</v>
      </c>
    </row>
    <row r="2927" ht="15.75" spans="1:2">
      <c r="A2927" s="9" t="s">
        <v>9775</v>
      </c>
      <c r="B2927" s="5" t="s">
        <v>16952</v>
      </c>
    </row>
    <row r="2928" ht="15.75" spans="1:2">
      <c r="A2928" s="9" t="s">
        <v>9778</v>
      </c>
      <c r="B2928" s="5" t="s">
        <v>16952</v>
      </c>
    </row>
    <row r="2929" ht="15.75" spans="1:2">
      <c r="A2929" s="9" t="s">
        <v>9781</v>
      </c>
      <c r="B2929" s="5" t="s">
        <v>16952</v>
      </c>
    </row>
    <row r="2930" ht="15.75" spans="1:2">
      <c r="A2930" s="9" t="s">
        <v>9785</v>
      </c>
      <c r="B2930" s="5" t="s">
        <v>16952</v>
      </c>
    </row>
    <row r="2931" ht="15.75" spans="1:2">
      <c r="A2931" s="9" t="s">
        <v>9790</v>
      </c>
      <c r="B2931" s="5" t="s">
        <v>16952</v>
      </c>
    </row>
    <row r="2932" ht="15.75" spans="1:2">
      <c r="A2932" s="9" t="s">
        <v>9793</v>
      </c>
      <c r="B2932" s="5" t="s">
        <v>16952</v>
      </c>
    </row>
    <row r="2933" ht="15.75" spans="1:2">
      <c r="A2933" s="9" t="s">
        <v>9796</v>
      </c>
      <c r="B2933" s="5" t="s">
        <v>16952</v>
      </c>
    </row>
    <row r="2934" ht="15.75" spans="1:2">
      <c r="A2934" s="9" t="s">
        <v>9800</v>
      </c>
      <c r="B2934" s="5" t="s">
        <v>16952</v>
      </c>
    </row>
    <row r="2935" ht="15.75" spans="1:2">
      <c r="A2935" s="9" t="s">
        <v>9804</v>
      </c>
      <c r="B2935" s="5" t="s">
        <v>16952</v>
      </c>
    </row>
    <row r="2936" ht="15.75" spans="1:2">
      <c r="A2936" s="9" t="s">
        <v>9807</v>
      </c>
      <c r="B2936" s="5" t="s">
        <v>16952</v>
      </c>
    </row>
    <row r="2937" ht="15.75" spans="1:2">
      <c r="A2937" s="9" t="s">
        <v>9810</v>
      </c>
      <c r="B2937" s="5" t="s">
        <v>16952</v>
      </c>
    </row>
    <row r="2938" ht="15.75" spans="1:2">
      <c r="A2938" s="9" t="s">
        <v>9815</v>
      </c>
      <c r="B2938" s="5" t="s">
        <v>16952</v>
      </c>
    </row>
    <row r="2939" ht="15.75" spans="1:2">
      <c r="A2939" s="9" t="s">
        <v>9819</v>
      </c>
      <c r="B2939" s="5" t="s">
        <v>16952</v>
      </c>
    </row>
    <row r="2940" ht="15.75" spans="1:2">
      <c r="A2940" s="9" t="s">
        <v>9822</v>
      </c>
      <c r="B2940" s="5" t="s">
        <v>16952</v>
      </c>
    </row>
    <row r="2941" ht="15.75" spans="1:2">
      <c r="A2941" s="9" t="s">
        <v>9825</v>
      </c>
      <c r="B2941" s="5" t="s">
        <v>16952</v>
      </c>
    </row>
    <row r="2942" ht="15.75" spans="1:2">
      <c r="A2942" s="9" t="s">
        <v>9829</v>
      </c>
      <c r="B2942" s="5" t="s">
        <v>16952</v>
      </c>
    </row>
    <row r="2943" ht="31.5" spans="1:2">
      <c r="A2943" s="9" t="s">
        <v>9833</v>
      </c>
      <c r="B2943" s="12" t="s">
        <v>16982</v>
      </c>
    </row>
    <row r="2944" ht="31.5" spans="1:2">
      <c r="A2944" s="9" t="s">
        <v>9833</v>
      </c>
      <c r="B2944" s="12" t="s">
        <v>16982</v>
      </c>
    </row>
    <row r="2945" ht="31.5" spans="1:2">
      <c r="A2945" s="9" t="s">
        <v>9833</v>
      </c>
      <c r="B2945" s="12" t="s">
        <v>16982</v>
      </c>
    </row>
    <row r="2946" ht="31.5" spans="1:2">
      <c r="A2946" s="9" t="s">
        <v>9833</v>
      </c>
      <c r="B2946" s="12" t="s">
        <v>16982</v>
      </c>
    </row>
    <row r="2947" ht="31.5" spans="1:2">
      <c r="A2947" s="9" t="s">
        <v>9833</v>
      </c>
      <c r="B2947" s="12" t="s">
        <v>16982</v>
      </c>
    </row>
    <row r="2948" ht="31.5" spans="1:2">
      <c r="A2948" s="9" t="s">
        <v>9833</v>
      </c>
      <c r="B2948" s="12" t="s">
        <v>16982</v>
      </c>
    </row>
    <row r="2949" ht="15.75" spans="1:2">
      <c r="A2949" s="9" t="s">
        <v>9834</v>
      </c>
      <c r="B2949" s="10" t="s">
        <v>16952</v>
      </c>
    </row>
    <row r="2950" ht="15.75" spans="1:2">
      <c r="A2950" s="9" t="s">
        <v>9837</v>
      </c>
      <c r="B2950" s="5" t="s">
        <v>16952</v>
      </c>
    </row>
    <row r="2951" ht="15.75" spans="1:2">
      <c r="A2951" s="9" t="s">
        <v>9842</v>
      </c>
      <c r="B2951" s="5"/>
    </row>
    <row r="2952" ht="15.75" spans="1:2">
      <c r="A2952" s="9" t="s">
        <v>9846</v>
      </c>
      <c r="B2952" s="5" t="s">
        <v>16952</v>
      </c>
    </row>
    <row r="2953" ht="15.75" spans="1:2">
      <c r="A2953" s="9" t="s">
        <v>9849</v>
      </c>
      <c r="B2953" s="5" t="s">
        <v>16952</v>
      </c>
    </row>
    <row r="2954" ht="15.75" spans="1:2">
      <c r="A2954" s="9" t="s">
        <v>9852</v>
      </c>
      <c r="B2954" s="5" t="s">
        <v>16952</v>
      </c>
    </row>
    <row r="2955" ht="15.75" spans="1:2">
      <c r="A2955" s="9" t="s">
        <v>9855</v>
      </c>
      <c r="B2955" s="5" t="s">
        <v>16952</v>
      </c>
    </row>
    <row r="2956" ht="15.75" spans="1:2">
      <c r="A2956" s="9" t="s">
        <v>9859</v>
      </c>
      <c r="B2956" s="5" t="s">
        <v>16952</v>
      </c>
    </row>
    <row r="2957" ht="15.75" spans="1:2">
      <c r="A2957" s="9" t="s">
        <v>9862</v>
      </c>
      <c r="B2957" s="5" t="s">
        <v>16952</v>
      </c>
    </row>
    <row r="2958" ht="15.75" spans="1:2">
      <c r="A2958" s="9" t="s">
        <v>9865</v>
      </c>
      <c r="B2958" s="5" t="s">
        <v>16952</v>
      </c>
    </row>
    <row r="2959" ht="15.75" spans="1:2">
      <c r="A2959" s="9" t="s">
        <v>9868</v>
      </c>
      <c r="B2959" s="5" t="s">
        <v>16952</v>
      </c>
    </row>
    <row r="2960" ht="15.75" spans="1:2">
      <c r="A2960" s="9" t="s">
        <v>9872</v>
      </c>
      <c r="B2960" s="5" t="s">
        <v>16952</v>
      </c>
    </row>
    <row r="2961" ht="15.75" spans="1:2">
      <c r="A2961" s="9" t="s">
        <v>9875</v>
      </c>
      <c r="B2961" s="5" t="s">
        <v>16952</v>
      </c>
    </row>
    <row r="2962" ht="15.75" spans="1:2">
      <c r="A2962" s="9" t="s">
        <v>9878</v>
      </c>
      <c r="B2962" s="5" t="s">
        <v>16952</v>
      </c>
    </row>
    <row r="2963" ht="15.75" spans="1:2">
      <c r="A2963" s="9" t="s">
        <v>9883</v>
      </c>
      <c r="B2963" s="5" t="s">
        <v>16952</v>
      </c>
    </row>
    <row r="2964" ht="15.75" spans="1:2">
      <c r="A2964" s="9" t="s">
        <v>9887</v>
      </c>
      <c r="B2964" s="5" t="s">
        <v>16952</v>
      </c>
    </row>
    <row r="2965" ht="15.75" spans="1:2">
      <c r="A2965" s="9" t="s">
        <v>9890</v>
      </c>
      <c r="B2965" s="5" t="s">
        <v>16952</v>
      </c>
    </row>
    <row r="2966" ht="15.75" spans="1:2">
      <c r="A2966" s="9" t="s">
        <v>9894</v>
      </c>
      <c r="B2966" s="5" t="s">
        <v>16952</v>
      </c>
    </row>
    <row r="2967" ht="15.75" spans="1:2">
      <c r="A2967" s="9" t="s">
        <v>9897</v>
      </c>
      <c r="B2967" s="5" t="s">
        <v>16952</v>
      </c>
    </row>
    <row r="2968" ht="15.75" spans="1:2">
      <c r="A2968" s="9" t="s">
        <v>9901</v>
      </c>
      <c r="B2968" s="5" t="s">
        <v>16952</v>
      </c>
    </row>
    <row r="2969" ht="15.75" spans="1:2">
      <c r="A2969" s="9" t="s">
        <v>9904</v>
      </c>
      <c r="B2969" s="5" t="s">
        <v>16952</v>
      </c>
    </row>
    <row r="2970" ht="15.75" spans="1:2">
      <c r="A2970" s="9" t="s">
        <v>9908</v>
      </c>
      <c r="B2970" s="5" t="s">
        <v>16952</v>
      </c>
    </row>
    <row r="2971" ht="15.75" spans="1:2">
      <c r="A2971" s="9" t="s">
        <v>9912</v>
      </c>
      <c r="B2971" s="5" t="s">
        <v>16952</v>
      </c>
    </row>
    <row r="2972" ht="15.75" spans="1:2">
      <c r="A2972" s="9" t="s">
        <v>9917</v>
      </c>
      <c r="B2972" s="5" t="s">
        <v>16952</v>
      </c>
    </row>
    <row r="2973" ht="15.75" spans="1:2">
      <c r="A2973" s="9" t="s">
        <v>9920</v>
      </c>
      <c r="B2973" s="5" t="s">
        <v>16952</v>
      </c>
    </row>
    <row r="2974" ht="15.75" spans="1:2">
      <c r="A2974" s="9" t="s">
        <v>9923</v>
      </c>
      <c r="B2974" s="5" t="s">
        <v>16952</v>
      </c>
    </row>
    <row r="2975" ht="15.75" spans="1:2">
      <c r="A2975" s="9" t="s">
        <v>9927</v>
      </c>
      <c r="B2975" s="5" t="s">
        <v>16952</v>
      </c>
    </row>
    <row r="2976" ht="15.75" spans="1:2">
      <c r="A2976" s="9" t="s">
        <v>9930</v>
      </c>
      <c r="B2976" s="5" t="s">
        <v>16952</v>
      </c>
    </row>
    <row r="2977" ht="15.75" spans="1:2">
      <c r="A2977" s="9" t="s">
        <v>9933</v>
      </c>
      <c r="B2977" s="5" t="s">
        <v>16952</v>
      </c>
    </row>
    <row r="2978" ht="15.75" spans="1:2">
      <c r="A2978" s="9" t="s">
        <v>9938</v>
      </c>
      <c r="B2978" s="5" t="s">
        <v>16952</v>
      </c>
    </row>
    <row r="2979" ht="15.75" spans="1:2">
      <c r="A2979" s="9" t="s">
        <v>9940</v>
      </c>
      <c r="B2979" s="5" t="s">
        <v>16952</v>
      </c>
    </row>
    <row r="2980" ht="15.75" spans="1:2">
      <c r="A2980" s="9" t="s">
        <v>9943</v>
      </c>
      <c r="B2980" s="5" t="s">
        <v>16952</v>
      </c>
    </row>
    <row r="2981" ht="15.75" spans="1:2">
      <c r="A2981" s="9" t="s">
        <v>9946</v>
      </c>
      <c r="B2981" s="5" t="s">
        <v>16952</v>
      </c>
    </row>
    <row r="2982" ht="15.75" spans="1:2">
      <c r="A2982" s="9" t="s">
        <v>9950</v>
      </c>
      <c r="B2982" s="5" t="s">
        <v>16952</v>
      </c>
    </row>
    <row r="2983" ht="15.75" spans="1:2">
      <c r="A2983" s="9" t="s">
        <v>9953</v>
      </c>
      <c r="B2983" s="5" t="s">
        <v>16952</v>
      </c>
    </row>
    <row r="2984" ht="15.75" spans="1:2">
      <c r="A2984" s="9" t="s">
        <v>9956</v>
      </c>
      <c r="B2984" s="5" t="s">
        <v>16952</v>
      </c>
    </row>
    <row r="2985" ht="15.75" spans="1:2">
      <c r="A2985" s="9" t="s">
        <v>9959</v>
      </c>
      <c r="B2985" s="10" t="s">
        <v>16952</v>
      </c>
    </row>
    <row r="2986" ht="15.75" spans="1:2">
      <c r="A2986" s="9" t="s">
        <v>9959</v>
      </c>
      <c r="B2986" s="10" t="s">
        <v>16952</v>
      </c>
    </row>
    <row r="2987" ht="15.75" spans="1:2">
      <c r="A2987" s="9" t="s">
        <v>9963</v>
      </c>
      <c r="B2987" s="5" t="s">
        <v>16952</v>
      </c>
    </row>
    <row r="2988" ht="15.75" spans="1:2">
      <c r="A2988" s="9" t="s">
        <v>9967</v>
      </c>
      <c r="B2988" s="5" t="s">
        <v>16952</v>
      </c>
    </row>
    <row r="2989" ht="15.75" spans="1:2">
      <c r="A2989" s="9" t="s">
        <v>9970</v>
      </c>
      <c r="B2989" s="12"/>
    </row>
    <row r="2990" ht="15.75" spans="1:2">
      <c r="A2990" s="9" t="s">
        <v>9970</v>
      </c>
      <c r="B2990" s="12"/>
    </row>
    <row r="2991" ht="15.75" spans="1:2">
      <c r="A2991" s="9" t="s">
        <v>9971</v>
      </c>
      <c r="B2991" s="5" t="s">
        <v>16952</v>
      </c>
    </row>
    <row r="2992" ht="31.5" spans="1:2">
      <c r="A2992" s="9" t="s">
        <v>9976</v>
      </c>
      <c r="B2992" s="8" t="s">
        <v>16983</v>
      </c>
    </row>
    <row r="2993" ht="15.75" spans="1:2">
      <c r="A2993" s="9" t="s">
        <v>9977</v>
      </c>
      <c r="B2993" s="5" t="s">
        <v>16952</v>
      </c>
    </row>
    <row r="2994" ht="15.75" spans="1:2">
      <c r="A2994" s="9" t="s">
        <v>9981</v>
      </c>
      <c r="B2994" s="5"/>
    </row>
    <row r="2995" ht="15.75" spans="1:2">
      <c r="A2995" s="9" t="s">
        <v>9986</v>
      </c>
      <c r="B2995" s="5" t="s">
        <v>16952</v>
      </c>
    </row>
    <row r="2996" ht="15.75" spans="1:2">
      <c r="A2996" s="9" t="s">
        <v>9989</v>
      </c>
      <c r="B2996" s="5" t="s">
        <v>16952</v>
      </c>
    </row>
    <row r="2997" ht="31.5" spans="1:2">
      <c r="A2997" s="9" t="s">
        <v>9992</v>
      </c>
      <c r="B2997" s="8" t="s">
        <v>16984</v>
      </c>
    </row>
    <row r="2998" ht="15.75" spans="1:2">
      <c r="A2998" s="9" t="s">
        <v>9993</v>
      </c>
      <c r="B2998" s="5" t="s">
        <v>16952</v>
      </c>
    </row>
    <row r="2999" ht="15.75" spans="1:2">
      <c r="A2999" s="9" t="s">
        <v>9996</v>
      </c>
      <c r="B2999" s="5" t="s">
        <v>16952</v>
      </c>
    </row>
    <row r="3000" ht="15.75" spans="1:2">
      <c r="A3000" s="9" t="s">
        <v>10000</v>
      </c>
      <c r="B3000" s="5" t="s">
        <v>16952</v>
      </c>
    </row>
    <row r="3001" ht="15.75" spans="1:2">
      <c r="A3001" s="9" t="s">
        <v>10003</v>
      </c>
      <c r="B3001" s="5" t="s">
        <v>16952</v>
      </c>
    </row>
    <row r="3002" ht="15.75" spans="1:2">
      <c r="A3002" s="9" t="s">
        <v>10006</v>
      </c>
      <c r="B3002" s="5" t="s">
        <v>16952</v>
      </c>
    </row>
    <row r="3003" ht="15.75" spans="1:2">
      <c r="A3003" s="9" t="s">
        <v>10010</v>
      </c>
      <c r="B3003" s="5" t="s">
        <v>16952</v>
      </c>
    </row>
    <row r="3004" ht="15.75" spans="1:2">
      <c r="A3004" s="9" t="s">
        <v>10014</v>
      </c>
      <c r="B3004" s="5" t="s">
        <v>16952</v>
      </c>
    </row>
    <row r="3005" ht="15.75" spans="1:2">
      <c r="A3005" s="9" t="s">
        <v>10017</v>
      </c>
      <c r="B3005" s="5" t="s">
        <v>16952</v>
      </c>
    </row>
    <row r="3006" ht="31.5" spans="1:2">
      <c r="A3006" s="9" t="s">
        <v>10020</v>
      </c>
      <c r="B3006" s="8" t="s">
        <v>16985</v>
      </c>
    </row>
    <row r="3007" ht="31.5" spans="1:2">
      <c r="A3007" s="9" t="s">
        <v>10021</v>
      </c>
      <c r="B3007" s="11" t="s">
        <v>16986</v>
      </c>
    </row>
    <row r="3008" ht="15.75" spans="1:2">
      <c r="A3008" s="9" t="s">
        <v>10022</v>
      </c>
      <c r="B3008" s="5" t="s">
        <v>16952</v>
      </c>
    </row>
    <row r="3009" ht="15.75" spans="1:2">
      <c r="A3009" s="9" t="s">
        <v>10025</v>
      </c>
      <c r="B3009" s="5" t="s">
        <v>16952</v>
      </c>
    </row>
    <row r="3010" ht="15.75" spans="1:2">
      <c r="A3010" s="9" t="s">
        <v>10029</v>
      </c>
      <c r="B3010" s="5" t="s">
        <v>16952</v>
      </c>
    </row>
    <row r="3011" ht="15.75" spans="1:2">
      <c r="A3011" s="9" t="s">
        <v>10033</v>
      </c>
      <c r="B3011" s="12"/>
    </row>
    <row r="3012" ht="15.75" spans="1:2">
      <c r="A3012" s="9" t="s">
        <v>10033</v>
      </c>
      <c r="B3012" s="12" t="s">
        <v>16987</v>
      </c>
    </row>
    <row r="3013" ht="15.75" spans="1:2">
      <c r="A3013" s="9" t="s">
        <v>10034</v>
      </c>
      <c r="B3013" s="5" t="s">
        <v>16952</v>
      </c>
    </row>
    <row r="3014" ht="15.75" spans="1:2">
      <c r="A3014" s="9" t="s">
        <v>10039</v>
      </c>
      <c r="B3014" s="5" t="s">
        <v>16952</v>
      </c>
    </row>
    <row r="3015" ht="15.75" spans="1:2">
      <c r="A3015" s="9" t="s">
        <v>10043</v>
      </c>
      <c r="B3015" s="5" t="s">
        <v>16952</v>
      </c>
    </row>
    <row r="3016" ht="15.75" spans="1:2">
      <c r="A3016" s="9" t="s">
        <v>10048</v>
      </c>
      <c r="B3016" s="5" t="s">
        <v>16952</v>
      </c>
    </row>
    <row r="3017" ht="15.75" spans="1:2">
      <c r="A3017" s="9" t="s">
        <v>10051</v>
      </c>
      <c r="B3017" s="5"/>
    </row>
    <row r="3018" ht="15.75" spans="1:2">
      <c r="A3018" s="9" t="s">
        <v>10055</v>
      </c>
      <c r="B3018" s="5"/>
    </row>
    <row r="3019" ht="15.75" spans="1:2">
      <c r="A3019" s="9" t="s">
        <v>10059</v>
      </c>
      <c r="B3019" s="5"/>
    </row>
    <row r="3020" ht="15.75" spans="1:2">
      <c r="A3020" s="9" t="s">
        <v>10063</v>
      </c>
      <c r="B3020" s="5"/>
    </row>
    <row r="3021" ht="15.75" spans="1:2">
      <c r="A3021" s="9" t="s">
        <v>10068</v>
      </c>
      <c r="B3021" s="5" t="s">
        <v>16952</v>
      </c>
    </row>
    <row r="3022" ht="15.75" spans="1:2">
      <c r="A3022" s="9" t="s">
        <v>10071</v>
      </c>
      <c r="B3022" s="5" t="s">
        <v>16952</v>
      </c>
    </row>
    <row r="3023" ht="15.75" spans="1:2">
      <c r="A3023" s="9" t="s">
        <v>10076</v>
      </c>
      <c r="B3023" s="5" t="s">
        <v>16952</v>
      </c>
    </row>
    <row r="3024" ht="15.75" spans="1:2">
      <c r="A3024" s="9" t="s">
        <v>10080</v>
      </c>
      <c r="B3024" s="5" t="s">
        <v>16952</v>
      </c>
    </row>
    <row r="3025" ht="15.75" spans="1:2">
      <c r="A3025" s="9" t="s">
        <v>10084</v>
      </c>
      <c r="B3025" s="5" t="s">
        <v>16952</v>
      </c>
    </row>
    <row r="3026" ht="15.75" spans="1:2">
      <c r="A3026" s="9" t="s">
        <v>10086</v>
      </c>
      <c r="B3026" s="5" t="s">
        <v>16952</v>
      </c>
    </row>
    <row r="3027" ht="15.75" spans="1:2">
      <c r="A3027" s="9" t="s">
        <v>10090</v>
      </c>
      <c r="B3027" s="5" t="s">
        <v>16952</v>
      </c>
    </row>
    <row r="3028" ht="15.75" spans="1:2">
      <c r="A3028" s="9" t="s">
        <v>10093</v>
      </c>
      <c r="B3028" s="5" t="s">
        <v>16952</v>
      </c>
    </row>
    <row r="3029" ht="15.75" spans="1:2">
      <c r="A3029" s="9" t="s">
        <v>10097</v>
      </c>
      <c r="B3029" s="5" t="s">
        <v>16952</v>
      </c>
    </row>
    <row r="3030" ht="15.75" spans="1:2">
      <c r="A3030" s="9" t="s">
        <v>10101</v>
      </c>
      <c r="B3030" s="5" t="s">
        <v>16952</v>
      </c>
    </row>
    <row r="3031" ht="15.75" spans="1:2">
      <c r="A3031" s="9" t="s">
        <v>10105</v>
      </c>
      <c r="B3031" s="5" t="s">
        <v>16952</v>
      </c>
    </row>
    <row r="3032" ht="15.75" spans="1:2">
      <c r="A3032" s="9" t="s">
        <v>10109</v>
      </c>
      <c r="B3032" s="5" t="s">
        <v>16952</v>
      </c>
    </row>
    <row r="3033" ht="15.75" spans="1:2">
      <c r="A3033" s="9" t="s">
        <v>10113</v>
      </c>
      <c r="B3033" s="5" t="s">
        <v>16952</v>
      </c>
    </row>
    <row r="3034" ht="15.75" spans="1:2">
      <c r="A3034" s="9" t="s">
        <v>10117</v>
      </c>
      <c r="B3034" s="5" t="s">
        <v>16952</v>
      </c>
    </row>
    <row r="3035" ht="15.75" spans="1:2">
      <c r="A3035" s="9" t="s">
        <v>10121</v>
      </c>
      <c r="B3035" s="5" t="s">
        <v>16952</v>
      </c>
    </row>
    <row r="3036" ht="15.75" spans="1:2">
      <c r="A3036" s="9" t="s">
        <v>10126</v>
      </c>
      <c r="B3036" s="5" t="s">
        <v>16952</v>
      </c>
    </row>
    <row r="3037" ht="15.75" spans="1:2">
      <c r="A3037" s="9" t="s">
        <v>10129</v>
      </c>
      <c r="B3037" s="5" t="s">
        <v>16952</v>
      </c>
    </row>
    <row r="3038" ht="15.75" spans="1:2">
      <c r="A3038" s="9" t="s">
        <v>10132</v>
      </c>
      <c r="B3038" s="5" t="s">
        <v>16952</v>
      </c>
    </row>
    <row r="3039" ht="15.75" spans="1:2">
      <c r="A3039" s="9" t="s">
        <v>10137</v>
      </c>
      <c r="B3039" s="5" t="s">
        <v>16952</v>
      </c>
    </row>
    <row r="3040" ht="15.75" spans="1:2">
      <c r="A3040" s="9" t="s">
        <v>10141</v>
      </c>
      <c r="B3040" s="5" t="s">
        <v>16952</v>
      </c>
    </row>
    <row r="3041" ht="15.75" spans="1:2">
      <c r="A3041" s="9" t="s">
        <v>10145</v>
      </c>
      <c r="B3041" s="5" t="s">
        <v>16952</v>
      </c>
    </row>
    <row r="3042" ht="15.75" spans="1:2">
      <c r="A3042" s="9" t="s">
        <v>10149</v>
      </c>
      <c r="B3042" s="5" t="s">
        <v>16952</v>
      </c>
    </row>
    <row r="3043" ht="15.75" spans="1:2">
      <c r="A3043" s="9" t="s">
        <v>10152</v>
      </c>
      <c r="B3043" s="5" t="s">
        <v>16952</v>
      </c>
    </row>
    <row r="3044" ht="15.75" spans="1:2">
      <c r="A3044" s="9" t="s">
        <v>10155</v>
      </c>
      <c r="B3044" s="5" t="s">
        <v>16952</v>
      </c>
    </row>
    <row r="3045" ht="15.75" spans="1:2">
      <c r="A3045" s="9" t="s">
        <v>10158</v>
      </c>
      <c r="B3045" s="5" t="s">
        <v>16952</v>
      </c>
    </row>
    <row r="3046" ht="15.75" spans="1:2">
      <c r="A3046" s="9" t="s">
        <v>10162</v>
      </c>
      <c r="B3046" s="5" t="s">
        <v>16952</v>
      </c>
    </row>
    <row r="3047" ht="15.75" spans="1:2">
      <c r="A3047" s="9" t="s">
        <v>10165</v>
      </c>
      <c r="B3047" s="5" t="s">
        <v>16952</v>
      </c>
    </row>
    <row r="3048" ht="15.75" spans="1:2">
      <c r="A3048" s="9" t="s">
        <v>10169</v>
      </c>
      <c r="B3048" s="5" t="s">
        <v>16952</v>
      </c>
    </row>
    <row r="3049" ht="15.75" spans="1:2">
      <c r="A3049" s="9" t="s">
        <v>10173</v>
      </c>
      <c r="B3049" s="5" t="s">
        <v>16952</v>
      </c>
    </row>
    <row r="3050" ht="15.75" spans="1:2">
      <c r="A3050" s="9" t="s">
        <v>10176</v>
      </c>
      <c r="B3050" s="5" t="s">
        <v>16952</v>
      </c>
    </row>
    <row r="3051" ht="15.75" spans="1:2">
      <c r="A3051" s="9" t="s">
        <v>10179</v>
      </c>
      <c r="B3051" s="5" t="s">
        <v>16952</v>
      </c>
    </row>
    <row r="3052" ht="15.75" spans="1:2">
      <c r="A3052" s="9" t="s">
        <v>10182</v>
      </c>
      <c r="B3052" s="5" t="s">
        <v>16952</v>
      </c>
    </row>
    <row r="3053" ht="15.75" spans="1:2">
      <c r="A3053" s="9" t="s">
        <v>10185</v>
      </c>
      <c r="B3053" s="5" t="s">
        <v>16952</v>
      </c>
    </row>
    <row r="3054" ht="15.75" spans="1:2">
      <c r="A3054" s="9" t="s">
        <v>10188</v>
      </c>
      <c r="B3054" s="5" t="s">
        <v>16952</v>
      </c>
    </row>
    <row r="3055" ht="15.75" spans="1:2">
      <c r="A3055" s="9" t="s">
        <v>10191</v>
      </c>
      <c r="B3055" s="5" t="s">
        <v>16952</v>
      </c>
    </row>
    <row r="3056" ht="15.75" spans="1:2">
      <c r="A3056" s="9" t="s">
        <v>10194</v>
      </c>
      <c r="B3056" s="5" t="s">
        <v>16952</v>
      </c>
    </row>
    <row r="3057" ht="15.75" spans="1:2">
      <c r="A3057" s="9" t="s">
        <v>10197</v>
      </c>
      <c r="B3057" s="5" t="s">
        <v>16952</v>
      </c>
    </row>
    <row r="3058" ht="15.75" spans="1:2">
      <c r="A3058" s="9" t="s">
        <v>10200</v>
      </c>
      <c r="B3058" s="5" t="s">
        <v>16952</v>
      </c>
    </row>
    <row r="3059" ht="15.75" spans="1:2">
      <c r="A3059" s="9" t="s">
        <v>10204</v>
      </c>
      <c r="B3059" s="5" t="s">
        <v>16952</v>
      </c>
    </row>
    <row r="3060" ht="15.75" spans="1:2">
      <c r="A3060" s="9" t="s">
        <v>10207</v>
      </c>
      <c r="B3060" s="5" t="s">
        <v>16952</v>
      </c>
    </row>
    <row r="3061" ht="15.75" spans="1:2">
      <c r="A3061" s="9" t="s">
        <v>10210</v>
      </c>
      <c r="B3061" s="5" t="s">
        <v>16952</v>
      </c>
    </row>
    <row r="3062" ht="15.75" spans="1:2">
      <c r="A3062" s="9" t="s">
        <v>10213</v>
      </c>
      <c r="B3062" s="5" t="s">
        <v>16952</v>
      </c>
    </row>
    <row r="3063" ht="15.75" spans="1:2">
      <c r="A3063" s="9" t="s">
        <v>10216</v>
      </c>
      <c r="B3063" s="5" t="s">
        <v>16952</v>
      </c>
    </row>
    <row r="3064" ht="15.75" spans="1:2">
      <c r="A3064" s="9" t="s">
        <v>10220</v>
      </c>
      <c r="B3064" s="5" t="s">
        <v>16952</v>
      </c>
    </row>
    <row r="3065" ht="15.75" spans="1:2">
      <c r="A3065" s="9" t="s">
        <v>10223</v>
      </c>
      <c r="B3065" s="5" t="s">
        <v>16952</v>
      </c>
    </row>
    <row r="3066" ht="15.75" spans="1:2">
      <c r="A3066" s="9" t="s">
        <v>10226</v>
      </c>
      <c r="B3066" s="5" t="s">
        <v>16952</v>
      </c>
    </row>
    <row r="3067" ht="15.75" spans="1:2">
      <c r="A3067" s="9" t="s">
        <v>10229</v>
      </c>
      <c r="B3067" s="5" t="s">
        <v>16952</v>
      </c>
    </row>
    <row r="3068" ht="15.75" spans="1:2">
      <c r="A3068" s="9" t="s">
        <v>10233</v>
      </c>
      <c r="B3068" s="5" t="s">
        <v>16952</v>
      </c>
    </row>
    <row r="3069" ht="15.75" spans="1:2">
      <c r="A3069" s="9" t="s">
        <v>10236</v>
      </c>
      <c r="B3069" s="5" t="s">
        <v>16952</v>
      </c>
    </row>
    <row r="3070" ht="15.75" spans="1:2">
      <c r="A3070" s="9" t="s">
        <v>10239</v>
      </c>
      <c r="B3070" s="5" t="s">
        <v>16952</v>
      </c>
    </row>
    <row r="3071" ht="15.75" spans="1:2">
      <c r="A3071" s="9" t="s">
        <v>10244</v>
      </c>
      <c r="B3071" s="5" t="s">
        <v>16952</v>
      </c>
    </row>
    <row r="3072" ht="15.75" spans="1:2">
      <c r="A3072" s="9" t="s">
        <v>10248</v>
      </c>
      <c r="B3072" s="5" t="s">
        <v>16952</v>
      </c>
    </row>
    <row r="3073" ht="15.75" spans="1:2">
      <c r="A3073" s="9" t="s">
        <v>10252</v>
      </c>
      <c r="B3073" s="5" t="s">
        <v>16952</v>
      </c>
    </row>
    <row r="3074" ht="15.75" spans="1:2">
      <c r="A3074" s="9" t="s">
        <v>10255</v>
      </c>
      <c r="B3074" s="5" t="s">
        <v>16952</v>
      </c>
    </row>
    <row r="3075" ht="15.75" spans="1:2">
      <c r="A3075" s="9" t="s">
        <v>10259</v>
      </c>
      <c r="B3075" s="5" t="s">
        <v>16952</v>
      </c>
    </row>
    <row r="3076" ht="15.75" spans="1:2">
      <c r="A3076" s="9" t="s">
        <v>10263</v>
      </c>
      <c r="B3076" s="5" t="s">
        <v>16952</v>
      </c>
    </row>
    <row r="3077" ht="15.75" spans="1:2">
      <c r="A3077" s="9" t="s">
        <v>10266</v>
      </c>
      <c r="B3077" s="5" t="s">
        <v>16952</v>
      </c>
    </row>
    <row r="3078" ht="15.75" spans="1:2">
      <c r="A3078" s="9" t="s">
        <v>10269</v>
      </c>
      <c r="B3078" s="5" t="s">
        <v>16952</v>
      </c>
    </row>
    <row r="3079" ht="15.75" spans="1:2">
      <c r="A3079" s="9" t="s">
        <v>10272</v>
      </c>
      <c r="B3079" s="5" t="s">
        <v>16952</v>
      </c>
    </row>
    <row r="3080" ht="15.75" spans="1:2">
      <c r="A3080" s="9" t="s">
        <v>10275</v>
      </c>
      <c r="B3080" s="5" t="s">
        <v>16952</v>
      </c>
    </row>
    <row r="3081" ht="15.75" spans="1:2">
      <c r="A3081" s="9" t="s">
        <v>10278</v>
      </c>
      <c r="B3081" s="5" t="s">
        <v>16952</v>
      </c>
    </row>
    <row r="3082" ht="15.75" spans="1:2">
      <c r="A3082" s="9" t="s">
        <v>10282</v>
      </c>
      <c r="B3082" s="5" t="s">
        <v>16952</v>
      </c>
    </row>
    <row r="3083" ht="15.75" spans="1:2">
      <c r="A3083" s="9" t="s">
        <v>10285</v>
      </c>
      <c r="B3083" s="5" t="s">
        <v>16952</v>
      </c>
    </row>
    <row r="3084" ht="15.75" spans="1:2">
      <c r="A3084" s="9" t="s">
        <v>10289</v>
      </c>
      <c r="B3084" s="5" t="s">
        <v>16952</v>
      </c>
    </row>
    <row r="3085" ht="15.75" spans="1:2">
      <c r="A3085" s="9" t="s">
        <v>10292</v>
      </c>
      <c r="B3085" s="5" t="s">
        <v>16952</v>
      </c>
    </row>
    <row r="3086" ht="15.75" spans="1:2">
      <c r="A3086" s="9" t="s">
        <v>10295</v>
      </c>
      <c r="B3086" s="5" t="s">
        <v>16952</v>
      </c>
    </row>
    <row r="3087" ht="15.75" spans="1:2">
      <c r="A3087" s="9" t="s">
        <v>10298</v>
      </c>
      <c r="B3087" s="5" t="s">
        <v>16952</v>
      </c>
    </row>
    <row r="3088" ht="15.75" spans="1:2">
      <c r="A3088" s="9" t="s">
        <v>10301</v>
      </c>
      <c r="B3088" s="5" t="s">
        <v>16952</v>
      </c>
    </row>
    <row r="3089" ht="15.75" spans="1:2">
      <c r="A3089" s="9" t="s">
        <v>10304</v>
      </c>
      <c r="B3089" s="5" t="s">
        <v>16952</v>
      </c>
    </row>
    <row r="3090" ht="15.75" spans="1:2">
      <c r="A3090" s="9" t="s">
        <v>10307</v>
      </c>
      <c r="B3090" s="5" t="s">
        <v>16952</v>
      </c>
    </row>
    <row r="3091" ht="15.75" spans="1:2">
      <c r="A3091" s="9" t="s">
        <v>10310</v>
      </c>
      <c r="B3091" s="5" t="s">
        <v>16952</v>
      </c>
    </row>
    <row r="3092" ht="15.75" spans="1:2">
      <c r="A3092" s="9" t="s">
        <v>10314</v>
      </c>
      <c r="B3092" s="5" t="s">
        <v>16952</v>
      </c>
    </row>
    <row r="3093" ht="15.75" spans="1:2">
      <c r="A3093" s="9" t="s">
        <v>10317</v>
      </c>
      <c r="B3093" s="5" t="s">
        <v>16952</v>
      </c>
    </row>
    <row r="3094" ht="15.75" spans="1:2">
      <c r="A3094" s="9" t="s">
        <v>10320</v>
      </c>
      <c r="B3094" s="5" t="s">
        <v>16952</v>
      </c>
    </row>
    <row r="3095" ht="15.75" spans="1:2">
      <c r="A3095" s="9" t="s">
        <v>10324</v>
      </c>
      <c r="B3095" s="5" t="s">
        <v>16952</v>
      </c>
    </row>
    <row r="3096" ht="15.75" spans="1:2">
      <c r="A3096" s="9" t="s">
        <v>10328</v>
      </c>
      <c r="B3096" s="5" t="s">
        <v>16952</v>
      </c>
    </row>
    <row r="3097" ht="15.75" spans="1:2">
      <c r="A3097" s="9" t="s">
        <v>10332</v>
      </c>
      <c r="B3097" s="5" t="s">
        <v>16952</v>
      </c>
    </row>
    <row r="3098" ht="15.75" spans="1:2">
      <c r="A3098" s="9" t="s">
        <v>10337</v>
      </c>
      <c r="B3098" s="5" t="s">
        <v>16952</v>
      </c>
    </row>
    <row r="3099" ht="15.75" spans="1:2">
      <c r="A3099" s="9" t="s">
        <v>10340</v>
      </c>
      <c r="B3099" s="5" t="s">
        <v>16952</v>
      </c>
    </row>
    <row r="3100" ht="15.75" spans="1:2">
      <c r="A3100" s="9" t="s">
        <v>10344</v>
      </c>
      <c r="B3100" s="5" t="s">
        <v>16952</v>
      </c>
    </row>
    <row r="3101" ht="15.75" spans="1:2">
      <c r="A3101" s="9" t="s">
        <v>10347</v>
      </c>
      <c r="B3101" s="5" t="s">
        <v>16952</v>
      </c>
    </row>
    <row r="3102" ht="15.75" spans="1:2">
      <c r="A3102" s="9" t="s">
        <v>10350</v>
      </c>
      <c r="B3102" s="8"/>
    </row>
    <row r="3103" ht="15.75" spans="1:2">
      <c r="A3103" s="9" t="s">
        <v>10351</v>
      </c>
      <c r="B3103" s="5" t="s">
        <v>16952</v>
      </c>
    </row>
    <row r="3104" ht="15.75" spans="1:2">
      <c r="A3104" s="9" t="s">
        <v>10354</v>
      </c>
      <c r="B3104" s="5" t="s">
        <v>16952</v>
      </c>
    </row>
    <row r="3105" ht="15.75" spans="1:2">
      <c r="A3105" s="9" t="s">
        <v>10357</v>
      </c>
      <c r="B3105" s="5" t="s">
        <v>16952</v>
      </c>
    </row>
    <row r="3106" ht="15.75" spans="1:2">
      <c r="A3106" s="9" t="s">
        <v>10360</v>
      </c>
      <c r="B3106" s="8"/>
    </row>
    <row r="3107" ht="15.75" spans="1:2">
      <c r="A3107" s="9" t="s">
        <v>10361</v>
      </c>
      <c r="B3107" s="8"/>
    </row>
    <row r="3108" ht="15.75" spans="1:2">
      <c r="A3108" s="9" t="s">
        <v>10362</v>
      </c>
      <c r="B3108" s="12"/>
    </row>
    <row r="3109" ht="15.75" spans="1:2">
      <c r="A3109" s="9" t="s">
        <v>10362</v>
      </c>
      <c r="B3109" s="10" t="s">
        <v>16952</v>
      </c>
    </row>
    <row r="3110" ht="15.75" spans="1:2">
      <c r="A3110" s="9" t="s">
        <v>10363</v>
      </c>
      <c r="B3110" s="5" t="s">
        <v>16952</v>
      </c>
    </row>
    <row r="3111" ht="15.75" spans="1:2">
      <c r="A3111" s="9" t="s">
        <v>10367</v>
      </c>
      <c r="B3111" s="5" t="s">
        <v>16952</v>
      </c>
    </row>
    <row r="3112" ht="15.75" spans="1:2">
      <c r="A3112" s="9" t="s">
        <v>10370</v>
      </c>
      <c r="B3112" s="10" t="s">
        <v>16952</v>
      </c>
    </row>
    <row r="3113" ht="15.75" spans="1:2">
      <c r="A3113" s="9" t="s">
        <v>10370</v>
      </c>
      <c r="B3113" s="10" t="s">
        <v>16952</v>
      </c>
    </row>
    <row r="3114" ht="15.75" spans="1:2">
      <c r="A3114" s="9" t="s">
        <v>10374</v>
      </c>
      <c r="B3114" s="5" t="s">
        <v>16952</v>
      </c>
    </row>
    <row r="3115" ht="15.75" spans="1:2">
      <c r="A3115" s="9" t="s">
        <v>10377</v>
      </c>
      <c r="B3115" s="5" t="s">
        <v>16952</v>
      </c>
    </row>
    <row r="3116" ht="15.75" spans="1:2">
      <c r="A3116" s="9" t="s">
        <v>10381</v>
      </c>
      <c r="B3116" s="5" t="s">
        <v>16952</v>
      </c>
    </row>
    <row r="3117" ht="15.75" spans="1:2">
      <c r="A3117" s="9" t="s">
        <v>10385</v>
      </c>
      <c r="B3117" s="5" t="s">
        <v>16952</v>
      </c>
    </row>
    <row r="3118" ht="15.75" spans="1:2">
      <c r="A3118" s="9" t="s">
        <v>10389</v>
      </c>
      <c r="B3118" s="5" t="s">
        <v>16952</v>
      </c>
    </row>
    <row r="3119" ht="15.75" spans="1:2">
      <c r="A3119" s="9" t="s">
        <v>10393</v>
      </c>
      <c r="B3119" s="5" t="s">
        <v>16952</v>
      </c>
    </row>
    <row r="3120" ht="15.75" spans="1:2">
      <c r="A3120" s="9" t="s">
        <v>10396</v>
      </c>
      <c r="B3120" s="5" t="s">
        <v>16952</v>
      </c>
    </row>
    <row r="3121" ht="15.75" spans="1:2">
      <c r="A3121" s="9" t="s">
        <v>10399</v>
      </c>
      <c r="B3121" s="5" t="s">
        <v>16952</v>
      </c>
    </row>
    <row r="3122" ht="15.75" spans="1:2">
      <c r="A3122" s="9" t="s">
        <v>10403</v>
      </c>
      <c r="B3122" s="5" t="s">
        <v>16952</v>
      </c>
    </row>
    <row r="3123" ht="15.75" spans="1:2">
      <c r="A3123" s="9" t="s">
        <v>10406</v>
      </c>
      <c r="B3123" s="5" t="s">
        <v>16952</v>
      </c>
    </row>
    <row r="3124" ht="15.75" spans="1:2">
      <c r="A3124" s="9" t="s">
        <v>10409</v>
      </c>
      <c r="B3124" s="5" t="s">
        <v>16952</v>
      </c>
    </row>
    <row r="3125" ht="15.75" spans="1:2">
      <c r="A3125" s="9" t="s">
        <v>10413</v>
      </c>
      <c r="B3125" s="5"/>
    </row>
    <row r="3126" ht="15.75" spans="1:2">
      <c r="A3126" s="9" t="s">
        <v>10417</v>
      </c>
      <c r="B3126" s="5" t="s">
        <v>16952</v>
      </c>
    </row>
    <row r="3127" ht="15.75" spans="1:2">
      <c r="A3127" s="9" t="s">
        <v>10422</v>
      </c>
      <c r="B3127" s="5" t="s">
        <v>16952</v>
      </c>
    </row>
    <row r="3128" ht="15.75" spans="1:2">
      <c r="A3128" s="9" t="s">
        <v>10425</v>
      </c>
      <c r="B3128" s="5" t="s">
        <v>16952</v>
      </c>
    </row>
    <row r="3129" ht="15.75" spans="1:2">
      <c r="A3129" s="9" t="s">
        <v>10428</v>
      </c>
      <c r="B3129" s="5" t="s">
        <v>16952</v>
      </c>
    </row>
    <row r="3130" ht="15.75" spans="1:2">
      <c r="A3130" s="9" t="s">
        <v>10432</v>
      </c>
      <c r="B3130" s="5" t="s">
        <v>16952</v>
      </c>
    </row>
    <row r="3131" ht="15.75" spans="1:2">
      <c r="A3131" s="9" t="s">
        <v>10436</v>
      </c>
      <c r="B3131" s="5" t="s">
        <v>16952</v>
      </c>
    </row>
    <row r="3132" ht="15.75" spans="1:2">
      <c r="A3132" s="9" t="s">
        <v>10440</v>
      </c>
      <c r="B3132" s="5" t="s">
        <v>16952</v>
      </c>
    </row>
    <row r="3133" ht="15.75" spans="1:2">
      <c r="A3133" s="9" t="s">
        <v>10443</v>
      </c>
      <c r="B3133" s="5" t="s">
        <v>16952</v>
      </c>
    </row>
    <row r="3134" ht="15.75" spans="1:2">
      <c r="A3134" s="9" t="s">
        <v>10447</v>
      </c>
      <c r="B3134" s="5" t="s">
        <v>16952</v>
      </c>
    </row>
    <row r="3135" ht="15.75" spans="1:2">
      <c r="A3135" s="9" t="s">
        <v>10450</v>
      </c>
      <c r="B3135" s="5" t="s">
        <v>16952</v>
      </c>
    </row>
    <row r="3136" ht="15.75" spans="1:2">
      <c r="A3136" s="9" t="s">
        <v>10453</v>
      </c>
      <c r="B3136" s="5" t="s">
        <v>16952</v>
      </c>
    </row>
    <row r="3137" ht="15.75" spans="1:2">
      <c r="A3137" s="9" t="s">
        <v>10457</v>
      </c>
      <c r="B3137" s="5" t="s">
        <v>16952</v>
      </c>
    </row>
    <row r="3138" ht="15.75" spans="1:2">
      <c r="A3138" s="9" t="s">
        <v>10461</v>
      </c>
      <c r="B3138" s="5" t="s">
        <v>16952</v>
      </c>
    </row>
    <row r="3139" ht="15.75" spans="1:2">
      <c r="A3139" s="9" t="s">
        <v>10464</v>
      </c>
      <c r="B3139" s="5" t="s">
        <v>16952</v>
      </c>
    </row>
    <row r="3140" ht="15.75" spans="1:2">
      <c r="A3140" s="9" t="s">
        <v>10467</v>
      </c>
      <c r="B3140" s="5" t="s">
        <v>16952</v>
      </c>
    </row>
    <row r="3141" ht="15.75" spans="1:2">
      <c r="A3141" s="9" t="s">
        <v>10470</v>
      </c>
      <c r="B3141" s="5" t="s">
        <v>16952</v>
      </c>
    </row>
    <row r="3142" ht="15.75" spans="1:2">
      <c r="A3142" s="9" t="s">
        <v>10473</v>
      </c>
      <c r="B3142" s="19"/>
    </row>
    <row r="3143" ht="15.75" spans="1:2">
      <c r="A3143" s="9" t="s">
        <v>10474</v>
      </c>
      <c r="B3143" s="5" t="s">
        <v>16952</v>
      </c>
    </row>
    <row r="3144" ht="15.75" spans="1:2">
      <c r="A3144" s="9" t="s">
        <v>10477</v>
      </c>
      <c r="B3144" s="5" t="s">
        <v>16952</v>
      </c>
    </row>
    <row r="3145" ht="15.75" spans="1:2">
      <c r="A3145" s="9" t="s">
        <v>10481</v>
      </c>
      <c r="B3145" s="5" t="s">
        <v>16952</v>
      </c>
    </row>
    <row r="3146" ht="15.75" spans="1:2">
      <c r="A3146" s="9" t="s">
        <v>10484</v>
      </c>
      <c r="B3146" s="5" t="s">
        <v>16952</v>
      </c>
    </row>
    <row r="3147" ht="15.75" spans="1:2">
      <c r="A3147" s="9" t="s">
        <v>10487</v>
      </c>
      <c r="B3147" s="5" t="s">
        <v>16952</v>
      </c>
    </row>
    <row r="3148" ht="15.75" spans="1:2">
      <c r="A3148" s="9" t="s">
        <v>10490</v>
      </c>
      <c r="B3148" s="11"/>
    </row>
    <row r="3149" ht="15.75" spans="1:2">
      <c r="A3149" s="9" t="s">
        <v>10491</v>
      </c>
      <c r="B3149" s="5" t="s">
        <v>16952</v>
      </c>
    </row>
    <row r="3150" ht="15.75" spans="1:2">
      <c r="A3150" s="9" t="s">
        <v>10494</v>
      </c>
      <c r="B3150" s="5" t="s">
        <v>16952</v>
      </c>
    </row>
    <row r="3151" ht="15.75" spans="1:2">
      <c r="A3151" s="9" t="s">
        <v>10497</v>
      </c>
      <c r="B3151" s="5" t="s">
        <v>16952</v>
      </c>
    </row>
    <row r="3152" ht="15.75" spans="1:2">
      <c r="A3152" s="9" t="s">
        <v>10500</v>
      </c>
      <c r="B3152" s="5" t="s">
        <v>16952</v>
      </c>
    </row>
    <row r="3153" ht="15.75" spans="1:2">
      <c r="A3153" s="9" t="s">
        <v>10504</v>
      </c>
      <c r="B3153" s="5" t="s">
        <v>16952</v>
      </c>
    </row>
    <row r="3154" ht="15.75" spans="1:2">
      <c r="A3154" s="9" t="s">
        <v>10507</v>
      </c>
      <c r="B3154" s="5" t="s">
        <v>16952</v>
      </c>
    </row>
    <row r="3155" ht="15.75" spans="1:2">
      <c r="A3155" s="9" t="s">
        <v>10510</v>
      </c>
      <c r="B3155" s="5" t="s">
        <v>16952</v>
      </c>
    </row>
    <row r="3156" ht="15.75" spans="1:2">
      <c r="A3156" s="9" t="s">
        <v>10513</v>
      </c>
      <c r="B3156" s="5" t="s">
        <v>16952</v>
      </c>
    </row>
    <row r="3157" ht="15.75" spans="1:2">
      <c r="A3157" s="9" t="s">
        <v>10516</v>
      </c>
      <c r="B3157" s="5" t="s">
        <v>16952</v>
      </c>
    </row>
    <row r="3158" ht="15.75" spans="1:2">
      <c r="A3158" s="9" t="s">
        <v>10519</v>
      </c>
      <c r="B3158" s="5" t="s">
        <v>16952</v>
      </c>
    </row>
    <row r="3159" ht="15.75" spans="1:2">
      <c r="A3159" s="9" t="s">
        <v>10523</v>
      </c>
      <c r="B3159" s="5" t="s">
        <v>16952</v>
      </c>
    </row>
    <row r="3160" ht="15.75" spans="1:2">
      <c r="A3160" s="9" t="s">
        <v>10526</v>
      </c>
      <c r="B3160" s="5" t="s">
        <v>16952</v>
      </c>
    </row>
    <row r="3161" ht="15.75" spans="1:2">
      <c r="A3161" s="9" t="s">
        <v>10529</v>
      </c>
      <c r="B3161" s="5" t="s">
        <v>16952</v>
      </c>
    </row>
    <row r="3162" ht="15.75" spans="1:2">
      <c r="A3162" s="9" t="s">
        <v>10533</v>
      </c>
      <c r="B3162" s="5" t="s">
        <v>16952</v>
      </c>
    </row>
    <row r="3163" ht="15.75" spans="1:2">
      <c r="A3163" s="9" t="s">
        <v>10536</v>
      </c>
      <c r="B3163" s="5" t="s">
        <v>16952</v>
      </c>
    </row>
    <row r="3164" ht="15.75" spans="1:2">
      <c r="A3164" s="9" t="s">
        <v>10539</v>
      </c>
      <c r="B3164" s="5" t="s">
        <v>16952</v>
      </c>
    </row>
    <row r="3165" ht="15.75" spans="1:2">
      <c r="A3165" s="9" t="s">
        <v>10542</v>
      </c>
      <c r="B3165" s="5" t="s">
        <v>16952</v>
      </c>
    </row>
    <row r="3166" ht="15.75" spans="1:2">
      <c r="A3166" s="9" t="s">
        <v>10546</v>
      </c>
      <c r="B3166" s="5" t="s">
        <v>16952</v>
      </c>
    </row>
    <row r="3167" ht="15.75" spans="1:2">
      <c r="A3167" s="9" t="s">
        <v>10549</v>
      </c>
      <c r="B3167" s="5" t="s">
        <v>16952</v>
      </c>
    </row>
    <row r="3168" ht="15.75" spans="1:2">
      <c r="A3168" s="9" t="s">
        <v>10552</v>
      </c>
      <c r="B3168" s="5" t="s">
        <v>16952</v>
      </c>
    </row>
    <row r="3169" ht="15.75" spans="1:2">
      <c r="A3169" s="9" t="s">
        <v>10556</v>
      </c>
      <c r="B3169" s="12"/>
    </row>
    <row r="3170" ht="15.75" spans="1:2">
      <c r="A3170" s="9" t="s">
        <v>10556</v>
      </c>
      <c r="B3170" s="12"/>
    </row>
    <row r="3171" ht="15.75" spans="1:2">
      <c r="A3171" s="9" t="s">
        <v>10557</v>
      </c>
      <c r="B3171" s="5" t="s">
        <v>16952</v>
      </c>
    </row>
    <row r="3172" ht="15.75" spans="1:2">
      <c r="A3172" s="9" t="s">
        <v>10560</v>
      </c>
      <c r="B3172" s="5" t="s">
        <v>16952</v>
      </c>
    </row>
    <row r="3173" ht="15.75" spans="1:2">
      <c r="A3173" s="9" t="s">
        <v>10563</v>
      </c>
      <c r="B3173" s="5" t="s">
        <v>16952</v>
      </c>
    </row>
    <row r="3174" ht="15.75" spans="1:2">
      <c r="A3174" s="9" t="s">
        <v>10566</v>
      </c>
      <c r="B3174" s="5" t="s">
        <v>16952</v>
      </c>
    </row>
    <row r="3175" ht="15.75" spans="1:2">
      <c r="A3175" s="9" t="s">
        <v>10569</v>
      </c>
      <c r="B3175" s="5" t="s">
        <v>16952</v>
      </c>
    </row>
    <row r="3176" ht="15.75" spans="1:2">
      <c r="A3176" s="9" t="s">
        <v>10572</v>
      </c>
      <c r="B3176" s="5" t="s">
        <v>16952</v>
      </c>
    </row>
    <row r="3177" ht="15.75" spans="1:2">
      <c r="A3177" s="9" t="s">
        <v>10577</v>
      </c>
      <c r="B3177" s="5" t="s">
        <v>16952</v>
      </c>
    </row>
    <row r="3178" ht="15.75" spans="1:2">
      <c r="A3178" s="9" t="s">
        <v>10580</v>
      </c>
      <c r="B3178" s="5" t="s">
        <v>16952</v>
      </c>
    </row>
    <row r="3179" ht="15.75" spans="1:2">
      <c r="A3179" s="9" t="s">
        <v>10583</v>
      </c>
      <c r="B3179" s="5" t="s">
        <v>16952</v>
      </c>
    </row>
    <row r="3180" ht="15.75" spans="1:2">
      <c r="A3180" s="9" t="s">
        <v>10586</v>
      </c>
      <c r="B3180" s="5" t="s">
        <v>16952</v>
      </c>
    </row>
    <row r="3181" ht="15.75" spans="1:2">
      <c r="A3181" s="9" t="s">
        <v>10590</v>
      </c>
      <c r="B3181" s="5" t="s">
        <v>16952</v>
      </c>
    </row>
    <row r="3182" ht="15.75" spans="1:2">
      <c r="A3182" s="9" t="s">
        <v>10593</v>
      </c>
      <c r="B3182" s="5" t="s">
        <v>16952</v>
      </c>
    </row>
    <row r="3183" ht="15.75" spans="1:2">
      <c r="A3183" s="9" t="s">
        <v>10596</v>
      </c>
      <c r="B3183" s="5" t="s">
        <v>16952</v>
      </c>
    </row>
    <row r="3184" ht="15.75" spans="1:2">
      <c r="A3184" s="9" t="s">
        <v>10599</v>
      </c>
      <c r="B3184" s="5" t="s">
        <v>16952</v>
      </c>
    </row>
    <row r="3185" ht="15.75" spans="1:2">
      <c r="A3185" s="9" t="s">
        <v>10602</v>
      </c>
      <c r="B3185" s="5" t="s">
        <v>16952</v>
      </c>
    </row>
    <row r="3186" ht="15.75" spans="1:2">
      <c r="A3186" s="9" t="s">
        <v>10605</v>
      </c>
      <c r="B3186" s="5" t="s">
        <v>16952</v>
      </c>
    </row>
    <row r="3187" ht="15.75" spans="1:2">
      <c r="A3187" s="9" t="s">
        <v>10609</v>
      </c>
      <c r="B3187" s="5" t="s">
        <v>16952</v>
      </c>
    </row>
    <row r="3188" ht="15.75" spans="1:2">
      <c r="A3188" s="9" t="s">
        <v>10612</v>
      </c>
      <c r="B3188" s="5" t="s">
        <v>16952</v>
      </c>
    </row>
    <row r="3189" ht="15.75" spans="1:2">
      <c r="A3189" s="9" t="s">
        <v>10616</v>
      </c>
      <c r="B3189" s="5" t="s">
        <v>16952</v>
      </c>
    </row>
    <row r="3190" ht="15.75" spans="1:2">
      <c r="A3190" s="9" t="s">
        <v>10620</v>
      </c>
      <c r="B3190" s="5" t="s">
        <v>16952</v>
      </c>
    </row>
    <row r="3191" ht="15.75" spans="1:2">
      <c r="A3191" s="9" t="s">
        <v>10624</v>
      </c>
      <c r="B3191" s="5" t="s">
        <v>16952</v>
      </c>
    </row>
    <row r="3192" ht="15.75" spans="1:2">
      <c r="A3192" s="9" t="s">
        <v>10628</v>
      </c>
      <c r="B3192" s="10" t="s">
        <v>16952</v>
      </c>
    </row>
    <row r="3193" ht="15.75" spans="1:2">
      <c r="A3193" s="9" t="s">
        <v>10628</v>
      </c>
      <c r="B3193" s="10" t="s">
        <v>16952</v>
      </c>
    </row>
    <row r="3194" ht="15.75" spans="1:2">
      <c r="A3194" s="9" t="s">
        <v>10632</v>
      </c>
      <c r="B3194" s="5" t="s">
        <v>16952</v>
      </c>
    </row>
    <row r="3195" ht="15.75" spans="1:2">
      <c r="A3195" s="9" t="s">
        <v>10636</v>
      </c>
      <c r="B3195" s="5" t="s">
        <v>16952</v>
      </c>
    </row>
    <row r="3196" ht="15.75" spans="1:2">
      <c r="A3196" s="9" t="s">
        <v>10640</v>
      </c>
      <c r="B3196" s="5" t="s">
        <v>16952</v>
      </c>
    </row>
    <row r="3197" ht="15.75" spans="1:2">
      <c r="A3197" s="9" t="s">
        <v>10643</v>
      </c>
      <c r="B3197" s="5" t="s">
        <v>16952</v>
      </c>
    </row>
    <row r="3198" ht="15.75" spans="1:2">
      <c r="A3198" s="9" t="s">
        <v>10647</v>
      </c>
      <c r="B3198" s="5" t="s">
        <v>16952</v>
      </c>
    </row>
    <row r="3199" ht="15.75" spans="1:2">
      <c r="A3199" s="9" t="s">
        <v>10651</v>
      </c>
      <c r="B3199" s="5" t="s">
        <v>16952</v>
      </c>
    </row>
    <row r="3200" ht="15.75" spans="1:2">
      <c r="A3200" s="9" t="s">
        <v>10655</v>
      </c>
      <c r="B3200" s="5" t="s">
        <v>16952</v>
      </c>
    </row>
    <row r="3201" ht="15.75" spans="1:2">
      <c r="A3201" s="9" t="s">
        <v>10659</v>
      </c>
      <c r="B3201" s="5" t="s">
        <v>16952</v>
      </c>
    </row>
    <row r="3202" ht="15.75" spans="1:2">
      <c r="A3202" s="9" t="s">
        <v>10662</v>
      </c>
      <c r="B3202" s="5" t="s">
        <v>16952</v>
      </c>
    </row>
    <row r="3203" ht="15.75" spans="1:2">
      <c r="A3203" s="9" t="s">
        <v>10666</v>
      </c>
      <c r="B3203" s="13"/>
    </row>
    <row r="3204" ht="15.75" spans="1:2">
      <c r="A3204" s="9" t="s">
        <v>10671</v>
      </c>
      <c r="B3204" s="5" t="s">
        <v>16952</v>
      </c>
    </row>
    <row r="3205" ht="15.75" spans="1:2">
      <c r="A3205" s="9" t="s">
        <v>10674</v>
      </c>
      <c r="B3205" s="5" t="s">
        <v>16952</v>
      </c>
    </row>
    <row r="3206" ht="15.75" spans="1:2">
      <c r="A3206" s="9" t="s">
        <v>10677</v>
      </c>
      <c r="B3206" s="5" t="s">
        <v>16952</v>
      </c>
    </row>
    <row r="3207" ht="15.75" spans="1:2">
      <c r="A3207" s="9" t="s">
        <v>10681</v>
      </c>
      <c r="B3207" s="5" t="s">
        <v>16952</v>
      </c>
    </row>
    <row r="3208" ht="15.75" spans="1:2">
      <c r="A3208" s="9" t="s">
        <v>10685</v>
      </c>
      <c r="B3208" s="5" t="s">
        <v>16952</v>
      </c>
    </row>
    <row r="3209" ht="15.75" spans="1:2">
      <c r="A3209" s="9" t="s">
        <v>10689</v>
      </c>
      <c r="B3209" s="5" t="s">
        <v>16952</v>
      </c>
    </row>
    <row r="3210" ht="15.75" spans="1:2">
      <c r="A3210" s="9" t="s">
        <v>10694</v>
      </c>
      <c r="B3210" s="5" t="s">
        <v>16952</v>
      </c>
    </row>
    <row r="3211" ht="15.75" spans="1:2">
      <c r="A3211" s="9" t="s">
        <v>10698</v>
      </c>
      <c r="B3211" s="5" t="s">
        <v>16952</v>
      </c>
    </row>
    <row r="3212" ht="15.75" spans="1:2">
      <c r="A3212" s="9" t="s">
        <v>10701</v>
      </c>
      <c r="B3212" s="5" t="s">
        <v>16952</v>
      </c>
    </row>
    <row r="3213" ht="15.75" spans="1:2">
      <c r="A3213" s="9" t="s">
        <v>10704</v>
      </c>
      <c r="B3213" s="5" t="s">
        <v>16952</v>
      </c>
    </row>
    <row r="3214" ht="15.75" spans="1:2">
      <c r="A3214" s="9" t="s">
        <v>10707</v>
      </c>
      <c r="B3214" s="5" t="s">
        <v>16952</v>
      </c>
    </row>
    <row r="3215" ht="15.75" spans="1:2">
      <c r="A3215" s="9" t="s">
        <v>10710</v>
      </c>
      <c r="B3215" s="5" t="s">
        <v>16952</v>
      </c>
    </row>
    <row r="3216" ht="15.75" spans="1:2">
      <c r="A3216" s="9" t="s">
        <v>10714</v>
      </c>
      <c r="B3216" s="5" t="s">
        <v>16952</v>
      </c>
    </row>
    <row r="3217" ht="15.75" spans="1:2">
      <c r="A3217" s="9" t="s">
        <v>10717</v>
      </c>
      <c r="B3217" s="5" t="s">
        <v>16952</v>
      </c>
    </row>
    <row r="3218" ht="15.75" spans="1:2">
      <c r="A3218" s="9" t="s">
        <v>10721</v>
      </c>
      <c r="B3218" s="5" t="s">
        <v>16952</v>
      </c>
    </row>
    <row r="3219" ht="15.75" spans="1:2">
      <c r="A3219" s="9" t="s">
        <v>10726</v>
      </c>
      <c r="B3219" s="5" t="s">
        <v>16952</v>
      </c>
    </row>
    <row r="3220" ht="15.75" spans="1:2">
      <c r="A3220" s="9" t="s">
        <v>10729</v>
      </c>
      <c r="B3220" s="5" t="s">
        <v>16952</v>
      </c>
    </row>
    <row r="3221" ht="15.75" spans="1:2">
      <c r="A3221" s="9" t="s">
        <v>10732</v>
      </c>
      <c r="B3221" s="5" t="s">
        <v>16952</v>
      </c>
    </row>
    <row r="3222" ht="15.75" spans="1:2">
      <c r="A3222" s="9" t="s">
        <v>10736</v>
      </c>
      <c r="B3222" s="5" t="s">
        <v>16952</v>
      </c>
    </row>
    <row r="3223" ht="15.75" spans="1:2">
      <c r="A3223" s="9" t="s">
        <v>10739</v>
      </c>
      <c r="B3223" s="5" t="s">
        <v>16952</v>
      </c>
    </row>
    <row r="3224" ht="15.75" spans="1:2">
      <c r="A3224" s="9" t="s">
        <v>10742</v>
      </c>
      <c r="B3224" s="5" t="s">
        <v>16952</v>
      </c>
    </row>
    <row r="3225" ht="15.75" spans="1:2">
      <c r="A3225" s="9" t="s">
        <v>10745</v>
      </c>
      <c r="B3225" s="5" t="s">
        <v>16952</v>
      </c>
    </row>
    <row r="3226" ht="15.75" spans="1:2">
      <c r="A3226" s="9" t="s">
        <v>10748</v>
      </c>
      <c r="B3226" s="10" t="s">
        <v>16952</v>
      </c>
    </row>
    <row r="3227" ht="15.75" spans="1:2">
      <c r="A3227" s="9" t="s">
        <v>10748</v>
      </c>
      <c r="B3227" s="10" t="s">
        <v>16952</v>
      </c>
    </row>
    <row r="3228" ht="15.75" spans="1:2">
      <c r="A3228" s="9" t="s">
        <v>10754</v>
      </c>
      <c r="B3228" s="5" t="s">
        <v>16952</v>
      </c>
    </row>
    <row r="3229" ht="15.75" spans="1:2">
      <c r="A3229" s="9" t="s">
        <v>10758</v>
      </c>
      <c r="B3229" s="5" t="s">
        <v>16952</v>
      </c>
    </row>
    <row r="3230" ht="15.75" spans="1:2">
      <c r="A3230" s="9" t="s">
        <v>10761</v>
      </c>
      <c r="B3230" s="5" t="s">
        <v>16952</v>
      </c>
    </row>
    <row r="3231" ht="15.75" spans="1:2">
      <c r="A3231" s="9" t="s">
        <v>10766</v>
      </c>
      <c r="B3231" s="5" t="s">
        <v>16952</v>
      </c>
    </row>
    <row r="3232" ht="15.75" spans="1:2">
      <c r="A3232" s="9" t="s">
        <v>10771</v>
      </c>
      <c r="B3232" s="5" t="s">
        <v>16952</v>
      </c>
    </row>
    <row r="3233" ht="15.75" spans="1:2">
      <c r="A3233" s="9" t="s">
        <v>10774</v>
      </c>
      <c r="B3233" s="5" t="s">
        <v>16952</v>
      </c>
    </row>
    <row r="3234" ht="15.75" spans="1:2">
      <c r="A3234" s="9" t="s">
        <v>10777</v>
      </c>
      <c r="B3234" s="5" t="s">
        <v>16952</v>
      </c>
    </row>
    <row r="3235" ht="15.75" spans="1:2">
      <c r="A3235" s="9" t="s">
        <v>10780</v>
      </c>
      <c r="B3235" s="5" t="s">
        <v>16952</v>
      </c>
    </row>
    <row r="3236" ht="15.75" spans="1:2">
      <c r="A3236" s="9" t="s">
        <v>10783</v>
      </c>
      <c r="B3236" s="5" t="s">
        <v>16952</v>
      </c>
    </row>
    <row r="3237" ht="15.75" spans="1:2">
      <c r="A3237" s="9" t="s">
        <v>10787</v>
      </c>
      <c r="B3237" s="5" t="s">
        <v>16952</v>
      </c>
    </row>
    <row r="3238" ht="15.75" spans="1:2">
      <c r="A3238" s="9" t="s">
        <v>10791</v>
      </c>
      <c r="B3238" s="5" t="s">
        <v>16952</v>
      </c>
    </row>
    <row r="3239" ht="15.75" spans="1:2">
      <c r="A3239" s="9" t="s">
        <v>10794</v>
      </c>
      <c r="B3239" s="5" t="s">
        <v>16952</v>
      </c>
    </row>
    <row r="3240" ht="15.75" spans="1:2">
      <c r="A3240" s="9" t="s">
        <v>10798</v>
      </c>
      <c r="B3240" s="5" t="s">
        <v>16952</v>
      </c>
    </row>
    <row r="3241" ht="15.75" spans="1:2">
      <c r="A3241" s="9" t="s">
        <v>10803</v>
      </c>
      <c r="B3241" s="5" t="s">
        <v>16952</v>
      </c>
    </row>
    <row r="3242" ht="15.75" spans="1:2">
      <c r="A3242" s="9" t="s">
        <v>10806</v>
      </c>
      <c r="B3242" s="5" t="s">
        <v>16952</v>
      </c>
    </row>
    <row r="3243" ht="15.75" spans="1:2">
      <c r="A3243" s="9" t="s">
        <v>10809</v>
      </c>
      <c r="B3243" s="5" t="s">
        <v>16952</v>
      </c>
    </row>
    <row r="3244" ht="15.75" spans="1:2">
      <c r="A3244" s="9" t="s">
        <v>10812</v>
      </c>
      <c r="B3244" s="5" t="s">
        <v>16952</v>
      </c>
    </row>
    <row r="3245" ht="15.75" spans="1:2">
      <c r="A3245" s="9" t="s">
        <v>10815</v>
      </c>
      <c r="B3245" s="5" t="s">
        <v>16952</v>
      </c>
    </row>
    <row r="3246" ht="15.75" spans="1:2">
      <c r="A3246" s="9" t="s">
        <v>10819</v>
      </c>
      <c r="B3246" s="5" t="s">
        <v>16952</v>
      </c>
    </row>
    <row r="3247" ht="15.75" spans="1:2">
      <c r="A3247" s="9" t="s">
        <v>10823</v>
      </c>
      <c r="B3247" s="5" t="s">
        <v>16952</v>
      </c>
    </row>
    <row r="3248" ht="15.75" spans="1:2">
      <c r="A3248" s="9" t="s">
        <v>10826</v>
      </c>
      <c r="B3248" s="5" t="s">
        <v>16952</v>
      </c>
    </row>
    <row r="3249" ht="15.75" spans="1:2">
      <c r="A3249" s="9" t="s">
        <v>10829</v>
      </c>
      <c r="B3249" s="5" t="s">
        <v>16952</v>
      </c>
    </row>
    <row r="3250" ht="15.75" spans="1:2">
      <c r="A3250" s="9" t="s">
        <v>10832</v>
      </c>
      <c r="B3250" s="5" t="s">
        <v>16952</v>
      </c>
    </row>
    <row r="3251" ht="15.75" spans="1:2">
      <c r="A3251" s="9" t="s">
        <v>10836</v>
      </c>
      <c r="B3251" s="5" t="s">
        <v>16952</v>
      </c>
    </row>
    <row r="3252" ht="15.75" spans="1:2">
      <c r="A3252" s="9" t="s">
        <v>10840</v>
      </c>
      <c r="B3252" s="5" t="s">
        <v>16952</v>
      </c>
    </row>
    <row r="3253" ht="15.75" spans="1:2">
      <c r="A3253" s="9" t="s">
        <v>10845</v>
      </c>
      <c r="B3253" s="5" t="s">
        <v>16952</v>
      </c>
    </row>
    <row r="3254" ht="15.75" spans="1:2">
      <c r="A3254" s="9" t="s">
        <v>10849</v>
      </c>
      <c r="B3254" s="5" t="s">
        <v>16952</v>
      </c>
    </row>
    <row r="3255" ht="15.75" spans="1:2">
      <c r="A3255" s="9" t="s">
        <v>10853</v>
      </c>
      <c r="B3255" s="5" t="s">
        <v>16952</v>
      </c>
    </row>
    <row r="3256" ht="15.75" spans="1:2">
      <c r="A3256" s="9" t="s">
        <v>10856</v>
      </c>
      <c r="B3256" s="5" t="s">
        <v>16952</v>
      </c>
    </row>
    <row r="3257" ht="15.75" spans="1:2">
      <c r="A3257" s="9" t="s">
        <v>10859</v>
      </c>
      <c r="B3257" s="5" t="s">
        <v>16952</v>
      </c>
    </row>
    <row r="3258" ht="15.75" spans="1:2">
      <c r="A3258" s="9" t="s">
        <v>10864</v>
      </c>
      <c r="B3258" s="5" t="s">
        <v>16952</v>
      </c>
    </row>
    <row r="3259" ht="15.75" spans="1:2">
      <c r="A3259" s="9" t="s">
        <v>10867</v>
      </c>
      <c r="B3259" s="5" t="s">
        <v>16952</v>
      </c>
    </row>
    <row r="3260" ht="15.75" spans="1:2">
      <c r="A3260" s="9" t="s">
        <v>10871</v>
      </c>
      <c r="B3260" s="5" t="s">
        <v>16952</v>
      </c>
    </row>
    <row r="3261" ht="15.75" spans="1:2">
      <c r="A3261" s="9" t="s">
        <v>10875</v>
      </c>
      <c r="B3261" s="5" t="s">
        <v>16952</v>
      </c>
    </row>
    <row r="3262" ht="15.75" spans="1:2">
      <c r="A3262" s="9" t="s">
        <v>10879</v>
      </c>
      <c r="B3262" s="5" t="s">
        <v>16952</v>
      </c>
    </row>
    <row r="3263" ht="15.75" spans="1:2">
      <c r="A3263" s="9" t="s">
        <v>10882</v>
      </c>
      <c r="B3263" s="5" t="s">
        <v>16952</v>
      </c>
    </row>
    <row r="3264" ht="15.75" spans="1:2">
      <c r="A3264" s="9" t="s">
        <v>10885</v>
      </c>
      <c r="B3264" s="5" t="s">
        <v>16952</v>
      </c>
    </row>
    <row r="3265" ht="15.75" spans="1:2">
      <c r="A3265" s="9" t="s">
        <v>10888</v>
      </c>
      <c r="B3265" s="5" t="s">
        <v>16952</v>
      </c>
    </row>
    <row r="3266" ht="15.75" spans="1:2">
      <c r="A3266" s="9" t="s">
        <v>10892</v>
      </c>
      <c r="B3266" s="5" t="s">
        <v>16952</v>
      </c>
    </row>
    <row r="3267" ht="15.75" spans="1:2">
      <c r="A3267" s="9" t="s">
        <v>10895</v>
      </c>
      <c r="B3267" s="5" t="s">
        <v>16952</v>
      </c>
    </row>
    <row r="3268" ht="15.75" spans="1:2">
      <c r="A3268" s="9" t="s">
        <v>10898</v>
      </c>
      <c r="B3268" s="5" t="s">
        <v>16952</v>
      </c>
    </row>
    <row r="3269" ht="15.75" spans="1:2">
      <c r="A3269" s="9" t="s">
        <v>10902</v>
      </c>
      <c r="B3269" s="5" t="s">
        <v>16952</v>
      </c>
    </row>
    <row r="3270" ht="15.75" spans="1:2">
      <c r="A3270" s="9" t="s">
        <v>10905</v>
      </c>
      <c r="B3270" s="5" t="s">
        <v>16952</v>
      </c>
    </row>
    <row r="3271" ht="15.75" spans="1:2">
      <c r="A3271" s="9" t="s">
        <v>10908</v>
      </c>
      <c r="B3271" s="5" t="s">
        <v>16952</v>
      </c>
    </row>
    <row r="3272" ht="15.75" spans="1:2">
      <c r="A3272" s="9" t="s">
        <v>10911</v>
      </c>
      <c r="B3272" s="5" t="s">
        <v>16952</v>
      </c>
    </row>
    <row r="3273" ht="15.75" spans="1:2">
      <c r="A3273" s="9" t="s">
        <v>10914</v>
      </c>
      <c r="B3273" s="5" t="s">
        <v>16952</v>
      </c>
    </row>
    <row r="3274" ht="31.5" spans="1:2">
      <c r="A3274" s="9" t="s">
        <v>10918</v>
      </c>
      <c r="B3274" s="8" t="s">
        <v>16988</v>
      </c>
    </row>
    <row r="3275" ht="15.75" spans="1:2">
      <c r="A3275" s="9" t="s">
        <v>10919</v>
      </c>
      <c r="B3275" s="5" t="s">
        <v>16952</v>
      </c>
    </row>
    <row r="3276" ht="15.75" spans="1:2">
      <c r="A3276" s="9" t="s">
        <v>10923</v>
      </c>
      <c r="B3276" s="5" t="s">
        <v>16952</v>
      </c>
    </row>
    <row r="3277" ht="15.75" spans="1:2">
      <c r="A3277" s="9" t="s">
        <v>10927</v>
      </c>
      <c r="B3277" s="5" t="s">
        <v>16952</v>
      </c>
    </row>
    <row r="3278" ht="15.75" spans="1:2">
      <c r="A3278" s="9" t="s">
        <v>10930</v>
      </c>
      <c r="B3278" s="5" t="s">
        <v>16952</v>
      </c>
    </row>
    <row r="3279" ht="15.75" spans="1:2">
      <c r="A3279" s="9" t="s">
        <v>10933</v>
      </c>
      <c r="B3279" s="5" t="s">
        <v>16952</v>
      </c>
    </row>
    <row r="3280" ht="15.75" spans="1:2">
      <c r="A3280" s="9" t="s">
        <v>10937</v>
      </c>
      <c r="B3280" s="5" t="s">
        <v>16952</v>
      </c>
    </row>
    <row r="3281" ht="15.75" spans="1:2">
      <c r="A3281" s="9" t="s">
        <v>10940</v>
      </c>
      <c r="B3281" s="5" t="s">
        <v>16952</v>
      </c>
    </row>
    <row r="3282" ht="15.75" spans="1:2">
      <c r="A3282" s="9" t="s">
        <v>10943</v>
      </c>
      <c r="B3282" s="5" t="s">
        <v>16952</v>
      </c>
    </row>
    <row r="3283" ht="15.75" spans="1:2">
      <c r="A3283" s="9" t="s">
        <v>10946</v>
      </c>
      <c r="B3283" s="5" t="s">
        <v>16952</v>
      </c>
    </row>
    <row r="3284" ht="15.75" spans="1:2">
      <c r="A3284" s="9" t="s">
        <v>10949</v>
      </c>
      <c r="B3284" s="5" t="s">
        <v>16952</v>
      </c>
    </row>
    <row r="3285" ht="15.75" spans="1:2">
      <c r="A3285" s="9" t="s">
        <v>10952</v>
      </c>
      <c r="B3285" s="5" t="s">
        <v>16952</v>
      </c>
    </row>
    <row r="3286" ht="15.75" spans="1:2">
      <c r="A3286" s="9" t="s">
        <v>10955</v>
      </c>
      <c r="B3286" s="5" t="s">
        <v>16952</v>
      </c>
    </row>
    <row r="3287" ht="15.75" spans="1:2">
      <c r="A3287" s="9" t="s">
        <v>10958</v>
      </c>
      <c r="B3287" s="5" t="s">
        <v>16952</v>
      </c>
    </row>
    <row r="3288" ht="15.75" spans="1:2">
      <c r="A3288" s="9" t="s">
        <v>10961</v>
      </c>
      <c r="B3288" s="5" t="s">
        <v>16952</v>
      </c>
    </row>
    <row r="3289" ht="15.75" spans="1:2">
      <c r="A3289" s="9" t="s">
        <v>10965</v>
      </c>
      <c r="B3289" s="5" t="s">
        <v>16952</v>
      </c>
    </row>
    <row r="3290" ht="15.75" spans="1:2">
      <c r="A3290" s="9" t="s">
        <v>10969</v>
      </c>
      <c r="B3290" s="5" t="s">
        <v>16952</v>
      </c>
    </row>
    <row r="3291" ht="15.75" spans="1:2">
      <c r="A3291" s="9" t="s">
        <v>10973</v>
      </c>
      <c r="B3291" s="8"/>
    </row>
    <row r="3292" ht="15.75" spans="1:2">
      <c r="A3292" s="9" t="s">
        <v>10974</v>
      </c>
      <c r="B3292" s="5" t="s">
        <v>16952</v>
      </c>
    </row>
    <row r="3293" ht="15.75" spans="1:2">
      <c r="A3293" s="9" t="s">
        <v>10977</v>
      </c>
      <c r="B3293" s="5" t="s">
        <v>16952</v>
      </c>
    </row>
    <row r="3294" ht="15.75" spans="1:2">
      <c r="A3294" s="9" t="s">
        <v>10980</v>
      </c>
      <c r="B3294" s="5" t="s">
        <v>16952</v>
      </c>
    </row>
    <row r="3295" ht="15.75" spans="1:2">
      <c r="A3295" s="9" t="s">
        <v>10984</v>
      </c>
      <c r="B3295" s="5" t="s">
        <v>16952</v>
      </c>
    </row>
    <row r="3296" ht="15.75" spans="1:2">
      <c r="A3296" s="9" t="s">
        <v>10989</v>
      </c>
      <c r="B3296" s="5" t="s">
        <v>16952</v>
      </c>
    </row>
    <row r="3297" ht="15.75" spans="1:2">
      <c r="A3297" s="9" t="s">
        <v>10992</v>
      </c>
      <c r="B3297" s="5" t="s">
        <v>16952</v>
      </c>
    </row>
    <row r="3298" ht="15.75" spans="1:2">
      <c r="A3298" s="9" t="s">
        <v>10996</v>
      </c>
      <c r="B3298" s="5" t="s">
        <v>16952</v>
      </c>
    </row>
    <row r="3299" ht="15.75" spans="1:2">
      <c r="A3299" s="9" t="s">
        <v>10999</v>
      </c>
      <c r="B3299" s="5" t="s">
        <v>16952</v>
      </c>
    </row>
    <row r="3300" ht="15.75" spans="1:2">
      <c r="A3300" s="9" t="s">
        <v>11002</v>
      </c>
      <c r="B3300" s="5" t="s">
        <v>16952</v>
      </c>
    </row>
    <row r="3301" ht="15.75" spans="1:2">
      <c r="A3301" s="9" t="s">
        <v>11006</v>
      </c>
      <c r="B3301" s="5" t="s">
        <v>16952</v>
      </c>
    </row>
    <row r="3302" ht="15.75" spans="1:2">
      <c r="A3302" s="9" t="s">
        <v>11010</v>
      </c>
      <c r="B3302" s="5" t="s">
        <v>16952</v>
      </c>
    </row>
    <row r="3303" ht="15.75" spans="1:2">
      <c r="A3303" s="9" t="s">
        <v>11013</v>
      </c>
      <c r="B3303" s="5" t="s">
        <v>16952</v>
      </c>
    </row>
    <row r="3304" ht="15.75" spans="1:2">
      <c r="A3304" s="9" t="s">
        <v>11017</v>
      </c>
      <c r="B3304" s="5" t="s">
        <v>16952</v>
      </c>
    </row>
    <row r="3305" ht="15.75" spans="1:2">
      <c r="A3305" s="9" t="s">
        <v>11021</v>
      </c>
      <c r="B3305" s="5" t="s">
        <v>16952</v>
      </c>
    </row>
    <row r="3306" ht="15.75" spans="1:2">
      <c r="A3306" s="9" t="s">
        <v>11024</v>
      </c>
      <c r="B3306" s="5" t="s">
        <v>16952</v>
      </c>
    </row>
    <row r="3307" ht="15.75" spans="1:2">
      <c r="A3307" s="9" t="s">
        <v>11028</v>
      </c>
      <c r="B3307" s="5" t="s">
        <v>16952</v>
      </c>
    </row>
    <row r="3308" ht="15.75" spans="1:2">
      <c r="A3308" s="9" t="s">
        <v>11031</v>
      </c>
      <c r="B3308" s="8"/>
    </row>
    <row r="3309" ht="15.75" spans="1:2">
      <c r="A3309" s="9" t="s">
        <v>11032</v>
      </c>
      <c r="B3309" s="5" t="s">
        <v>16952</v>
      </c>
    </row>
    <row r="3310" ht="15.75" spans="1:2">
      <c r="A3310" s="9" t="s">
        <v>11036</v>
      </c>
      <c r="B3310" s="5" t="s">
        <v>16952</v>
      </c>
    </row>
    <row r="3311" ht="15.75" spans="1:2">
      <c r="A3311" s="9" t="s">
        <v>11040</v>
      </c>
      <c r="B3311" s="5" t="s">
        <v>16952</v>
      </c>
    </row>
    <row r="3312" ht="15.75" spans="1:2">
      <c r="A3312" s="9" t="s">
        <v>11044</v>
      </c>
      <c r="B3312" s="5" t="s">
        <v>16952</v>
      </c>
    </row>
    <row r="3313" ht="15.75" spans="1:2">
      <c r="A3313" s="9" t="s">
        <v>11048</v>
      </c>
      <c r="B3313" s="5" t="s">
        <v>16952</v>
      </c>
    </row>
    <row r="3314" ht="15.75" spans="1:2">
      <c r="A3314" s="9" t="s">
        <v>11052</v>
      </c>
      <c r="B3314" s="5" t="s">
        <v>16952</v>
      </c>
    </row>
    <row r="3315" ht="15.75" spans="1:2">
      <c r="A3315" s="9" t="s">
        <v>11055</v>
      </c>
      <c r="B3315" s="5" t="s">
        <v>16952</v>
      </c>
    </row>
    <row r="3316" ht="15.75" spans="1:2">
      <c r="A3316" s="9" t="s">
        <v>11058</v>
      </c>
      <c r="B3316" s="5" t="s">
        <v>16952</v>
      </c>
    </row>
    <row r="3317" ht="15.75" spans="1:2">
      <c r="A3317" s="9" t="s">
        <v>11061</v>
      </c>
      <c r="B3317" s="5" t="s">
        <v>16952</v>
      </c>
    </row>
    <row r="3318" ht="15.75" spans="1:2">
      <c r="A3318" s="9" t="s">
        <v>11065</v>
      </c>
      <c r="B3318" s="5" t="s">
        <v>16952</v>
      </c>
    </row>
    <row r="3319" ht="15.75" spans="1:2">
      <c r="A3319" s="9" t="s">
        <v>11068</v>
      </c>
      <c r="B3319" s="5" t="s">
        <v>16952</v>
      </c>
    </row>
    <row r="3320" ht="15.75" spans="1:2">
      <c r="A3320" s="9" t="s">
        <v>11072</v>
      </c>
      <c r="B3320" s="5" t="s">
        <v>16952</v>
      </c>
    </row>
    <row r="3321" ht="15.75" spans="1:2">
      <c r="A3321" s="9" t="s">
        <v>11075</v>
      </c>
      <c r="B3321" s="5" t="s">
        <v>16952</v>
      </c>
    </row>
    <row r="3322" ht="15.75" spans="1:2">
      <c r="A3322" s="9" t="s">
        <v>11078</v>
      </c>
      <c r="B3322" s="5" t="s">
        <v>16952</v>
      </c>
    </row>
    <row r="3323" ht="15.75" spans="1:2">
      <c r="A3323" s="9" t="s">
        <v>11081</v>
      </c>
      <c r="B3323" s="5" t="s">
        <v>16952</v>
      </c>
    </row>
    <row r="3324" ht="15.75" spans="1:2">
      <c r="A3324" s="9" t="s">
        <v>11085</v>
      </c>
      <c r="B3324" s="5" t="s">
        <v>16952</v>
      </c>
    </row>
    <row r="3325" ht="15.75" spans="1:2">
      <c r="A3325" s="9" t="s">
        <v>11089</v>
      </c>
      <c r="B3325" s="5" t="s">
        <v>16952</v>
      </c>
    </row>
    <row r="3326" ht="15.75" spans="1:2">
      <c r="A3326" s="9" t="s">
        <v>11093</v>
      </c>
      <c r="B3326" s="5" t="s">
        <v>16952</v>
      </c>
    </row>
    <row r="3327" ht="15.75" spans="1:2">
      <c r="A3327" s="9" t="s">
        <v>11096</v>
      </c>
      <c r="B3327" s="5" t="s">
        <v>16952</v>
      </c>
    </row>
    <row r="3328" ht="15.75" spans="1:2">
      <c r="A3328" s="9" t="s">
        <v>11099</v>
      </c>
      <c r="B3328" s="5" t="s">
        <v>16952</v>
      </c>
    </row>
    <row r="3329" ht="15.75" spans="1:2">
      <c r="A3329" s="9" t="s">
        <v>11103</v>
      </c>
      <c r="B3329" s="5" t="s">
        <v>16952</v>
      </c>
    </row>
    <row r="3330" ht="15.75" spans="1:2">
      <c r="A3330" s="9" t="s">
        <v>11106</v>
      </c>
      <c r="B3330" s="5" t="s">
        <v>16952</v>
      </c>
    </row>
    <row r="3331" ht="15.75" spans="1:2">
      <c r="A3331" s="9" t="s">
        <v>11109</v>
      </c>
      <c r="B3331" s="5" t="s">
        <v>16952</v>
      </c>
    </row>
    <row r="3332" ht="15.75" spans="1:2">
      <c r="A3332" s="9" t="s">
        <v>11113</v>
      </c>
      <c r="B3332" s="5" t="s">
        <v>16952</v>
      </c>
    </row>
    <row r="3333" ht="15.75" spans="1:2">
      <c r="A3333" s="9" t="s">
        <v>11116</v>
      </c>
      <c r="B3333" s="5" t="s">
        <v>16952</v>
      </c>
    </row>
    <row r="3334" ht="15.75" spans="1:2">
      <c r="A3334" s="9" t="s">
        <v>11119</v>
      </c>
      <c r="B3334" s="5" t="s">
        <v>16952</v>
      </c>
    </row>
    <row r="3335" ht="15.75" spans="1:2">
      <c r="A3335" s="9" t="s">
        <v>11122</v>
      </c>
      <c r="B3335" s="5" t="s">
        <v>16952</v>
      </c>
    </row>
    <row r="3336" ht="15.75" spans="1:2">
      <c r="A3336" s="9" t="s">
        <v>11125</v>
      </c>
      <c r="B3336" s="5" t="s">
        <v>16952</v>
      </c>
    </row>
    <row r="3337" ht="15.75" spans="1:2">
      <c r="A3337" s="9" t="s">
        <v>11128</v>
      </c>
      <c r="B3337" s="5" t="s">
        <v>16952</v>
      </c>
    </row>
    <row r="3338" ht="15.75" spans="1:2">
      <c r="A3338" s="9" t="s">
        <v>11131</v>
      </c>
      <c r="B3338" s="5" t="s">
        <v>16952</v>
      </c>
    </row>
    <row r="3339" ht="15.75" spans="1:2">
      <c r="A3339" s="9" t="s">
        <v>11134</v>
      </c>
      <c r="B3339" s="5" t="s">
        <v>16952</v>
      </c>
    </row>
    <row r="3340" ht="15.75" spans="1:2">
      <c r="A3340" s="9" t="s">
        <v>11137</v>
      </c>
      <c r="B3340" s="5" t="s">
        <v>16952</v>
      </c>
    </row>
    <row r="3341" ht="15.75" spans="1:2">
      <c r="A3341" s="9" t="s">
        <v>11140</v>
      </c>
      <c r="B3341" s="5"/>
    </row>
    <row r="3342" ht="15.75" spans="1:2">
      <c r="A3342" s="9" t="s">
        <v>11144</v>
      </c>
      <c r="B3342" s="5" t="s">
        <v>16952</v>
      </c>
    </row>
    <row r="3343" ht="15.75" spans="1:2">
      <c r="A3343" s="9" t="s">
        <v>11148</v>
      </c>
      <c r="B3343" s="5" t="s">
        <v>16952</v>
      </c>
    </row>
    <row r="3344" ht="15.75" spans="1:2">
      <c r="A3344" s="9" t="s">
        <v>11151</v>
      </c>
      <c r="B3344" s="5" t="s">
        <v>16952</v>
      </c>
    </row>
    <row r="3345" ht="15.75" spans="1:2">
      <c r="A3345" s="9" t="s">
        <v>11155</v>
      </c>
      <c r="B3345" s="5" t="s">
        <v>16952</v>
      </c>
    </row>
    <row r="3346" ht="15.75" spans="1:2">
      <c r="A3346" s="9" t="s">
        <v>11159</v>
      </c>
      <c r="B3346" s="5" t="s">
        <v>16952</v>
      </c>
    </row>
    <row r="3347" ht="15.75" spans="1:2">
      <c r="A3347" s="9" t="s">
        <v>11163</v>
      </c>
      <c r="B3347" s="5" t="s">
        <v>16952</v>
      </c>
    </row>
    <row r="3348" ht="15.75" spans="1:2">
      <c r="A3348" s="9" t="s">
        <v>11166</v>
      </c>
      <c r="B3348" s="5" t="s">
        <v>16952</v>
      </c>
    </row>
    <row r="3349" ht="15.75" spans="1:2">
      <c r="A3349" s="9" t="s">
        <v>11169</v>
      </c>
      <c r="B3349" s="5" t="s">
        <v>16952</v>
      </c>
    </row>
    <row r="3350" ht="15.75" spans="1:2">
      <c r="A3350" s="9" t="s">
        <v>11172</v>
      </c>
      <c r="B3350" s="5" t="s">
        <v>16952</v>
      </c>
    </row>
    <row r="3351" ht="15.75" spans="1:2">
      <c r="A3351" s="9" t="s">
        <v>11176</v>
      </c>
      <c r="B3351" s="5" t="s">
        <v>16952</v>
      </c>
    </row>
    <row r="3352" ht="15.75" spans="1:2">
      <c r="A3352" s="9" t="s">
        <v>11180</v>
      </c>
      <c r="B3352" s="5" t="s">
        <v>16952</v>
      </c>
    </row>
    <row r="3353" ht="15.75" spans="1:2">
      <c r="A3353" s="9" t="s">
        <v>11183</v>
      </c>
      <c r="B3353" s="8"/>
    </row>
    <row r="3354" ht="15.75" spans="1:2">
      <c r="A3354" s="9" t="s">
        <v>11184</v>
      </c>
      <c r="B3354" s="5" t="s">
        <v>16952</v>
      </c>
    </row>
    <row r="3355" ht="15.75" spans="1:2">
      <c r="A3355" s="9" t="s">
        <v>11188</v>
      </c>
      <c r="B3355" s="5" t="s">
        <v>16952</v>
      </c>
    </row>
    <row r="3356" ht="15.75" spans="1:2">
      <c r="A3356" s="9" t="s">
        <v>11191</v>
      </c>
      <c r="B3356" s="5" t="s">
        <v>16952</v>
      </c>
    </row>
    <row r="3357" ht="15.75" spans="1:2">
      <c r="A3357" s="9" t="s">
        <v>11194</v>
      </c>
      <c r="B3357" s="5" t="s">
        <v>16952</v>
      </c>
    </row>
    <row r="3358" ht="15.75" spans="1:2">
      <c r="A3358" s="9" t="s">
        <v>11198</v>
      </c>
      <c r="B3358" s="5" t="s">
        <v>16952</v>
      </c>
    </row>
    <row r="3359" ht="15.75" spans="1:2">
      <c r="A3359" s="9" t="s">
        <v>11202</v>
      </c>
      <c r="B3359" s="5" t="s">
        <v>16952</v>
      </c>
    </row>
    <row r="3360" ht="31.5" spans="1:2">
      <c r="A3360" s="9" t="s">
        <v>11205</v>
      </c>
      <c r="B3360" s="8" t="s">
        <v>16989</v>
      </c>
    </row>
    <row r="3361" ht="15.75" spans="1:2">
      <c r="A3361" s="9" t="s">
        <v>11206</v>
      </c>
      <c r="B3361" s="5" t="s">
        <v>16952</v>
      </c>
    </row>
    <row r="3362" ht="15.75" spans="1:2">
      <c r="A3362" s="9" t="s">
        <v>11209</v>
      </c>
      <c r="B3362" s="5" t="s">
        <v>16952</v>
      </c>
    </row>
    <row r="3363" ht="15.75" spans="1:2">
      <c r="A3363" s="9" t="s">
        <v>11212</v>
      </c>
      <c r="B3363" s="5" t="s">
        <v>16952</v>
      </c>
    </row>
    <row r="3364" ht="15.75" spans="1:2">
      <c r="A3364" s="9" t="s">
        <v>11215</v>
      </c>
      <c r="B3364" s="5" t="s">
        <v>16952</v>
      </c>
    </row>
    <row r="3365" ht="15.75" spans="1:2">
      <c r="A3365" s="9" t="s">
        <v>11218</v>
      </c>
      <c r="B3365" s="5" t="s">
        <v>16952</v>
      </c>
    </row>
    <row r="3366" ht="15.75" spans="1:2">
      <c r="A3366" s="9" t="s">
        <v>11221</v>
      </c>
      <c r="B3366" s="5" t="s">
        <v>16952</v>
      </c>
    </row>
    <row r="3367" ht="15.75" spans="1:2">
      <c r="A3367" s="9" t="s">
        <v>11224</v>
      </c>
      <c r="B3367" s="5" t="s">
        <v>16952</v>
      </c>
    </row>
    <row r="3368" ht="15.75" spans="1:2">
      <c r="A3368" s="9" t="s">
        <v>11227</v>
      </c>
      <c r="B3368" s="5" t="s">
        <v>16952</v>
      </c>
    </row>
    <row r="3369" ht="15.75" spans="1:2">
      <c r="A3369" s="9" t="s">
        <v>11230</v>
      </c>
      <c r="B3369" s="5" t="s">
        <v>16952</v>
      </c>
    </row>
    <row r="3370" ht="15.75" spans="1:2">
      <c r="A3370" s="9" t="s">
        <v>11234</v>
      </c>
      <c r="B3370" s="5" t="s">
        <v>16952</v>
      </c>
    </row>
    <row r="3371" ht="15.75" spans="1:2">
      <c r="A3371" s="9" t="s">
        <v>11237</v>
      </c>
      <c r="B3371" s="5" t="s">
        <v>16952</v>
      </c>
    </row>
    <row r="3372" ht="15.75" spans="1:2">
      <c r="A3372" s="9" t="s">
        <v>11241</v>
      </c>
      <c r="B3372" s="5" t="s">
        <v>16952</v>
      </c>
    </row>
    <row r="3373" ht="15.75" spans="1:2">
      <c r="A3373" s="9" t="s">
        <v>11245</v>
      </c>
      <c r="B3373" s="5" t="s">
        <v>16952</v>
      </c>
    </row>
    <row r="3374" ht="15.75" spans="1:2">
      <c r="A3374" s="9" t="s">
        <v>11248</v>
      </c>
      <c r="B3374" s="5" t="s">
        <v>16952</v>
      </c>
    </row>
    <row r="3375" ht="15.75" spans="1:2">
      <c r="A3375" s="9" t="s">
        <v>11253</v>
      </c>
      <c r="B3375" s="5" t="s">
        <v>16952</v>
      </c>
    </row>
    <row r="3376" ht="15.75" spans="1:2">
      <c r="A3376" s="9" t="s">
        <v>11256</v>
      </c>
      <c r="B3376" s="5" t="s">
        <v>16952</v>
      </c>
    </row>
    <row r="3377" ht="15.75" spans="1:2">
      <c r="A3377" s="9" t="s">
        <v>11259</v>
      </c>
      <c r="B3377" s="5" t="s">
        <v>16952</v>
      </c>
    </row>
    <row r="3378" ht="15.75" spans="1:2">
      <c r="A3378" s="9" t="s">
        <v>11263</v>
      </c>
      <c r="B3378" s="5" t="s">
        <v>16952</v>
      </c>
    </row>
    <row r="3379" ht="15.75" spans="1:2">
      <c r="A3379" s="9" t="s">
        <v>11267</v>
      </c>
      <c r="B3379" s="5" t="s">
        <v>16952</v>
      </c>
    </row>
    <row r="3380" ht="15.75" spans="1:2">
      <c r="A3380" s="9" t="s">
        <v>11270</v>
      </c>
      <c r="B3380" s="5" t="s">
        <v>16952</v>
      </c>
    </row>
    <row r="3381" ht="15.75" spans="1:2">
      <c r="A3381" s="9" t="s">
        <v>11274</v>
      </c>
      <c r="B3381" s="5" t="s">
        <v>16952</v>
      </c>
    </row>
    <row r="3382" ht="15.75" spans="1:2">
      <c r="A3382" s="9" t="s">
        <v>11277</v>
      </c>
      <c r="B3382" s="5" t="s">
        <v>16952</v>
      </c>
    </row>
    <row r="3383" ht="15.75" spans="1:2">
      <c r="A3383" s="9" t="s">
        <v>11281</v>
      </c>
      <c r="B3383" s="5" t="s">
        <v>16952</v>
      </c>
    </row>
    <row r="3384" ht="15.75" spans="1:2">
      <c r="A3384" s="9" t="s">
        <v>11284</v>
      </c>
      <c r="B3384" s="5" t="s">
        <v>16952</v>
      </c>
    </row>
    <row r="3385" ht="15.75" spans="1:2">
      <c r="A3385" s="9" t="s">
        <v>11287</v>
      </c>
      <c r="B3385" s="5" t="s">
        <v>16952</v>
      </c>
    </row>
    <row r="3386" ht="15.75" spans="1:2">
      <c r="A3386" s="9" t="s">
        <v>11290</v>
      </c>
      <c r="B3386" s="5" t="s">
        <v>16952</v>
      </c>
    </row>
    <row r="3387" ht="15.75" spans="1:2">
      <c r="A3387" s="9" t="s">
        <v>11293</v>
      </c>
      <c r="B3387" s="5" t="s">
        <v>16952</v>
      </c>
    </row>
    <row r="3388" ht="15.75" spans="1:2">
      <c r="A3388" s="9" t="s">
        <v>11297</v>
      </c>
      <c r="B3388" s="5" t="s">
        <v>16952</v>
      </c>
    </row>
    <row r="3389" ht="15.75" spans="1:2">
      <c r="A3389" s="9" t="s">
        <v>11300</v>
      </c>
      <c r="B3389" s="5" t="s">
        <v>16952</v>
      </c>
    </row>
    <row r="3390" ht="15.75" spans="1:2">
      <c r="A3390" s="9" t="s">
        <v>11304</v>
      </c>
      <c r="B3390" s="5" t="s">
        <v>16952</v>
      </c>
    </row>
    <row r="3391" ht="15.75" spans="1:2">
      <c r="A3391" s="9" t="s">
        <v>11307</v>
      </c>
      <c r="B3391" s="5" t="s">
        <v>16952</v>
      </c>
    </row>
    <row r="3392" ht="15.75" spans="1:2">
      <c r="A3392" s="9" t="s">
        <v>11311</v>
      </c>
      <c r="B3392" s="5" t="s">
        <v>16952</v>
      </c>
    </row>
    <row r="3393" ht="15.75" spans="1:2">
      <c r="A3393" s="9" t="s">
        <v>11316</v>
      </c>
      <c r="B3393" s="5" t="s">
        <v>16952</v>
      </c>
    </row>
    <row r="3394" ht="15.75" spans="1:2">
      <c r="A3394" s="9" t="s">
        <v>11319</v>
      </c>
      <c r="B3394" s="5" t="s">
        <v>16952</v>
      </c>
    </row>
    <row r="3395" ht="15.75" spans="1:2">
      <c r="A3395" s="9" t="s">
        <v>11322</v>
      </c>
      <c r="B3395" s="5" t="s">
        <v>16952</v>
      </c>
    </row>
    <row r="3396" ht="15.75" spans="1:2">
      <c r="A3396" s="9" t="s">
        <v>11325</v>
      </c>
      <c r="B3396" s="5" t="s">
        <v>16952</v>
      </c>
    </row>
    <row r="3397" ht="15.75" spans="1:2">
      <c r="A3397" s="9" t="s">
        <v>11328</v>
      </c>
      <c r="B3397" s="5" t="s">
        <v>16952</v>
      </c>
    </row>
    <row r="3398" ht="15.75" spans="1:2">
      <c r="A3398" s="9" t="s">
        <v>11332</v>
      </c>
      <c r="B3398" s="5" t="s">
        <v>16952</v>
      </c>
    </row>
    <row r="3399" ht="15.75" spans="1:2">
      <c r="A3399" s="9" t="s">
        <v>11335</v>
      </c>
      <c r="B3399" s="5" t="s">
        <v>16952</v>
      </c>
    </row>
    <row r="3400" ht="15.75" spans="1:2">
      <c r="A3400" s="9" t="s">
        <v>11338</v>
      </c>
      <c r="B3400" s="5" t="s">
        <v>16952</v>
      </c>
    </row>
    <row r="3401" ht="15.75" spans="1:2">
      <c r="A3401" s="9" t="s">
        <v>11342</v>
      </c>
      <c r="B3401" s="5" t="s">
        <v>16952</v>
      </c>
    </row>
    <row r="3402" ht="15.75" spans="1:2">
      <c r="A3402" s="9" t="s">
        <v>11345</v>
      </c>
      <c r="B3402" s="5" t="s">
        <v>16952</v>
      </c>
    </row>
    <row r="3403" ht="15.75" spans="1:2">
      <c r="A3403" s="9" t="s">
        <v>11348</v>
      </c>
      <c r="B3403" s="5" t="s">
        <v>16952</v>
      </c>
    </row>
    <row r="3404" ht="15.75" spans="1:2">
      <c r="A3404" s="9" t="s">
        <v>11351</v>
      </c>
      <c r="B3404" s="5" t="s">
        <v>16952</v>
      </c>
    </row>
    <row r="3405" ht="15.75" spans="1:2">
      <c r="A3405" s="9" t="s">
        <v>11354</v>
      </c>
      <c r="B3405" s="5" t="s">
        <v>16952</v>
      </c>
    </row>
    <row r="3406" ht="15.75" spans="1:2">
      <c r="A3406" s="9" t="s">
        <v>11357</v>
      </c>
      <c r="B3406" s="5" t="s">
        <v>16952</v>
      </c>
    </row>
    <row r="3407" ht="15.75" spans="1:2">
      <c r="A3407" s="9" t="s">
        <v>11360</v>
      </c>
      <c r="B3407" s="5" t="s">
        <v>16952</v>
      </c>
    </row>
    <row r="3408" ht="15.75" spans="1:2">
      <c r="A3408" s="9" t="s">
        <v>11363</v>
      </c>
      <c r="B3408" s="5" t="s">
        <v>16952</v>
      </c>
    </row>
    <row r="3409" ht="15.75" spans="1:2">
      <c r="A3409" s="9" t="s">
        <v>11368</v>
      </c>
      <c r="B3409" s="5" t="s">
        <v>16952</v>
      </c>
    </row>
    <row r="3410" ht="15.75" spans="1:2">
      <c r="A3410" s="9" t="s">
        <v>11370</v>
      </c>
      <c r="B3410" s="5" t="s">
        <v>16952</v>
      </c>
    </row>
    <row r="3411" ht="15.75" spans="1:2">
      <c r="A3411" s="9" t="s">
        <v>11374</v>
      </c>
      <c r="B3411" s="5" t="s">
        <v>16952</v>
      </c>
    </row>
    <row r="3412" ht="15.75" spans="1:2">
      <c r="A3412" s="9" t="s">
        <v>11377</v>
      </c>
      <c r="B3412" s="5" t="s">
        <v>16952</v>
      </c>
    </row>
    <row r="3413" ht="15.75" spans="1:2">
      <c r="A3413" s="9" t="s">
        <v>11380</v>
      </c>
      <c r="B3413" s="5" t="s">
        <v>16952</v>
      </c>
    </row>
    <row r="3414" ht="15.75" spans="1:2">
      <c r="A3414" s="9" t="s">
        <v>11383</v>
      </c>
      <c r="B3414" s="5" t="s">
        <v>16952</v>
      </c>
    </row>
    <row r="3415" ht="15.75" spans="1:2">
      <c r="A3415" s="9" t="s">
        <v>11386</v>
      </c>
      <c r="B3415" s="5" t="s">
        <v>16952</v>
      </c>
    </row>
    <row r="3416" ht="15.75" spans="1:2">
      <c r="A3416" s="9" t="s">
        <v>11389</v>
      </c>
      <c r="B3416" s="5" t="s">
        <v>16952</v>
      </c>
    </row>
    <row r="3417" ht="15.75" spans="1:2">
      <c r="A3417" s="9" t="s">
        <v>11392</v>
      </c>
      <c r="B3417" s="5" t="s">
        <v>16952</v>
      </c>
    </row>
    <row r="3418" ht="15.75" spans="1:2">
      <c r="A3418" s="9" t="s">
        <v>11395</v>
      </c>
      <c r="B3418" s="5" t="s">
        <v>16952</v>
      </c>
    </row>
    <row r="3419" ht="15.75" spans="1:2">
      <c r="A3419" s="9" t="s">
        <v>11398</v>
      </c>
      <c r="B3419" s="5" t="s">
        <v>16952</v>
      </c>
    </row>
    <row r="3420" ht="15.75" spans="1:2">
      <c r="A3420" s="9" t="s">
        <v>11401</v>
      </c>
      <c r="B3420" s="5" t="s">
        <v>16952</v>
      </c>
    </row>
    <row r="3421" ht="15.75" spans="1:2">
      <c r="A3421" s="9" t="s">
        <v>11405</v>
      </c>
      <c r="B3421" s="5" t="s">
        <v>16952</v>
      </c>
    </row>
    <row r="3422" ht="15.75" spans="1:2">
      <c r="A3422" s="9" t="s">
        <v>11408</v>
      </c>
      <c r="B3422" s="5" t="s">
        <v>16952</v>
      </c>
    </row>
    <row r="3423" ht="15.75" spans="1:2">
      <c r="A3423" s="9" t="s">
        <v>11411</v>
      </c>
      <c r="B3423" s="5" t="s">
        <v>16952</v>
      </c>
    </row>
    <row r="3424" ht="15.75" spans="1:2">
      <c r="A3424" s="9" t="s">
        <v>11414</v>
      </c>
      <c r="B3424" s="5" t="s">
        <v>16952</v>
      </c>
    </row>
    <row r="3425" ht="15.75" spans="1:2">
      <c r="A3425" s="9" t="s">
        <v>11418</v>
      </c>
      <c r="B3425" s="5" t="s">
        <v>16952</v>
      </c>
    </row>
    <row r="3426" ht="15.75" spans="1:2">
      <c r="A3426" s="9" t="s">
        <v>11422</v>
      </c>
      <c r="B3426" s="5" t="s">
        <v>16952</v>
      </c>
    </row>
    <row r="3427" ht="15.75" spans="1:2">
      <c r="A3427" s="9" t="s">
        <v>11427</v>
      </c>
      <c r="B3427" s="5" t="s">
        <v>16952</v>
      </c>
    </row>
    <row r="3428" ht="15.75" spans="1:2">
      <c r="A3428" s="9" t="s">
        <v>11431</v>
      </c>
      <c r="B3428" s="5" t="s">
        <v>16952</v>
      </c>
    </row>
    <row r="3429" ht="15.75" spans="1:2">
      <c r="A3429" s="9" t="s">
        <v>11434</v>
      </c>
      <c r="B3429" s="5" t="s">
        <v>16952</v>
      </c>
    </row>
    <row r="3430" ht="15.75" spans="1:2">
      <c r="A3430" s="9" t="s">
        <v>11438</v>
      </c>
      <c r="B3430" s="8"/>
    </row>
    <row r="3431" ht="15.75" spans="1:2">
      <c r="A3431" s="9" t="s">
        <v>11439</v>
      </c>
      <c r="B3431" s="5" t="s">
        <v>16952</v>
      </c>
    </row>
    <row r="3432" ht="15.75" spans="1:2">
      <c r="A3432" s="9" t="s">
        <v>11443</v>
      </c>
      <c r="B3432" s="5" t="s">
        <v>16952</v>
      </c>
    </row>
    <row r="3433" ht="15.75" spans="1:2">
      <c r="A3433" s="9" t="s">
        <v>11447</v>
      </c>
      <c r="B3433" s="5" t="s">
        <v>16952</v>
      </c>
    </row>
    <row r="3434" ht="15.75" spans="1:2">
      <c r="A3434" s="9" t="s">
        <v>11451</v>
      </c>
      <c r="B3434" s="5" t="s">
        <v>16952</v>
      </c>
    </row>
    <row r="3435" ht="15.75" spans="1:2">
      <c r="A3435" s="9" t="s">
        <v>11455</v>
      </c>
      <c r="B3435" s="5" t="s">
        <v>16952</v>
      </c>
    </row>
    <row r="3436" ht="15.75" spans="1:2">
      <c r="A3436" s="9" t="s">
        <v>11459</v>
      </c>
      <c r="B3436" s="5" t="s">
        <v>16952</v>
      </c>
    </row>
    <row r="3437" ht="15.75" spans="1:2">
      <c r="A3437" s="9" t="s">
        <v>11463</v>
      </c>
      <c r="B3437" s="5" t="s">
        <v>16952</v>
      </c>
    </row>
    <row r="3438" ht="15.75" spans="1:2">
      <c r="A3438" s="9" t="s">
        <v>11467</v>
      </c>
      <c r="B3438" s="5" t="s">
        <v>16952</v>
      </c>
    </row>
    <row r="3439" ht="15.75" spans="1:2">
      <c r="A3439" s="9" t="s">
        <v>11471</v>
      </c>
      <c r="B3439" s="5" t="s">
        <v>16952</v>
      </c>
    </row>
    <row r="3440" ht="15.75" spans="1:2">
      <c r="A3440" s="9" t="s">
        <v>11475</v>
      </c>
      <c r="B3440" s="5" t="s">
        <v>16952</v>
      </c>
    </row>
    <row r="3441" ht="15.75" spans="1:2">
      <c r="A3441" s="9" t="s">
        <v>11479</v>
      </c>
      <c r="B3441" s="5" t="s">
        <v>16952</v>
      </c>
    </row>
    <row r="3442" ht="15.75" spans="1:2">
      <c r="A3442" s="9" t="s">
        <v>11483</v>
      </c>
      <c r="B3442" s="5" t="s">
        <v>16952</v>
      </c>
    </row>
    <row r="3443" ht="15.75" spans="1:2">
      <c r="A3443" s="9" t="s">
        <v>11487</v>
      </c>
      <c r="B3443" s="5" t="s">
        <v>16952</v>
      </c>
    </row>
    <row r="3444" ht="15.75" spans="1:2">
      <c r="A3444" s="9" t="s">
        <v>11491</v>
      </c>
      <c r="B3444" s="5" t="s">
        <v>16952</v>
      </c>
    </row>
    <row r="3445" ht="15.75" spans="1:2">
      <c r="A3445" s="9" t="s">
        <v>11495</v>
      </c>
      <c r="B3445" s="5" t="s">
        <v>16952</v>
      </c>
    </row>
    <row r="3446" ht="15.75" spans="1:2">
      <c r="A3446" s="9" t="s">
        <v>11498</v>
      </c>
      <c r="B3446" s="5" t="s">
        <v>16952</v>
      </c>
    </row>
    <row r="3447" ht="15.75" spans="1:2">
      <c r="A3447" s="9" t="s">
        <v>11502</v>
      </c>
      <c r="B3447" s="5" t="s">
        <v>16952</v>
      </c>
    </row>
    <row r="3448" ht="15.75" spans="1:2">
      <c r="A3448" s="9" t="s">
        <v>11506</v>
      </c>
      <c r="B3448" s="5" t="s">
        <v>16952</v>
      </c>
    </row>
    <row r="3449" ht="15.75" spans="1:2">
      <c r="A3449" s="9" t="s">
        <v>11510</v>
      </c>
      <c r="B3449" s="5" t="s">
        <v>16952</v>
      </c>
    </row>
    <row r="3450" ht="15.75" spans="1:2">
      <c r="A3450" s="9" t="s">
        <v>11514</v>
      </c>
      <c r="B3450" s="5" t="s">
        <v>16952</v>
      </c>
    </row>
    <row r="3451" ht="15.75" spans="1:2">
      <c r="A3451" s="9" t="s">
        <v>11518</v>
      </c>
      <c r="B3451" s="5" t="s">
        <v>16952</v>
      </c>
    </row>
    <row r="3452" ht="15.75" spans="1:2">
      <c r="A3452" s="9" t="s">
        <v>11521</v>
      </c>
      <c r="B3452" s="5" t="s">
        <v>16952</v>
      </c>
    </row>
    <row r="3453" ht="15.75" spans="1:2">
      <c r="A3453" s="9" t="s">
        <v>11525</v>
      </c>
      <c r="B3453" s="5" t="s">
        <v>16952</v>
      </c>
    </row>
    <row r="3454" ht="15.75" spans="1:2">
      <c r="A3454" s="9" t="s">
        <v>11528</v>
      </c>
      <c r="B3454" s="5" t="s">
        <v>16952</v>
      </c>
    </row>
    <row r="3455" ht="15.75" spans="1:2">
      <c r="A3455" s="9" t="s">
        <v>11531</v>
      </c>
      <c r="B3455" s="5" t="s">
        <v>16952</v>
      </c>
    </row>
    <row r="3456" ht="15.75" spans="1:2">
      <c r="A3456" s="9" t="s">
        <v>11535</v>
      </c>
      <c r="B3456" s="8"/>
    </row>
    <row r="3457" ht="15.75" spans="1:2">
      <c r="A3457" s="9" t="s">
        <v>11536</v>
      </c>
      <c r="B3457" s="5" t="s">
        <v>16952</v>
      </c>
    </row>
    <row r="3458" ht="15.75" spans="1:2">
      <c r="A3458" s="9" t="s">
        <v>11536</v>
      </c>
      <c r="B3458" s="5" t="s">
        <v>16952</v>
      </c>
    </row>
    <row r="3459" ht="15.75" spans="1:2">
      <c r="A3459" s="9" t="s">
        <v>11540</v>
      </c>
      <c r="B3459" s="5" t="s">
        <v>16952</v>
      </c>
    </row>
    <row r="3460" ht="15.75" spans="1:2">
      <c r="A3460" s="9" t="s">
        <v>11543</v>
      </c>
      <c r="B3460" s="5" t="s">
        <v>16952</v>
      </c>
    </row>
    <row r="3461" ht="15.75" spans="1:2">
      <c r="A3461" s="9" t="s">
        <v>11547</v>
      </c>
      <c r="B3461" s="5" t="s">
        <v>16952</v>
      </c>
    </row>
    <row r="3462" ht="15.75" spans="1:2">
      <c r="A3462" s="9" t="s">
        <v>11550</v>
      </c>
      <c r="B3462" s="5" t="s">
        <v>16952</v>
      </c>
    </row>
    <row r="3463" ht="15.75" spans="1:2">
      <c r="A3463" s="9" t="s">
        <v>11555</v>
      </c>
      <c r="B3463" s="5" t="s">
        <v>16952</v>
      </c>
    </row>
    <row r="3464" ht="15.75" spans="1:2">
      <c r="A3464" s="9" t="s">
        <v>11559</v>
      </c>
      <c r="B3464" s="5" t="s">
        <v>16952</v>
      </c>
    </row>
    <row r="3465" ht="15.75" spans="1:2">
      <c r="A3465" s="9" t="s">
        <v>11562</v>
      </c>
      <c r="B3465" s="5" t="s">
        <v>16952</v>
      </c>
    </row>
    <row r="3466" ht="15.75" spans="1:2">
      <c r="A3466" s="9" t="s">
        <v>11566</v>
      </c>
      <c r="B3466" s="5" t="s">
        <v>16952</v>
      </c>
    </row>
    <row r="3467" ht="15.75" spans="1:2">
      <c r="A3467" s="9" t="s">
        <v>11570</v>
      </c>
      <c r="B3467" s="5"/>
    </row>
    <row r="3468" ht="15.75" spans="1:2">
      <c r="A3468" s="9" t="s">
        <v>11574</v>
      </c>
      <c r="B3468" s="5" t="s">
        <v>16952</v>
      </c>
    </row>
    <row r="3469" ht="15.75" spans="1:2">
      <c r="A3469" s="9" t="s">
        <v>11577</v>
      </c>
      <c r="B3469" s="10" t="s">
        <v>16952</v>
      </c>
    </row>
    <row r="3470" ht="15.75" spans="1:2">
      <c r="A3470" s="9" t="s">
        <v>11577</v>
      </c>
      <c r="B3470" s="10" t="s">
        <v>16952</v>
      </c>
    </row>
    <row r="3471" ht="15.75" spans="1:2">
      <c r="A3471" s="9" t="s">
        <v>11580</v>
      </c>
      <c r="B3471" s="5" t="s">
        <v>16952</v>
      </c>
    </row>
    <row r="3472" ht="15.75" spans="1:2">
      <c r="A3472" s="9" t="s">
        <v>11582</v>
      </c>
      <c r="B3472" s="5" t="s">
        <v>16952</v>
      </c>
    </row>
    <row r="3473" ht="15.75" spans="1:2">
      <c r="A3473" s="9" t="s">
        <v>11585</v>
      </c>
      <c r="B3473" s="5" t="s">
        <v>16952</v>
      </c>
    </row>
    <row r="3474" ht="15.75" spans="1:2">
      <c r="A3474" s="9" t="s">
        <v>11589</v>
      </c>
      <c r="B3474" s="5" t="s">
        <v>16952</v>
      </c>
    </row>
    <row r="3475" ht="15.75" spans="1:2">
      <c r="A3475" s="9" t="s">
        <v>11592</v>
      </c>
      <c r="B3475" s="5" t="s">
        <v>16952</v>
      </c>
    </row>
    <row r="3476" ht="15.75" spans="1:2">
      <c r="A3476" s="9" t="s">
        <v>11595</v>
      </c>
      <c r="B3476" s="5" t="s">
        <v>16952</v>
      </c>
    </row>
    <row r="3477" ht="15.75" spans="1:2">
      <c r="A3477" s="9" t="s">
        <v>11599</v>
      </c>
      <c r="B3477" s="5" t="s">
        <v>16952</v>
      </c>
    </row>
    <row r="3478" ht="15.75" spans="1:2">
      <c r="A3478" s="9" t="s">
        <v>11602</v>
      </c>
      <c r="B3478" s="5" t="s">
        <v>16952</v>
      </c>
    </row>
    <row r="3479" ht="15.75" spans="1:2">
      <c r="A3479" s="9" t="s">
        <v>11605</v>
      </c>
      <c r="B3479" s="5" t="s">
        <v>16952</v>
      </c>
    </row>
    <row r="3480" ht="15.75" spans="1:2">
      <c r="A3480" s="9" t="s">
        <v>11609</v>
      </c>
      <c r="B3480" s="5" t="s">
        <v>16952</v>
      </c>
    </row>
    <row r="3481" ht="15.75" spans="1:2">
      <c r="A3481" s="9" t="s">
        <v>11612</v>
      </c>
      <c r="B3481" s="5" t="s">
        <v>16952</v>
      </c>
    </row>
    <row r="3482" ht="15.75" spans="1:2">
      <c r="A3482" s="9" t="s">
        <v>11615</v>
      </c>
      <c r="B3482" s="5" t="s">
        <v>16952</v>
      </c>
    </row>
    <row r="3483" ht="15.75" spans="1:2">
      <c r="A3483" s="9" t="s">
        <v>11619</v>
      </c>
      <c r="B3483" s="5" t="s">
        <v>16952</v>
      </c>
    </row>
    <row r="3484" ht="15.75" spans="1:2">
      <c r="A3484" s="9" t="s">
        <v>11622</v>
      </c>
      <c r="B3484" s="5" t="s">
        <v>16952</v>
      </c>
    </row>
    <row r="3485" ht="15.75" spans="1:2">
      <c r="A3485" s="9" t="s">
        <v>11626</v>
      </c>
      <c r="B3485" s="5" t="s">
        <v>16952</v>
      </c>
    </row>
    <row r="3486" ht="15.75" spans="1:2">
      <c r="A3486" s="9" t="s">
        <v>11630</v>
      </c>
      <c r="B3486" s="5" t="s">
        <v>16952</v>
      </c>
    </row>
    <row r="3487" ht="15.75" spans="1:2">
      <c r="A3487" s="9" t="s">
        <v>11635</v>
      </c>
      <c r="B3487" s="5" t="s">
        <v>16952</v>
      </c>
    </row>
    <row r="3488" ht="15.75" spans="1:2">
      <c r="A3488" s="9" t="s">
        <v>11639</v>
      </c>
      <c r="B3488" s="5" t="s">
        <v>16952</v>
      </c>
    </row>
    <row r="3489" ht="15.75" spans="1:2">
      <c r="A3489" s="9" t="s">
        <v>11643</v>
      </c>
      <c r="B3489" s="5" t="s">
        <v>16952</v>
      </c>
    </row>
    <row r="3490" ht="15.75" spans="1:2">
      <c r="A3490" s="9" t="s">
        <v>11647</v>
      </c>
      <c r="B3490" s="5" t="s">
        <v>16952</v>
      </c>
    </row>
    <row r="3491" ht="15.75" spans="1:2">
      <c r="A3491" s="9" t="s">
        <v>11651</v>
      </c>
      <c r="B3491" s="5" t="s">
        <v>16952</v>
      </c>
    </row>
    <row r="3492" ht="15.75" spans="1:2">
      <c r="A3492" s="9" t="s">
        <v>11655</v>
      </c>
      <c r="B3492" s="5" t="s">
        <v>16952</v>
      </c>
    </row>
    <row r="3493" ht="15.75" spans="1:2">
      <c r="A3493" s="9" t="s">
        <v>11660</v>
      </c>
      <c r="B3493" s="5" t="s">
        <v>16952</v>
      </c>
    </row>
    <row r="3494" ht="15.75" spans="1:2">
      <c r="A3494" s="9" t="s">
        <v>11663</v>
      </c>
      <c r="B3494" s="5" t="s">
        <v>16952</v>
      </c>
    </row>
    <row r="3495" ht="15.75" spans="1:2">
      <c r="A3495" s="9" t="s">
        <v>11666</v>
      </c>
      <c r="B3495" s="13"/>
    </row>
    <row r="3496" ht="15.75" spans="1:2">
      <c r="A3496" s="9" t="s">
        <v>11671</v>
      </c>
      <c r="B3496" s="5" t="s">
        <v>16952</v>
      </c>
    </row>
    <row r="3497" ht="15.75" spans="1:2">
      <c r="A3497" s="9" t="s">
        <v>11675</v>
      </c>
      <c r="B3497" s="5" t="s">
        <v>16952</v>
      </c>
    </row>
    <row r="3498" ht="15.75" spans="1:2">
      <c r="A3498" s="9" t="s">
        <v>11679</v>
      </c>
      <c r="B3498" s="10" t="s">
        <v>16952</v>
      </c>
    </row>
    <row r="3499" ht="15.75" spans="1:2">
      <c r="A3499" s="9" t="s">
        <v>11679</v>
      </c>
      <c r="B3499" s="10" t="s">
        <v>16952</v>
      </c>
    </row>
    <row r="3500" ht="15.75" spans="1:2">
      <c r="A3500" s="9" t="s">
        <v>11683</v>
      </c>
      <c r="B3500" s="5" t="s">
        <v>16952</v>
      </c>
    </row>
    <row r="3501" ht="15.75" spans="1:2">
      <c r="A3501" s="9" t="s">
        <v>11687</v>
      </c>
      <c r="B3501" s="10" t="s">
        <v>16952</v>
      </c>
    </row>
    <row r="3502" ht="15.75" spans="1:2">
      <c r="A3502" s="9" t="s">
        <v>11687</v>
      </c>
      <c r="B3502" s="10" t="s">
        <v>16952</v>
      </c>
    </row>
    <row r="3503" ht="15.75" spans="1:2">
      <c r="A3503" s="9" t="s">
        <v>11691</v>
      </c>
      <c r="B3503" s="5" t="s">
        <v>16952</v>
      </c>
    </row>
    <row r="3504" ht="31.5" spans="1:2">
      <c r="A3504" s="9" t="s">
        <v>11694</v>
      </c>
      <c r="B3504" s="8" t="s">
        <v>16990</v>
      </c>
    </row>
    <row r="3505" ht="15.75" spans="1:2">
      <c r="A3505" s="9" t="s">
        <v>11695</v>
      </c>
      <c r="B3505" s="5" t="s">
        <v>16952</v>
      </c>
    </row>
    <row r="3506" ht="15.75" spans="1:2">
      <c r="A3506" s="9" t="s">
        <v>11699</v>
      </c>
      <c r="B3506" s="5" t="s">
        <v>16952</v>
      </c>
    </row>
    <row r="3507" ht="15.75" spans="1:2">
      <c r="A3507" s="9" t="s">
        <v>11704</v>
      </c>
      <c r="B3507" s="5" t="s">
        <v>16952</v>
      </c>
    </row>
    <row r="3508" ht="15.75" spans="1:2">
      <c r="A3508" s="9" t="s">
        <v>11708</v>
      </c>
      <c r="B3508" s="5" t="s">
        <v>16952</v>
      </c>
    </row>
    <row r="3509" ht="15.75" spans="1:2">
      <c r="A3509" s="9" t="s">
        <v>11711</v>
      </c>
      <c r="B3509" s="5" t="s">
        <v>16952</v>
      </c>
    </row>
    <row r="3510" ht="15.75" spans="1:2">
      <c r="A3510" s="9" t="s">
        <v>11714</v>
      </c>
      <c r="B3510" s="5" t="s">
        <v>16952</v>
      </c>
    </row>
    <row r="3511" ht="15.75" spans="1:2">
      <c r="A3511" s="9" t="s">
        <v>11717</v>
      </c>
      <c r="B3511" s="5" t="s">
        <v>16952</v>
      </c>
    </row>
    <row r="3512" ht="15.75" spans="1:2">
      <c r="A3512" s="9" t="s">
        <v>11720</v>
      </c>
      <c r="B3512" s="5" t="s">
        <v>16952</v>
      </c>
    </row>
    <row r="3513" ht="15.75" spans="1:2">
      <c r="A3513" s="9" t="s">
        <v>11723</v>
      </c>
      <c r="B3513" s="5" t="s">
        <v>16952</v>
      </c>
    </row>
    <row r="3514" ht="15.75" spans="1:2">
      <c r="A3514" s="9" t="s">
        <v>11726</v>
      </c>
      <c r="B3514" s="5" t="s">
        <v>16952</v>
      </c>
    </row>
    <row r="3515" ht="15.75" spans="1:2">
      <c r="A3515" s="9" t="s">
        <v>11729</v>
      </c>
      <c r="B3515" s="5" t="s">
        <v>16952</v>
      </c>
    </row>
    <row r="3516" ht="15.75" spans="1:2">
      <c r="A3516" s="9" t="s">
        <v>11732</v>
      </c>
      <c r="B3516" s="5" t="s">
        <v>16952</v>
      </c>
    </row>
    <row r="3517" ht="15.75" spans="1:2">
      <c r="A3517" s="9" t="s">
        <v>11735</v>
      </c>
      <c r="B3517" s="5" t="s">
        <v>16952</v>
      </c>
    </row>
    <row r="3518" ht="15.75" spans="1:2">
      <c r="A3518" s="9" t="s">
        <v>11738</v>
      </c>
      <c r="B3518" s="5" t="s">
        <v>16952</v>
      </c>
    </row>
    <row r="3519" ht="15.75" spans="1:2">
      <c r="A3519" s="9" t="s">
        <v>11741</v>
      </c>
      <c r="B3519" s="5" t="s">
        <v>16952</v>
      </c>
    </row>
    <row r="3520" ht="15.75" spans="1:2">
      <c r="A3520" s="9" t="s">
        <v>11744</v>
      </c>
      <c r="B3520" s="5" t="s">
        <v>16952</v>
      </c>
    </row>
    <row r="3521" ht="15.75" spans="1:2">
      <c r="A3521" s="9" t="s">
        <v>11747</v>
      </c>
      <c r="B3521" s="5" t="s">
        <v>16952</v>
      </c>
    </row>
    <row r="3522" ht="15.75" spans="1:2">
      <c r="A3522" s="9" t="s">
        <v>11750</v>
      </c>
      <c r="B3522" s="5" t="s">
        <v>16952</v>
      </c>
    </row>
    <row r="3523" ht="15.75" spans="1:2">
      <c r="A3523" s="9" t="s">
        <v>11753</v>
      </c>
      <c r="B3523" s="5" t="s">
        <v>16952</v>
      </c>
    </row>
    <row r="3524" ht="15.75" spans="1:2">
      <c r="A3524" s="9" t="s">
        <v>11756</v>
      </c>
      <c r="B3524" s="5" t="s">
        <v>16952</v>
      </c>
    </row>
    <row r="3525" ht="15.75" spans="1:2">
      <c r="A3525" s="9" t="s">
        <v>11759</v>
      </c>
      <c r="B3525" s="5" t="s">
        <v>16952</v>
      </c>
    </row>
    <row r="3526" ht="15.75" spans="1:2">
      <c r="A3526" s="9" t="s">
        <v>11762</v>
      </c>
      <c r="B3526" s="5" t="s">
        <v>16952</v>
      </c>
    </row>
    <row r="3527" ht="15.75" spans="1:2">
      <c r="A3527" s="9" t="s">
        <v>11767</v>
      </c>
      <c r="B3527" s="5" t="s">
        <v>16952</v>
      </c>
    </row>
    <row r="3528" ht="15.75" spans="1:2">
      <c r="A3528" s="9" t="s">
        <v>11770</v>
      </c>
      <c r="B3528" s="5" t="s">
        <v>16952</v>
      </c>
    </row>
    <row r="3529" ht="15.75" spans="1:2">
      <c r="A3529" s="9" t="s">
        <v>11773</v>
      </c>
      <c r="B3529" s="10" t="s">
        <v>16952</v>
      </c>
    </row>
    <row r="3530" ht="15.75" spans="1:2">
      <c r="A3530" s="9" t="s">
        <v>11773</v>
      </c>
      <c r="B3530" s="10" t="s">
        <v>16952</v>
      </c>
    </row>
    <row r="3531" ht="15.75" spans="1:2">
      <c r="A3531" s="9" t="s">
        <v>11776</v>
      </c>
      <c r="B3531" s="5" t="s">
        <v>16952</v>
      </c>
    </row>
    <row r="3532" ht="15.75" spans="1:2">
      <c r="A3532" s="9" t="s">
        <v>11779</v>
      </c>
      <c r="B3532" s="5" t="s">
        <v>16952</v>
      </c>
    </row>
    <row r="3533" ht="15.75" spans="1:2">
      <c r="A3533" s="9" t="s">
        <v>11782</v>
      </c>
      <c r="B3533" s="5" t="s">
        <v>16952</v>
      </c>
    </row>
    <row r="3534" ht="15.75" spans="1:2">
      <c r="A3534" s="9" t="s">
        <v>11785</v>
      </c>
      <c r="B3534" s="5" t="s">
        <v>16952</v>
      </c>
    </row>
    <row r="3535" ht="15.75" spans="1:2">
      <c r="A3535" s="9" t="s">
        <v>11789</v>
      </c>
      <c r="B3535" s="5" t="s">
        <v>16952</v>
      </c>
    </row>
    <row r="3536" ht="15.75" spans="1:2">
      <c r="A3536" s="9" t="s">
        <v>11792</v>
      </c>
      <c r="B3536" s="5" t="s">
        <v>16952</v>
      </c>
    </row>
    <row r="3537" ht="15.75" spans="1:2">
      <c r="A3537" s="9" t="s">
        <v>11795</v>
      </c>
      <c r="B3537" s="5" t="s">
        <v>16952</v>
      </c>
    </row>
    <row r="3538" ht="15.75" spans="1:2">
      <c r="A3538" s="9" t="s">
        <v>11798</v>
      </c>
      <c r="B3538" s="5" t="s">
        <v>16952</v>
      </c>
    </row>
    <row r="3539" ht="15.75" spans="1:2">
      <c r="A3539" s="9" t="s">
        <v>11802</v>
      </c>
      <c r="B3539" s="5" t="s">
        <v>16952</v>
      </c>
    </row>
    <row r="3540" ht="15.75" spans="1:2">
      <c r="A3540" s="9" t="s">
        <v>11805</v>
      </c>
      <c r="B3540" s="5" t="s">
        <v>16952</v>
      </c>
    </row>
    <row r="3541" ht="15.75" spans="1:2">
      <c r="A3541" s="9" t="s">
        <v>11808</v>
      </c>
      <c r="B3541" s="5" t="s">
        <v>16952</v>
      </c>
    </row>
    <row r="3542" ht="15.75" spans="1:2">
      <c r="A3542" s="9" t="s">
        <v>11811</v>
      </c>
      <c r="B3542" s="10" t="s">
        <v>16952</v>
      </c>
    </row>
    <row r="3543" ht="15.75" spans="1:2">
      <c r="A3543" s="9" t="s">
        <v>11811</v>
      </c>
      <c r="B3543" s="10" t="s">
        <v>16952</v>
      </c>
    </row>
    <row r="3544" ht="15.75" spans="1:2">
      <c r="A3544" s="9" t="s">
        <v>11814</v>
      </c>
      <c r="B3544" s="5" t="s">
        <v>16952</v>
      </c>
    </row>
    <row r="3545" ht="15.75" spans="1:2">
      <c r="A3545" s="9" t="s">
        <v>11818</v>
      </c>
      <c r="B3545" s="5" t="s">
        <v>16952</v>
      </c>
    </row>
    <row r="3546" ht="15.75" spans="1:2">
      <c r="A3546" s="9" t="s">
        <v>11821</v>
      </c>
      <c r="B3546" s="5" t="s">
        <v>16952</v>
      </c>
    </row>
    <row r="3547" ht="15.75" spans="1:2">
      <c r="A3547" s="9" t="s">
        <v>11825</v>
      </c>
      <c r="B3547" s="5" t="s">
        <v>16952</v>
      </c>
    </row>
    <row r="3548" ht="15.75" spans="1:2">
      <c r="A3548" s="9" t="s">
        <v>11829</v>
      </c>
      <c r="B3548" s="5" t="s">
        <v>16952</v>
      </c>
    </row>
    <row r="3549" ht="15.75" spans="1:2">
      <c r="A3549" s="9" t="s">
        <v>11832</v>
      </c>
      <c r="B3549" s="5" t="s">
        <v>16952</v>
      </c>
    </row>
    <row r="3550" ht="15.75" spans="1:2">
      <c r="A3550" s="9" t="s">
        <v>11836</v>
      </c>
      <c r="B3550" s="5" t="s">
        <v>16952</v>
      </c>
    </row>
    <row r="3551" ht="15.75" spans="1:2">
      <c r="A3551" s="9" t="s">
        <v>11840</v>
      </c>
      <c r="B3551" s="5" t="s">
        <v>16952</v>
      </c>
    </row>
    <row r="3552" ht="15.75" spans="1:2">
      <c r="A3552" s="9" t="s">
        <v>11844</v>
      </c>
      <c r="B3552" s="5" t="s">
        <v>16952</v>
      </c>
    </row>
    <row r="3553" ht="15.75" spans="1:2">
      <c r="A3553" s="9" t="s">
        <v>11848</v>
      </c>
      <c r="B3553" s="5" t="s">
        <v>16952</v>
      </c>
    </row>
    <row r="3554" ht="15.75" spans="1:2">
      <c r="A3554" s="9" t="s">
        <v>11851</v>
      </c>
      <c r="B3554" s="5" t="s">
        <v>16952</v>
      </c>
    </row>
    <row r="3555" ht="15.75" spans="1:2">
      <c r="A3555" s="9" t="s">
        <v>11855</v>
      </c>
      <c r="B3555" s="5" t="s">
        <v>16952</v>
      </c>
    </row>
    <row r="3556" ht="15.75" spans="1:2">
      <c r="A3556" s="9" t="s">
        <v>11858</v>
      </c>
      <c r="B3556" s="5" t="s">
        <v>16952</v>
      </c>
    </row>
    <row r="3557" ht="15.75" spans="1:2">
      <c r="A3557" s="9" t="s">
        <v>11861</v>
      </c>
      <c r="B3557" s="5" t="s">
        <v>16952</v>
      </c>
    </row>
    <row r="3558" ht="15.75" spans="1:2">
      <c r="A3558" s="9" t="s">
        <v>11865</v>
      </c>
      <c r="B3558" s="5" t="s">
        <v>16952</v>
      </c>
    </row>
    <row r="3559" ht="15.75" spans="1:2">
      <c r="A3559" s="9" t="s">
        <v>11868</v>
      </c>
      <c r="B3559" s="5" t="s">
        <v>16952</v>
      </c>
    </row>
    <row r="3560" ht="15.75" spans="1:2">
      <c r="A3560" s="9" t="s">
        <v>11871</v>
      </c>
      <c r="B3560" s="5" t="s">
        <v>16952</v>
      </c>
    </row>
    <row r="3561" ht="15.75" spans="1:2">
      <c r="A3561" s="9" t="s">
        <v>11875</v>
      </c>
      <c r="B3561" s="5" t="s">
        <v>16952</v>
      </c>
    </row>
    <row r="3562" ht="15.75" spans="1:2">
      <c r="A3562" s="9" t="s">
        <v>11878</v>
      </c>
      <c r="B3562" s="5" t="s">
        <v>16952</v>
      </c>
    </row>
    <row r="3563" ht="15.75" spans="1:2">
      <c r="A3563" s="9" t="s">
        <v>11881</v>
      </c>
      <c r="B3563" s="5" t="s">
        <v>16952</v>
      </c>
    </row>
    <row r="3564" ht="15.75" spans="1:2">
      <c r="A3564" s="9" t="s">
        <v>11884</v>
      </c>
      <c r="B3564" s="5" t="s">
        <v>16952</v>
      </c>
    </row>
    <row r="3565" ht="15.75" spans="1:2">
      <c r="A3565" s="9" t="s">
        <v>11887</v>
      </c>
      <c r="B3565" s="5" t="s">
        <v>16952</v>
      </c>
    </row>
    <row r="3566" ht="15.75" spans="1:2">
      <c r="A3566" s="9" t="s">
        <v>11890</v>
      </c>
      <c r="B3566" s="5" t="s">
        <v>16952</v>
      </c>
    </row>
    <row r="3567" ht="15.75" spans="1:2">
      <c r="A3567" s="9" t="s">
        <v>11893</v>
      </c>
      <c r="B3567" s="5" t="s">
        <v>16952</v>
      </c>
    </row>
    <row r="3568" ht="15.75" spans="1:2">
      <c r="A3568" s="9" t="s">
        <v>11897</v>
      </c>
      <c r="B3568" s="5" t="s">
        <v>16952</v>
      </c>
    </row>
    <row r="3569" ht="15.75" spans="1:2">
      <c r="A3569" s="9" t="s">
        <v>11900</v>
      </c>
      <c r="B3569" s="5" t="s">
        <v>16952</v>
      </c>
    </row>
    <row r="3570" ht="15.75" spans="1:2">
      <c r="A3570" s="9" t="s">
        <v>11903</v>
      </c>
      <c r="B3570" s="5" t="s">
        <v>16952</v>
      </c>
    </row>
    <row r="3571" ht="15.75" spans="1:2">
      <c r="A3571" s="9" t="s">
        <v>11908</v>
      </c>
      <c r="B3571" s="5" t="s">
        <v>16952</v>
      </c>
    </row>
    <row r="3572" ht="15.75" spans="1:2">
      <c r="A3572" s="9" t="s">
        <v>11911</v>
      </c>
      <c r="B3572" s="5" t="s">
        <v>16952</v>
      </c>
    </row>
    <row r="3573" ht="15.75" spans="1:2">
      <c r="A3573" s="9" t="s">
        <v>11911</v>
      </c>
      <c r="B3573" s="10" t="s">
        <v>16952</v>
      </c>
    </row>
    <row r="3574" ht="15.75" spans="1:2">
      <c r="A3574" s="9" t="s">
        <v>11915</v>
      </c>
      <c r="B3574" s="10" t="s">
        <v>16952</v>
      </c>
    </row>
    <row r="3575" ht="15.75" spans="1:2">
      <c r="A3575" s="9" t="s">
        <v>11919</v>
      </c>
      <c r="B3575" s="10" t="s">
        <v>16952</v>
      </c>
    </row>
    <row r="3576" ht="15.75" spans="1:2">
      <c r="A3576" s="9" t="s">
        <v>11919</v>
      </c>
      <c r="B3576" s="10" t="s">
        <v>16952</v>
      </c>
    </row>
    <row r="3577" ht="15.75" spans="1:2">
      <c r="A3577" s="9" t="s">
        <v>11922</v>
      </c>
      <c r="B3577" s="5" t="s">
        <v>16952</v>
      </c>
    </row>
    <row r="3578" ht="15.75" spans="1:2">
      <c r="A3578" s="9" t="s">
        <v>11925</v>
      </c>
      <c r="B3578" s="5" t="s">
        <v>16952</v>
      </c>
    </row>
    <row r="3579" ht="15.75" spans="1:2">
      <c r="A3579" s="9" t="s">
        <v>11929</v>
      </c>
      <c r="B3579" s="12"/>
    </row>
    <row r="3580" ht="15.75" spans="1:2">
      <c r="A3580" s="9" t="s">
        <v>11929</v>
      </c>
      <c r="B3580" s="10" t="s">
        <v>16952</v>
      </c>
    </row>
    <row r="3581" ht="15.75" spans="1:2">
      <c r="A3581" s="9" t="s">
        <v>11930</v>
      </c>
      <c r="B3581" s="5" t="s">
        <v>16952</v>
      </c>
    </row>
    <row r="3582" ht="15.75" spans="1:2">
      <c r="A3582" s="9" t="s">
        <v>11933</v>
      </c>
      <c r="B3582" s="5" t="s">
        <v>16952</v>
      </c>
    </row>
    <row r="3583" ht="15.75" spans="1:2">
      <c r="A3583" s="9" t="s">
        <v>11937</v>
      </c>
      <c r="B3583" s="5" t="s">
        <v>16952</v>
      </c>
    </row>
    <row r="3584" ht="15.75" spans="1:2">
      <c r="A3584" s="9" t="s">
        <v>11941</v>
      </c>
      <c r="B3584" s="5" t="s">
        <v>16952</v>
      </c>
    </row>
    <row r="3585" ht="15.75" spans="1:2">
      <c r="A3585" s="9" t="s">
        <v>11945</v>
      </c>
      <c r="B3585" s="5" t="s">
        <v>16952</v>
      </c>
    </row>
    <row r="3586" ht="15.75" spans="1:2">
      <c r="A3586" s="9" t="s">
        <v>11948</v>
      </c>
      <c r="B3586" s="5" t="s">
        <v>16952</v>
      </c>
    </row>
    <row r="3587" ht="15.75" spans="1:2">
      <c r="A3587" s="9" t="s">
        <v>11952</v>
      </c>
      <c r="B3587" s="5" t="s">
        <v>16952</v>
      </c>
    </row>
    <row r="3588" ht="15.75" spans="1:2">
      <c r="A3588" s="9" t="s">
        <v>11956</v>
      </c>
      <c r="B3588" s="5" t="s">
        <v>16952</v>
      </c>
    </row>
    <row r="3589" ht="15.75" spans="1:2">
      <c r="A3589" s="9" t="s">
        <v>11960</v>
      </c>
      <c r="B3589" s="5" t="s">
        <v>16952</v>
      </c>
    </row>
    <row r="3590" ht="15.75" spans="1:2">
      <c r="A3590" s="9" t="s">
        <v>11963</v>
      </c>
      <c r="B3590" s="5" t="s">
        <v>16952</v>
      </c>
    </row>
    <row r="3591" ht="15.75" spans="1:2">
      <c r="A3591" s="9" t="s">
        <v>11966</v>
      </c>
      <c r="B3591" s="5" t="s">
        <v>16952</v>
      </c>
    </row>
    <row r="3592" ht="15.75" spans="1:2">
      <c r="A3592" s="9" t="s">
        <v>11970</v>
      </c>
      <c r="B3592" s="5" t="s">
        <v>16952</v>
      </c>
    </row>
    <row r="3593" ht="15.75" spans="1:2">
      <c r="A3593" s="9" t="s">
        <v>11973</v>
      </c>
      <c r="B3593" s="5" t="s">
        <v>16952</v>
      </c>
    </row>
    <row r="3594" ht="15.75" spans="1:2">
      <c r="A3594" s="9" t="s">
        <v>11977</v>
      </c>
      <c r="B3594" s="5" t="s">
        <v>16952</v>
      </c>
    </row>
    <row r="3595" ht="15.75" spans="1:2">
      <c r="A3595" s="9" t="s">
        <v>11981</v>
      </c>
      <c r="B3595" s="5" t="s">
        <v>16952</v>
      </c>
    </row>
    <row r="3596" ht="15.75" spans="1:2">
      <c r="A3596" s="9" t="s">
        <v>11984</v>
      </c>
      <c r="B3596" s="5" t="s">
        <v>16952</v>
      </c>
    </row>
    <row r="3597" ht="15.75" spans="1:2">
      <c r="A3597" s="9" t="s">
        <v>11987</v>
      </c>
      <c r="B3597" s="5" t="s">
        <v>16952</v>
      </c>
    </row>
    <row r="3598" ht="15.75" spans="1:2">
      <c r="A3598" s="9" t="s">
        <v>11990</v>
      </c>
      <c r="B3598" s="5" t="s">
        <v>16952</v>
      </c>
    </row>
    <row r="3599" ht="15.75" spans="1:2">
      <c r="A3599" s="9" t="s">
        <v>11993</v>
      </c>
      <c r="B3599" s="5" t="s">
        <v>16952</v>
      </c>
    </row>
    <row r="3600" ht="15.75" spans="1:2">
      <c r="A3600" s="9" t="s">
        <v>11998</v>
      </c>
      <c r="B3600" s="5" t="s">
        <v>16952</v>
      </c>
    </row>
    <row r="3601" ht="15.75" spans="1:2">
      <c r="A3601" s="9" t="s">
        <v>12001</v>
      </c>
      <c r="B3601" s="5" t="s">
        <v>16952</v>
      </c>
    </row>
    <row r="3602" ht="15.75" spans="1:2">
      <c r="A3602" s="9" t="s">
        <v>12004</v>
      </c>
      <c r="B3602" s="5" t="s">
        <v>16952</v>
      </c>
    </row>
    <row r="3603" ht="15.75" spans="1:2">
      <c r="A3603" s="9" t="s">
        <v>12007</v>
      </c>
      <c r="B3603" s="5" t="s">
        <v>16952</v>
      </c>
    </row>
    <row r="3604" ht="15.75" spans="1:2">
      <c r="A3604" s="9" t="s">
        <v>12010</v>
      </c>
      <c r="B3604" s="5" t="s">
        <v>16952</v>
      </c>
    </row>
    <row r="3605" ht="15.75" spans="1:2">
      <c r="A3605" s="9" t="s">
        <v>12013</v>
      </c>
      <c r="B3605" s="5" t="s">
        <v>16952</v>
      </c>
    </row>
    <row r="3606" ht="15.75" spans="1:2">
      <c r="A3606" s="9" t="s">
        <v>12017</v>
      </c>
      <c r="B3606" s="5" t="s">
        <v>16952</v>
      </c>
    </row>
    <row r="3607" ht="15.75" spans="1:2">
      <c r="A3607" s="9" t="s">
        <v>12021</v>
      </c>
      <c r="B3607" s="5" t="s">
        <v>16952</v>
      </c>
    </row>
    <row r="3608" ht="15.75" spans="1:2">
      <c r="A3608" s="9" t="s">
        <v>12024</v>
      </c>
      <c r="B3608" s="5" t="s">
        <v>16952</v>
      </c>
    </row>
    <row r="3609" ht="15.75" spans="1:2">
      <c r="A3609" s="9" t="s">
        <v>12027</v>
      </c>
      <c r="B3609" s="5" t="s">
        <v>16952</v>
      </c>
    </row>
    <row r="3610" ht="15.75" spans="1:2">
      <c r="A3610" s="9" t="s">
        <v>12030</v>
      </c>
      <c r="B3610" s="5" t="s">
        <v>16952</v>
      </c>
    </row>
    <row r="3611" ht="15.75" spans="1:2">
      <c r="A3611" s="9" t="s">
        <v>12033</v>
      </c>
      <c r="B3611" s="5" t="s">
        <v>16952</v>
      </c>
    </row>
    <row r="3612" ht="15.75" spans="1:2">
      <c r="A3612" s="9" t="s">
        <v>12036</v>
      </c>
      <c r="B3612" s="5" t="s">
        <v>16952</v>
      </c>
    </row>
    <row r="3613" ht="15.75" spans="1:2">
      <c r="A3613" s="9" t="s">
        <v>12039</v>
      </c>
      <c r="B3613" s="5" t="s">
        <v>16952</v>
      </c>
    </row>
    <row r="3614" ht="15.75" spans="1:2">
      <c r="A3614" s="9" t="s">
        <v>12042</v>
      </c>
      <c r="B3614" s="5" t="s">
        <v>16952</v>
      </c>
    </row>
    <row r="3615" ht="15.75" spans="1:2">
      <c r="A3615" s="9" t="s">
        <v>12045</v>
      </c>
      <c r="B3615" s="5" t="s">
        <v>16952</v>
      </c>
    </row>
    <row r="3616" ht="15.75" spans="1:2">
      <c r="A3616" s="9" t="s">
        <v>12049</v>
      </c>
      <c r="B3616" s="5" t="s">
        <v>16952</v>
      </c>
    </row>
    <row r="3617" ht="15.75" spans="1:2">
      <c r="A3617" s="9" t="s">
        <v>12052</v>
      </c>
      <c r="B3617" s="5" t="s">
        <v>16952</v>
      </c>
    </row>
    <row r="3618" ht="15.75" spans="1:2">
      <c r="A3618" s="9" t="s">
        <v>12055</v>
      </c>
      <c r="B3618" s="5" t="s">
        <v>16952</v>
      </c>
    </row>
    <row r="3619" ht="15.75" spans="1:2">
      <c r="A3619" s="9" t="s">
        <v>12058</v>
      </c>
      <c r="B3619" s="5" t="s">
        <v>16952</v>
      </c>
    </row>
    <row r="3620" ht="15.75" spans="1:2">
      <c r="A3620" s="9" t="s">
        <v>12061</v>
      </c>
      <c r="B3620" s="5" t="s">
        <v>16952</v>
      </c>
    </row>
    <row r="3621" ht="15.75" spans="1:2">
      <c r="A3621" s="9" t="s">
        <v>12064</v>
      </c>
      <c r="B3621" s="5" t="s">
        <v>16952</v>
      </c>
    </row>
    <row r="3622" ht="15.75" spans="1:2">
      <c r="A3622" s="9" t="s">
        <v>12067</v>
      </c>
      <c r="B3622" s="5" t="s">
        <v>16952</v>
      </c>
    </row>
    <row r="3623" ht="15.75" spans="1:2">
      <c r="A3623" s="9" t="s">
        <v>12070</v>
      </c>
      <c r="B3623" s="5" t="s">
        <v>16952</v>
      </c>
    </row>
    <row r="3624" ht="15.75" spans="1:2">
      <c r="A3624" s="9" t="s">
        <v>12073</v>
      </c>
      <c r="B3624" s="5" t="s">
        <v>16952</v>
      </c>
    </row>
    <row r="3625" ht="15.75" spans="1:2">
      <c r="A3625" s="9" t="s">
        <v>12078</v>
      </c>
      <c r="B3625" s="8"/>
    </row>
    <row r="3626" ht="31.5" spans="1:2">
      <c r="A3626" s="9" t="s">
        <v>12079</v>
      </c>
      <c r="B3626" s="8" t="s">
        <v>16991</v>
      </c>
    </row>
    <row r="3627" ht="15.75" spans="1:2">
      <c r="A3627" s="9" t="s">
        <v>12080</v>
      </c>
      <c r="B3627" s="5" t="s">
        <v>16952</v>
      </c>
    </row>
    <row r="3628" ht="15.75" spans="1:2">
      <c r="A3628" s="9" t="s">
        <v>12083</v>
      </c>
      <c r="B3628" s="5" t="s">
        <v>16952</v>
      </c>
    </row>
    <row r="3629" ht="15.75" spans="1:2">
      <c r="A3629" s="9" t="s">
        <v>12086</v>
      </c>
      <c r="B3629" s="5" t="s">
        <v>16952</v>
      </c>
    </row>
    <row r="3630" ht="15.75" spans="1:2">
      <c r="A3630" s="9" t="s">
        <v>12090</v>
      </c>
      <c r="B3630" s="5" t="s">
        <v>16952</v>
      </c>
    </row>
    <row r="3631" ht="15.75" spans="1:2">
      <c r="A3631" s="9" t="s">
        <v>12093</v>
      </c>
      <c r="B3631" s="5" t="s">
        <v>16952</v>
      </c>
    </row>
    <row r="3632" ht="15.75" spans="1:2">
      <c r="A3632" s="9" t="s">
        <v>12096</v>
      </c>
      <c r="B3632" s="5" t="s">
        <v>16952</v>
      </c>
    </row>
    <row r="3633" ht="15.75" spans="1:2">
      <c r="A3633" s="9" t="s">
        <v>12101</v>
      </c>
      <c r="B3633" s="5" t="s">
        <v>16952</v>
      </c>
    </row>
    <row r="3634" ht="15.75" spans="1:2">
      <c r="A3634" s="9" t="s">
        <v>12104</v>
      </c>
      <c r="B3634" s="5" t="s">
        <v>16952</v>
      </c>
    </row>
    <row r="3635" ht="15.75" spans="1:2">
      <c r="A3635" s="9" t="s">
        <v>12107</v>
      </c>
      <c r="B3635" s="5" t="s">
        <v>16952</v>
      </c>
    </row>
    <row r="3636" ht="15.75" spans="1:2">
      <c r="A3636" s="9" t="s">
        <v>12110</v>
      </c>
      <c r="B3636" s="5" t="s">
        <v>16952</v>
      </c>
    </row>
    <row r="3637" ht="15.75" spans="1:2">
      <c r="A3637" s="9" t="s">
        <v>12113</v>
      </c>
      <c r="B3637" s="5" t="s">
        <v>16952</v>
      </c>
    </row>
    <row r="3638" ht="15.75" spans="1:2">
      <c r="A3638" s="9" t="s">
        <v>12116</v>
      </c>
      <c r="B3638" s="5" t="s">
        <v>16952</v>
      </c>
    </row>
    <row r="3639" ht="15.75" spans="1:2">
      <c r="A3639" s="9" t="s">
        <v>12119</v>
      </c>
      <c r="B3639" s="5" t="s">
        <v>16952</v>
      </c>
    </row>
    <row r="3640" ht="15.75" spans="1:2">
      <c r="A3640" s="9" t="s">
        <v>12122</v>
      </c>
      <c r="B3640" s="5" t="s">
        <v>16952</v>
      </c>
    </row>
    <row r="3641" ht="15.75" spans="1:2">
      <c r="A3641" s="9" t="s">
        <v>12125</v>
      </c>
      <c r="B3641" s="5" t="s">
        <v>16952</v>
      </c>
    </row>
    <row r="3642" ht="15.75" spans="1:2">
      <c r="A3642" s="9" t="s">
        <v>12129</v>
      </c>
      <c r="B3642" s="5" t="s">
        <v>16952</v>
      </c>
    </row>
    <row r="3643" ht="15.75" spans="1:2">
      <c r="A3643" s="9" t="s">
        <v>12132</v>
      </c>
      <c r="B3643" s="5" t="s">
        <v>16952</v>
      </c>
    </row>
    <row r="3644" ht="15.75" spans="1:2">
      <c r="A3644" s="9" t="s">
        <v>12135</v>
      </c>
      <c r="B3644" s="5" t="s">
        <v>16952</v>
      </c>
    </row>
    <row r="3645" ht="15.75" spans="1:2">
      <c r="A3645" s="9" t="s">
        <v>12138</v>
      </c>
      <c r="B3645" s="5" t="s">
        <v>16952</v>
      </c>
    </row>
    <row r="3646" ht="15.75" spans="1:2">
      <c r="A3646" s="9" t="s">
        <v>12141</v>
      </c>
      <c r="B3646" s="5" t="s">
        <v>16952</v>
      </c>
    </row>
    <row r="3647" ht="15.75" spans="1:2">
      <c r="A3647" s="9" t="s">
        <v>12144</v>
      </c>
      <c r="B3647" s="5" t="s">
        <v>16952</v>
      </c>
    </row>
    <row r="3648" ht="15.75" spans="1:2">
      <c r="A3648" s="9" t="s">
        <v>12147</v>
      </c>
      <c r="B3648" s="5" t="s">
        <v>16952</v>
      </c>
    </row>
    <row r="3649" ht="15.75" spans="1:2">
      <c r="A3649" s="9" t="s">
        <v>12150</v>
      </c>
      <c r="B3649" s="5" t="s">
        <v>16952</v>
      </c>
    </row>
    <row r="3650" ht="15.75" spans="1:2">
      <c r="A3650" s="9" t="s">
        <v>12154</v>
      </c>
      <c r="B3650" s="5" t="s">
        <v>16952</v>
      </c>
    </row>
    <row r="3651" ht="15.75" spans="1:2">
      <c r="A3651" s="9" t="s">
        <v>12157</v>
      </c>
      <c r="B3651" s="5" t="s">
        <v>16952</v>
      </c>
    </row>
    <row r="3652" ht="15.75" spans="1:2">
      <c r="A3652" s="9" t="s">
        <v>12160</v>
      </c>
      <c r="B3652" s="5" t="s">
        <v>16952</v>
      </c>
    </row>
    <row r="3653" ht="15.75" spans="1:2">
      <c r="A3653" s="9" t="s">
        <v>12163</v>
      </c>
      <c r="B3653" s="5" t="s">
        <v>16952</v>
      </c>
    </row>
    <row r="3654" ht="15.75" spans="1:2">
      <c r="A3654" s="9" t="s">
        <v>12166</v>
      </c>
      <c r="B3654" s="5" t="s">
        <v>16952</v>
      </c>
    </row>
    <row r="3655" ht="15.75" spans="1:2">
      <c r="A3655" s="9" t="s">
        <v>12170</v>
      </c>
      <c r="B3655" s="5" t="s">
        <v>16952</v>
      </c>
    </row>
    <row r="3656" ht="15.75" spans="1:2">
      <c r="A3656" s="9" t="s">
        <v>12173</v>
      </c>
      <c r="B3656" s="5" t="s">
        <v>16952</v>
      </c>
    </row>
    <row r="3657" ht="15.75" spans="1:2">
      <c r="A3657" s="9" t="s">
        <v>12176</v>
      </c>
      <c r="B3657" s="5" t="s">
        <v>16952</v>
      </c>
    </row>
    <row r="3658" ht="15.75" spans="1:2">
      <c r="A3658" s="9" t="s">
        <v>12179</v>
      </c>
      <c r="B3658" s="5" t="s">
        <v>16952</v>
      </c>
    </row>
    <row r="3659" ht="15.75" spans="1:2">
      <c r="A3659" s="9" t="s">
        <v>12182</v>
      </c>
      <c r="B3659" s="5" t="s">
        <v>16952</v>
      </c>
    </row>
    <row r="3660" ht="15.75" spans="1:2">
      <c r="A3660" s="9" t="s">
        <v>12185</v>
      </c>
      <c r="B3660" s="5" t="s">
        <v>16952</v>
      </c>
    </row>
    <row r="3661" ht="15.75" spans="1:2">
      <c r="A3661" s="9" t="s">
        <v>12188</v>
      </c>
      <c r="B3661" s="5" t="s">
        <v>16952</v>
      </c>
    </row>
    <row r="3662" ht="15.75" spans="1:2">
      <c r="A3662" s="9" t="s">
        <v>12191</v>
      </c>
      <c r="B3662" s="5" t="s">
        <v>16952</v>
      </c>
    </row>
    <row r="3663" ht="15.75" spans="1:2">
      <c r="A3663" s="9" t="s">
        <v>12194</v>
      </c>
      <c r="B3663" s="5" t="s">
        <v>16952</v>
      </c>
    </row>
    <row r="3664" ht="15.75" spans="1:2">
      <c r="A3664" s="9" t="s">
        <v>12197</v>
      </c>
      <c r="B3664" s="5" t="s">
        <v>16952</v>
      </c>
    </row>
    <row r="3665" ht="15.75" spans="1:2">
      <c r="A3665" s="9" t="s">
        <v>12200</v>
      </c>
      <c r="B3665" s="5" t="s">
        <v>16952</v>
      </c>
    </row>
    <row r="3666" ht="15.75" spans="1:2">
      <c r="A3666" s="9" t="s">
        <v>12204</v>
      </c>
      <c r="B3666" s="5" t="s">
        <v>16952</v>
      </c>
    </row>
    <row r="3667" ht="15.75" spans="1:2">
      <c r="A3667" s="9" t="s">
        <v>12208</v>
      </c>
      <c r="B3667" s="5" t="s">
        <v>16952</v>
      </c>
    </row>
    <row r="3668" ht="15.75" spans="1:2">
      <c r="A3668" s="9" t="s">
        <v>12212</v>
      </c>
      <c r="B3668" s="5" t="s">
        <v>16952</v>
      </c>
    </row>
    <row r="3669" ht="15.75" spans="1:2">
      <c r="A3669" s="9" t="s">
        <v>12215</v>
      </c>
      <c r="B3669" s="5" t="s">
        <v>16952</v>
      </c>
    </row>
    <row r="3670" ht="15.75" spans="1:2">
      <c r="A3670" s="9" t="s">
        <v>12219</v>
      </c>
      <c r="B3670" s="5" t="s">
        <v>16952</v>
      </c>
    </row>
    <row r="3671" ht="15.75" spans="1:2">
      <c r="A3671" s="9" t="s">
        <v>12222</v>
      </c>
      <c r="B3671" s="5" t="s">
        <v>16952</v>
      </c>
    </row>
    <row r="3672" ht="15.75" spans="1:2">
      <c r="A3672" s="9" t="s">
        <v>12225</v>
      </c>
      <c r="B3672" s="5" t="s">
        <v>16952</v>
      </c>
    </row>
    <row r="3673" ht="15.75" spans="1:2">
      <c r="A3673" s="9" t="s">
        <v>12229</v>
      </c>
      <c r="B3673" s="5" t="s">
        <v>16952</v>
      </c>
    </row>
    <row r="3674" ht="15.75" spans="1:2">
      <c r="A3674" s="9" t="s">
        <v>12232</v>
      </c>
      <c r="B3674" s="5" t="s">
        <v>16952</v>
      </c>
    </row>
    <row r="3675" ht="15.75" spans="1:2">
      <c r="A3675" s="9" t="s">
        <v>12235</v>
      </c>
      <c r="B3675" s="5" t="s">
        <v>16952</v>
      </c>
    </row>
    <row r="3676" ht="15.75" spans="1:2">
      <c r="A3676" s="9" t="s">
        <v>12238</v>
      </c>
      <c r="B3676" s="5" t="s">
        <v>16952</v>
      </c>
    </row>
    <row r="3677" ht="15.75" spans="1:2">
      <c r="A3677" s="9" t="s">
        <v>12241</v>
      </c>
      <c r="B3677" s="5" t="s">
        <v>16952</v>
      </c>
    </row>
    <row r="3678" ht="15.75" spans="1:2">
      <c r="A3678" s="9" t="s">
        <v>12244</v>
      </c>
      <c r="B3678" s="5" t="s">
        <v>16952</v>
      </c>
    </row>
    <row r="3679" ht="15.75" spans="1:2">
      <c r="A3679" s="9" t="s">
        <v>12247</v>
      </c>
      <c r="B3679" s="5" t="s">
        <v>16952</v>
      </c>
    </row>
    <row r="3680" ht="15.75" spans="1:2">
      <c r="A3680" s="9" t="s">
        <v>12251</v>
      </c>
      <c r="B3680" s="5" t="s">
        <v>16952</v>
      </c>
    </row>
    <row r="3681" ht="15.75" spans="1:2">
      <c r="A3681" s="9" t="s">
        <v>12254</v>
      </c>
      <c r="B3681" s="5" t="s">
        <v>16952</v>
      </c>
    </row>
    <row r="3682" ht="15.75" spans="1:2">
      <c r="A3682" s="9" t="s">
        <v>12257</v>
      </c>
      <c r="B3682" s="13" t="s">
        <v>16992</v>
      </c>
    </row>
    <row r="3683" ht="15.75" spans="1:2">
      <c r="A3683" s="9" t="s">
        <v>12261</v>
      </c>
      <c r="B3683" s="5" t="s">
        <v>16952</v>
      </c>
    </row>
    <row r="3684" ht="15.75" spans="1:2">
      <c r="A3684" s="9" t="s">
        <v>12264</v>
      </c>
      <c r="B3684" s="5" t="s">
        <v>16952</v>
      </c>
    </row>
    <row r="3685" ht="15.75" spans="1:2">
      <c r="A3685" s="9" t="s">
        <v>12267</v>
      </c>
      <c r="B3685" s="5" t="s">
        <v>16952</v>
      </c>
    </row>
    <row r="3686" ht="15.75" spans="1:2">
      <c r="A3686" s="9" t="s">
        <v>12270</v>
      </c>
      <c r="B3686" s="5" t="s">
        <v>16952</v>
      </c>
    </row>
    <row r="3687" ht="15.75" spans="1:2">
      <c r="A3687" s="9" t="s">
        <v>12273</v>
      </c>
      <c r="B3687" s="5" t="s">
        <v>16952</v>
      </c>
    </row>
    <row r="3688" ht="15.75" spans="1:2">
      <c r="A3688" s="9" t="s">
        <v>12276</v>
      </c>
      <c r="B3688" s="5" t="s">
        <v>16952</v>
      </c>
    </row>
    <row r="3689" ht="15.75" spans="1:2">
      <c r="A3689" s="9" t="s">
        <v>12279</v>
      </c>
      <c r="B3689" s="5" t="s">
        <v>16952</v>
      </c>
    </row>
    <row r="3690" ht="15.75" spans="1:2">
      <c r="A3690" s="9" t="s">
        <v>12282</v>
      </c>
      <c r="B3690" s="5" t="s">
        <v>16952</v>
      </c>
    </row>
    <row r="3691" ht="15.75" spans="1:2">
      <c r="A3691" s="9" t="s">
        <v>12285</v>
      </c>
      <c r="B3691" s="5" t="s">
        <v>16952</v>
      </c>
    </row>
    <row r="3692" ht="15.75" spans="1:2">
      <c r="A3692" s="9" t="s">
        <v>12289</v>
      </c>
      <c r="B3692" s="5" t="s">
        <v>16952</v>
      </c>
    </row>
    <row r="3693" ht="15.75" spans="1:2">
      <c r="A3693" s="9" t="s">
        <v>12292</v>
      </c>
      <c r="B3693" s="5" t="s">
        <v>16952</v>
      </c>
    </row>
    <row r="3694" ht="15.75" spans="1:2">
      <c r="A3694" s="9" t="s">
        <v>12295</v>
      </c>
      <c r="B3694" s="5" t="s">
        <v>16952</v>
      </c>
    </row>
    <row r="3695" ht="15.75" spans="1:2">
      <c r="A3695" s="9" t="s">
        <v>12299</v>
      </c>
      <c r="B3695" s="5" t="s">
        <v>16952</v>
      </c>
    </row>
    <row r="3696" ht="15.75" spans="1:2">
      <c r="A3696" s="9" t="s">
        <v>12301</v>
      </c>
      <c r="B3696" s="5" t="s">
        <v>16952</v>
      </c>
    </row>
    <row r="3697" ht="15.75" spans="1:2">
      <c r="A3697" s="9" t="s">
        <v>12305</v>
      </c>
      <c r="B3697" s="5" t="s">
        <v>16952</v>
      </c>
    </row>
    <row r="3698" ht="15.75" spans="1:2">
      <c r="A3698" s="9" t="s">
        <v>12308</v>
      </c>
      <c r="B3698" s="5" t="s">
        <v>16952</v>
      </c>
    </row>
    <row r="3699" ht="15.75" spans="1:2">
      <c r="A3699" s="9" t="s">
        <v>12311</v>
      </c>
      <c r="B3699" s="5" t="s">
        <v>16952</v>
      </c>
    </row>
    <row r="3700" ht="15.75" spans="1:2">
      <c r="A3700" s="9" t="s">
        <v>12314</v>
      </c>
      <c r="B3700" s="5" t="s">
        <v>16952</v>
      </c>
    </row>
    <row r="3701" ht="15.75" spans="1:2">
      <c r="A3701" s="9" t="s">
        <v>12318</v>
      </c>
      <c r="B3701" s="5" t="s">
        <v>16952</v>
      </c>
    </row>
    <row r="3702" ht="15.75" spans="1:2">
      <c r="A3702" s="9" t="s">
        <v>12322</v>
      </c>
      <c r="B3702" s="5" t="s">
        <v>16952</v>
      </c>
    </row>
    <row r="3703" ht="15.75" spans="1:2">
      <c r="A3703" s="9" t="s">
        <v>12325</v>
      </c>
      <c r="B3703" s="5" t="s">
        <v>16952</v>
      </c>
    </row>
    <row r="3704" ht="15.75" spans="1:2">
      <c r="A3704" s="9" t="s">
        <v>12329</v>
      </c>
      <c r="B3704" s="5" t="s">
        <v>16952</v>
      </c>
    </row>
    <row r="3705" ht="15.75" spans="1:2">
      <c r="A3705" s="9" t="s">
        <v>12333</v>
      </c>
      <c r="B3705" s="5" t="s">
        <v>16952</v>
      </c>
    </row>
    <row r="3706" ht="15.75" spans="1:2">
      <c r="A3706" s="9" t="s">
        <v>12336</v>
      </c>
      <c r="B3706" s="5" t="s">
        <v>16952</v>
      </c>
    </row>
    <row r="3707" ht="15.75" spans="1:2">
      <c r="A3707" s="9" t="s">
        <v>12340</v>
      </c>
      <c r="B3707" s="5" t="s">
        <v>16952</v>
      </c>
    </row>
    <row r="3708" ht="15.75" spans="1:2">
      <c r="A3708" s="9" t="s">
        <v>12343</v>
      </c>
      <c r="B3708" s="5" t="s">
        <v>16952</v>
      </c>
    </row>
    <row r="3709" ht="15.75" spans="1:2">
      <c r="A3709" s="9" t="s">
        <v>12347</v>
      </c>
      <c r="B3709" s="5" t="s">
        <v>16952</v>
      </c>
    </row>
    <row r="3710" ht="15.75" spans="1:2">
      <c r="A3710" s="9" t="s">
        <v>12351</v>
      </c>
      <c r="B3710" s="5" t="s">
        <v>16952</v>
      </c>
    </row>
    <row r="3711" ht="15.75" spans="1:2">
      <c r="A3711" s="9" t="s">
        <v>12354</v>
      </c>
      <c r="B3711" s="5" t="s">
        <v>16952</v>
      </c>
    </row>
    <row r="3712" ht="15.75" spans="1:2">
      <c r="A3712" s="9" t="s">
        <v>12358</v>
      </c>
      <c r="B3712" s="5" t="s">
        <v>16952</v>
      </c>
    </row>
    <row r="3713" ht="15.75" spans="1:2">
      <c r="A3713" s="9" t="s">
        <v>12361</v>
      </c>
      <c r="B3713" s="5" t="s">
        <v>16952</v>
      </c>
    </row>
    <row r="3714" ht="15.75" spans="1:2">
      <c r="A3714" s="9" t="s">
        <v>12364</v>
      </c>
      <c r="B3714" s="5" t="s">
        <v>16952</v>
      </c>
    </row>
    <row r="3715" ht="15.75" spans="1:2">
      <c r="A3715" s="9" t="s">
        <v>12367</v>
      </c>
      <c r="B3715" s="5" t="s">
        <v>16952</v>
      </c>
    </row>
    <row r="3716" ht="15.75" spans="1:2">
      <c r="A3716" s="9" t="s">
        <v>12371</v>
      </c>
      <c r="B3716" s="5" t="s">
        <v>16952</v>
      </c>
    </row>
    <row r="3717" ht="15.75" spans="1:2">
      <c r="A3717" s="9" t="s">
        <v>12374</v>
      </c>
      <c r="B3717" s="5" t="s">
        <v>16952</v>
      </c>
    </row>
    <row r="3718" ht="15.75" spans="1:2">
      <c r="A3718" s="9" t="s">
        <v>12378</v>
      </c>
      <c r="B3718" s="5" t="s">
        <v>16952</v>
      </c>
    </row>
    <row r="3719" ht="15.75" spans="1:2">
      <c r="A3719" s="9" t="s">
        <v>12381</v>
      </c>
      <c r="B3719" s="5" t="s">
        <v>16952</v>
      </c>
    </row>
    <row r="3720" ht="15.75" spans="1:2">
      <c r="A3720" s="9" t="s">
        <v>12384</v>
      </c>
      <c r="B3720" s="5" t="s">
        <v>16952</v>
      </c>
    </row>
    <row r="3721" ht="15.75" spans="1:2">
      <c r="A3721" s="9" t="s">
        <v>12388</v>
      </c>
      <c r="B3721" s="5" t="s">
        <v>16952</v>
      </c>
    </row>
    <row r="3722" ht="15.75" spans="1:2">
      <c r="A3722" s="9" t="s">
        <v>12391</v>
      </c>
      <c r="B3722" s="5" t="s">
        <v>16952</v>
      </c>
    </row>
    <row r="3723" ht="15.75" spans="1:2">
      <c r="A3723" s="9" t="s">
        <v>12394</v>
      </c>
      <c r="B3723" s="5" t="s">
        <v>16952</v>
      </c>
    </row>
    <row r="3724" ht="15.75" spans="1:2">
      <c r="A3724" s="9" t="s">
        <v>12397</v>
      </c>
      <c r="B3724" s="5" t="s">
        <v>16952</v>
      </c>
    </row>
    <row r="3725" ht="15.75" spans="1:2">
      <c r="A3725" s="9" t="s">
        <v>12400</v>
      </c>
      <c r="B3725" s="5" t="s">
        <v>16952</v>
      </c>
    </row>
    <row r="3726" ht="15.75" spans="1:2">
      <c r="A3726" s="9" t="s">
        <v>12403</v>
      </c>
      <c r="B3726" s="5" t="s">
        <v>16952</v>
      </c>
    </row>
    <row r="3727" ht="15.75" spans="1:2">
      <c r="A3727" s="9" t="s">
        <v>12406</v>
      </c>
      <c r="B3727" s="5" t="s">
        <v>16952</v>
      </c>
    </row>
    <row r="3728" ht="15.75" spans="1:2">
      <c r="A3728" s="9" t="s">
        <v>12409</v>
      </c>
      <c r="B3728" s="5" t="s">
        <v>16952</v>
      </c>
    </row>
    <row r="3729" ht="15.75" spans="1:2">
      <c r="A3729" s="9" t="s">
        <v>12412</v>
      </c>
      <c r="B3729" s="5" t="s">
        <v>16952</v>
      </c>
    </row>
    <row r="3730" ht="15.75" spans="1:2">
      <c r="A3730" s="9" t="s">
        <v>12415</v>
      </c>
      <c r="B3730" s="5" t="s">
        <v>16952</v>
      </c>
    </row>
    <row r="3731" ht="15.75" spans="1:2">
      <c r="A3731" s="9" t="s">
        <v>12418</v>
      </c>
      <c r="B3731" s="5" t="s">
        <v>16952</v>
      </c>
    </row>
    <row r="3732" ht="15.75" spans="1:2">
      <c r="A3732" s="9" t="s">
        <v>12421</v>
      </c>
      <c r="B3732" s="5" t="s">
        <v>16952</v>
      </c>
    </row>
    <row r="3733" ht="15.75" spans="1:2">
      <c r="A3733" s="9" t="s">
        <v>12424</v>
      </c>
      <c r="B3733" s="5" t="s">
        <v>16952</v>
      </c>
    </row>
    <row r="3734" ht="15.75" spans="1:2">
      <c r="A3734" s="9" t="s">
        <v>12429</v>
      </c>
      <c r="B3734" s="5" t="s">
        <v>16952</v>
      </c>
    </row>
    <row r="3735" ht="15.75" spans="1:2">
      <c r="A3735" s="9" t="s">
        <v>12433</v>
      </c>
      <c r="B3735" s="5" t="s">
        <v>16952</v>
      </c>
    </row>
    <row r="3736" ht="15.75" spans="1:2">
      <c r="A3736" s="9" t="s">
        <v>12436</v>
      </c>
      <c r="B3736" s="5" t="s">
        <v>16952</v>
      </c>
    </row>
    <row r="3737" ht="15.75" spans="1:2">
      <c r="A3737" s="9" t="s">
        <v>12439</v>
      </c>
      <c r="B3737" s="5" t="s">
        <v>16952</v>
      </c>
    </row>
    <row r="3738" ht="15.75" spans="1:2">
      <c r="A3738" s="9" t="s">
        <v>12442</v>
      </c>
      <c r="B3738" s="5" t="s">
        <v>16952</v>
      </c>
    </row>
    <row r="3739" ht="15.75" spans="1:2">
      <c r="A3739" s="9" t="s">
        <v>12445</v>
      </c>
      <c r="B3739" s="5" t="s">
        <v>16952</v>
      </c>
    </row>
    <row r="3740" ht="15.75" spans="1:2">
      <c r="A3740" s="9" t="s">
        <v>12448</v>
      </c>
      <c r="B3740" s="5" t="s">
        <v>16952</v>
      </c>
    </row>
    <row r="3741" ht="15.75" spans="1:2">
      <c r="A3741" s="9" t="s">
        <v>12451</v>
      </c>
      <c r="B3741" s="5" t="s">
        <v>16952</v>
      </c>
    </row>
    <row r="3742" ht="15.75" spans="1:2">
      <c r="A3742" s="9" t="s">
        <v>12454</v>
      </c>
      <c r="B3742" s="5" t="s">
        <v>16952</v>
      </c>
    </row>
    <row r="3743" ht="15.75" spans="1:2">
      <c r="A3743" s="9" t="s">
        <v>12457</v>
      </c>
      <c r="B3743" s="5" t="s">
        <v>16952</v>
      </c>
    </row>
    <row r="3744" ht="15.75" spans="1:2">
      <c r="A3744" s="9" t="s">
        <v>12461</v>
      </c>
      <c r="B3744" s="5" t="s">
        <v>16952</v>
      </c>
    </row>
    <row r="3745" ht="15.75" spans="1:2">
      <c r="A3745" s="9" t="s">
        <v>12465</v>
      </c>
      <c r="B3745" s="5" t="s">
        <v>16952</v>
      </c>
    </row>
    <row r="3746" ht="15.75" spans="1:2">
      <c r="A3746" s="9" t="s">
        <v>12468</v>
      </c>
      <c r="B3746" s="5" t="s">
        <v>16952</v>
      </c>
    </row>
    <row r="3747" ht="15.75" spans="1:2">
      <c r="A3747" s="9" t="s">
        <v>12471</v>
      </c>
      <c r="B3747" s="5" t="s">
        <v>16952</v>
      </c>
    </row>
    <row r="3748" ht="15.75" spans="1:2">
      <c r="A3748" s="9" t="s">
        <v>12474</v>
      </c>
      <c r="B3748" s="5" t="s">
        <v>16952</v>
      </c>
    </row>
    <row r="3749" ht="15.75" spans="1:2">
      <c r="A3749" s="9" t="s">
        <v>12477</v>
      </c>
      <c r="B3749" s="5" t="s">
        <v>16952</v>
      </c>
    </row>
    <row r="3750" ht="15.75" spans="1:2">
      <c r="A3750" s="9" t="s">
        <v>12480</v>
      </c>
      <c r="B3750" s="5" t="s">
        <v>16952</v>
      </c>
    </row>
    <row r="3751" ht="15.75" spans="1:2">
      <c r="A3751" s="9" t="s">
        <v>12483</v>
      </c>
      <c r="B3751" s="5" t="s">
        <v>16952</v>
      </c>
    </row>
    <row r="3752" ht="15.75" spans="1:2">
      <c r="A3752" s="9" t="s">
        <v>12486</v>
      </c>
      <c r="B3752" s="5" t="s">
        <v>16952</v>
      </c>
    </row>
    <row r="3753" ht="15.75" spans="1:2">
      <c r="A3753" s="9" t="s">
        <v>12489</v>
      </c>
      <c r="B3753" s="5" t="s">
        <v>16952</v>
      </c>
    </row>
    <row r="3754" ht="15.75" spans="1:2">
      <c r="A3754" s="9" t="s">
        <v>12492</v>
      </c>
      <c r="B3754" s="5" t="s">
        <v>16952</v>
      </c>
    </row>
    <row r="3755" ht="15.75" spans="1:2">
      <c r="A3755" s="9" t="s">
        <v>12495</v>
      </c>
      <c r="B3755" s="5" t="s">
        <v>16952</v>
      </c>
    </row>
    <row r="3756" ht="15.75" spans="1:2">
      <c r="A3756" s="9" t="s">
        <v>12499</v>
      </c>
      <c r="B3756" s="5" t="s">
        <v>16952</v>
      </c>
    </row>
    <row r="3757" ht="15.75" spans="1:2">
      <c r="A3757" s="9" t="s">
        <v>12503</v>
      </c>
      <c r="B3757" s="5" t="s">
        <v>16952</v>
      </c>
    </row>
    <row r="3758" ht="15.75" spans="1:2">
      <c r="A3758" s="9" t="s">
        <v>12507</v>
      </c>
      <c r="B3758" s="5" t="s">
        <v>16952</v>
      </c>
    </row>
    <row r="3759" ht="15.75" spans="1:2">
      <c r="A3759" s="9" t="s">
        <v>12511</v>
      </c>
      <c r="B3759" s="5" t="s">
        <v>16952</v>
      </c>
    </row>
    <row r="3760" ht="15.75" spans="1:2">
      <c r="A3760" s="9" t="s">
        <v>12515</v>
      </c>
      <c r="B3760" s="5" t="s">
        <v>16952</v>
      </c>
    </row>
    <row r="3761" ht="15.75" spans="1:2">
      <c r="A3761" s="9" t="s">
        <v>12518</v>
      </c>
      <c r="B3761" s="5" t="s">
        <v>16952</v>
      </c>
    </row>
    <row r="3762" ht="15.75" spans="1:2">
      <c r="A3762" s="9" t="s">
        <v>12521</v>
      </c>
      <c r="B3762" s="5" t="s">
        <v>16952</v>
      </c>
    </row>
    <row r="3763" ht="15.75" spans="1:2">
      <c r="A3763" s="9" t="s">
        <v>12525</v>
      </c>
      <c r="B3763" s="5" t="s">
        <v>16952</v>
      </c>
    </row>
    <row r="3764" ht="15.75" spans="1:2">
      <c r="A3764" s="9" t="s">
        <v>12530</v>
      </c>
      <c r="B3764" s="5" t="s">
        <v>16952</v>
      </c>
    </row>
    <row r="3765" ht="15.75" spans="1:2">
      <c r="A3765" s="9" t="s">
        <v>12533</v>
      </c>
      <c r="B3765" s="5" t="s">
        <v>16952</v>
      </c>
    </row>
    <row r="3766" ht="15.75" spans="1:2">
      <c r="A3766" s="9" t="s">
        <v>12536</v>
      </c>
      <c r="B3766" s="5" t="s">
        <v>16952</v>
      </c>
    </row>
    <row r="3767" ht="15.75" spans="1:2">
      <c r="A3767" s="9" t="s">
        <v>12539</v>
      </c>
      <c r="B3767" s="5" t="s">
        <v>16952</v>
      </c>
    </row>
    <row r="3768" ht="15.75" spans="1:2">
      <c r="A3768" s="9" t="s">
        <v>12542</v>
      </c>
      <c r="B3768" s="5" t="s">
        <v>16952</v>
      </c>
    </row>
    <row r="3769" ht="15.75" spans="1:2">
      <c r="A3769" s="9" t="s">
        <v>12546</v>
      </c>
      <c r="B3769" s="5" t="s">
        <v>16952</v>
      </c>
    </row>
    <row r="3770" ht="15.75" spans="1:2">
      <c r="A3770" s="9" t="s">
        <v>12549</v>
      </c>
      <c r="B3770" s="5" t="s">
        <v>16952</v>
      </c>
    </row>
    <row r="3771" ht="15.75" spans="1:2">
      <c r="A3771" s="9" t="s">
        <v>12552</v>
      </c>
      <c r="B3771" s="5" t="s">
        <v>16952</v>
      </c>
    </row>
    <row r="3772" ht="15.75" spans="1:2">
      <c r="A3772" s="9" t="s">
        <v>12555</v>
      </c>
      <c r="B3772" s="5" t="s">
        <v>16952</v>
      </c>
    </row>
    <row r="3773" ht="15.75" spans="1:2">
      <c r="A3773" s="9" t="s">
        <v>12558</v>
      </c>
      <c r="B3773" s="5" t="s">
        <v>16952</v>
      </c>
    </row>
    <row r="3774" ht="15.75" spans="1:2">
      <c r="A3774" s="9" t="s">
        <v>12561</v>
      </c>
      <c r="B3774" s="5" t="s">
        <v>16952</v>
      </c>
    </row>
    <row r="3775" ht="15.75" spans="1:2">
      <c r="A3775" s="9" t="s">
        <v>12565</v>
      </c>
      <c r="B3775" s="5" t="s">
        <v>16952</v>
      </c>
    </row>
    <row r="3776" ht="15.75" spans="1:2">
      <c r="A3776" s="9" t="s">
        <v>12569</v>
      </c>
      <c r="B3776" s="5" t="s">
        <v>16952</v>
      </c>
    </row>
    <row r="3777" ht="15.75" spans="1:2">
      <c r="A3777" s="9" t="s">
        <v>12572</v>
      </c>
      <c r="B3777" s="5" t="s">
        <v>16952</v>
      </c>
    </row>
    <row r="3778" ht="15.75" spans="1:2">
      <c r="A3778" s="9" t="s">
        <v>12575</v>
      </c>
      <c r="B3778" s="5" t="s">
        <v>16952</v>
      </c>
    </row>
    <row r="3779" ht="15.75" spans="1:2">
      <c r="A3779" s="9" t="s">
        <v>12580</v>
      </c>
      <c r="B3779" s="5" t="s">
        <v>16952</v>
      </c>
    </row>
    <row r="3780" ht="15.75" spans="1:2">
      <c r="A3780" s="9" t="s">
        <v>12583</v>
      </c>
      <c r="B3780" s="5" t="s">
        <v>16952</v>
      </c>
    </row>
    <row r="3781" ht="15.75" spans="1:2">
      <c r="A3781" s="9" t="s">
        <v>12587</v>
      </c>
      <c r="B3781" s="5" t="s">
        <v>16952</v>
      </c>
    </row>
    <row r="3782" ht="15.75" spans="1:2">
      <c r="A3782" s="9" t="s">
        <v>12592</v>
      </c>
      <c r="B3782" s="5" t="s">
        <v>16952</v>
      </c>
    </row>
    <row r="3783" ht="15.75" spans="1:2">
      <c r="A3783" s="9" t="s">
        <v>12596</v>
      </c>
      <c r="B3783" s="5" t="s">
        <v>16952</v>
      </c>
    </row>
    <row r="3784" ht="15.75" spans="1:2">
      <c r="A3784" s="9" t="s">
        <v>12600</v>
      </c>
      <c r="B3784" s="5" t="s">
        <v>16952</v>
      </c>
    </row>
    <row r="3785" ht="15.75" spans="1:2">
      <c r="A3785" s="9" t="s">
        <v>12604</v>
      </c>
      <c r="B3785" s="5" t="s">
        <v>16952</v>
      </c>
    </row>
    <row r="3786" ht="15.75" spans="1:2">
      <c r="A3786" s="9" t="s">
        <v>12607</v>
      </c>
      <c r="B3786" s="5" t="s">
        <v>16952</v>
      </c>
    </row>
    <row r="3787" ht="15.75" spans="1:2">
      <c r="A3787" s="9" t="s">
        <v>12611</v>
      </c>
      <c r="B3787" s="5" t="s">
        <v>16952</v>
      </c>
    </row>
    <row r="3788" ht="15.75" spans="1:2">
      <c r="A3788" s="9" t="s">
        <v>12615</v>
      </c>
      <c r="B3788" s="5" t="s">
        <v>16952</v>
      </c>
    </row>
    <row r="3789" ht="15.75" spans="1:2">
      <c r="A3789" s="9" t="s">
        <v>12619</v>
      </c>
      <c r="B3789" s="10" t="s">
        <v>16952</v>
      </c>
    </row>
    <row r="3790" ht="15.75" spans="1:2">
      <c r="A3790" s="9" t="s">
        <v>12619</v>
      </c>
      <c r="B3790" s="10" t="s">
        <v>16952</v>
      </c>
    </row>
    <row r="3791" ht="15.75" spans="1:2">
      <c r="A3791" s="9" t="s">
        <v>12619</v>
      </c>
      <c r="B3791" s="10" t="s">
        <v>16952</v>
      </c>
    </row>
    <row r="3792" ht="15.75" spans="1:2">
      <c r="A3792" s="9" t="s">
        <v>12624</v>
      </c>
      <c r="B3792" s="5" t="s">
        <v>16952</v>
      </c>
    </row>
    <row r="3793" ht="15.75" spans="1:2">
      <c r="A3793" s="9" t="s">
        <v>12628</v>
      </c>
      <c r="B3793" s="5" t="s">
        <v>16952</v>
      </c>
    </row>
    <row r="3794" ht="15.75" spans="1:2">
      <c r="A3794" s="9" t="s">
        <v>12632</v>
      </c>
      <c r="B3794" s="5" t="s">
        <v>16952</v>
      </c>
    </row>
    <row r="3795" ht="15.75" spans="1:2">
      <c r="A3795" s="9" t="s">
        <v>12635</v>
      </c>
      <c r="B3795" s="5" t="s">
        <v>16952</v>
      </c>
    </row>
    <row r="3796" ht="15.75" spans="1:2">
      <c r="A3796" s="9" t="s">
        <v>12639</v>
      </c>
      <c r="B3796" s="5" t="s">
        <v>16952</v>
      </c>
    </row>
    <row r="3797" ht="15.75" spans="1:2">
      <c r="A3797" s="9" t="s">
        <v>12642</v>
      </c>
      <c r="B3797" s="5" t="s">
        <v>16952</v>
      </c>
    </row>
    <row r="3798" ht="15.75" spans="1:2">
      <c r="A3798" s="9" t="s">
        <v>12646</v>
      </c>
      <c r="B3798" s="10" t="s">
        <v>16952</v>
      </c>
    </row>
    <row r="3799" ht="15.75" spans="1:2">
      <c r="A3799" s="9" t="s">
        <v>12646</v>
      </c>
      <c r="B3799" s="10" t="s">
        <v>16952</v>
      </c>
    </row>
    <row r="3800" ht="15.75" spans="1:2">
      <c r="A3800" s="9" t="s">
        <v>12651</v>
      </c>
      <c r="B3800" s="5" t="s">
        <v>16952</v>
      </c>
    </row>
    <row r="3801" ht="15.75" spans="1:2">
      <c r="A3801" s="9" t="s">
        <v>12655</v>
      </c>
      <c r="B3801" s="5" t="s">
        <v>16952</v>
      </c>
    </row>
    <row r="3802" ht="15.75" spans="1:2">
      <c r="A3802" s="9" t="s">
        <v>12658</v>
      </c>
      <c r="B3802" s="5" t="s">
        <v>16952</v>
      </c>
    </row>
    <row r="3803" ht="15.75" spans="1:2">
      <c r="A3803" s="9" t="s">
        <v>12662</v>
      </c>
      <c r="B3803" s="5" t="s">
        <v>16952</v>
      </c>
    </row>
    <row r="3804" ht="15.75" spans="1:2">
      <c r="A3804" s="9" t="s">
        <v>12666</v>
      </c>
      <c r="B3804" s="5" t="s">
        <v>16952</v>
      </c>
    </row>
    <row r="3805" ht="15.75" spans="1:2">
      <c r="A3805" s="9" t="s">
        <v>12669</v>
      </c>
      <c r="B3805" s="5" t="s">
        <v>16952</v>
      </c>
    </row>
    <row r="3806" ht="15.75" spans="1:2">
      <c r="A3806" s="9" t="s">
        <v>12673</v>
      </c>
      <c r="B3806" s="5" t="s">
        <v>16952</v>
      </c>
    </row>
    <row r="3807" ht="15.75" spans="1:2">
      <c r="A3807" s="9" t="s">
        <v>12676</v>
      </c>
      <c r="B3807" s="5" t="s">
        <v>16952</v>
      </c>
    </row>
    <row r="3808" ht="15.75" spans="1:2">
      <c r="A3808" s="9" t="s">
        <v>12679</v>
      </c>
      <c r="B3808" s="5" t="s">
        <v>16952</v>
      </c>
    </row>
    <row r="3809" ht="15.75" spans="1:2">
      <c r="A3809" s="9" t="s">
        <v>12683</v>
      </c>
      <c r="B3809" s="5" t="s">
        <v>16952</v>
      </c>
    </row>
    <row r="3810" ht="15.75" spans="1:2">
      <c r="A3810" s="9" t="s">
        <v>12687</v>
      </c>
      <c r="B3810" s="5" t="s">
        <v>16952</v>
      </c>
    </row>
    <row r="3811" ht="15.75" spans="1:2">
      <c r="A3811" s="9" t="s">
        <v>12691</v>
      </c>
      <c r="B3811" s="5" t="s">
        <v>16952</v>
      </c>
    </row>
    <row r="3812" ht="15.75" spans="1:2">
      <c r="A3812" s="9" t="s">
        <v>12694</v>
      </c>
      <c r="B3812" s="5" t="s">
        <v>16952</v>
      </c>
    </row>
    <row r="3813" ht="15.75" spans="1:2">
      <c r="A3813" s="9" t="s">
        <v>12698</v>
      </c>
      <c r="B3813" s="5" t="s">
        <v>16952</v>
      </c>
    </row>
    <row r="3814" ht="15.75" spans="1:2">
      <c r="A3814" s="9" t="s">
        <v>12701</v>
      </c>
      <c r="B3814" s="5" t="s">
        <v>16952</v>
      </c>
    </row>
    <row r="3815" ht="15.75" spans="1:2">
      <c r="A3815" s="9" t="s">
        <v>12705</v>
      </c>
      <c r="B3815" s="5" t="s">
        <v>16952</v>
      </c>
    </row>
    <row r="3816" ht="15.75" spans="1:2">
      <c r="A3816" s="9" t="s">
        <v>12710</v>
      </c>
      <c r="B3816" s="5" t="s">
        <v>16952</v>
      </c>
    </row>
    <row r="3817" ht="15.75" spans="1:2">
      <c r="A3817" s="9" t="s">
        <v>12713</v>
      </c>
      <c r="B3817" s="5" t="s">
        <v>16952</v>
      </c>
    </row>
    <row r="3818" ht="15.75" spans="1:2">
      <c r="A3818" s="9" t="s">
        <v>12716</v>
      </c>
      <c r="B3818" s="5" t="s">
        <v>16952</v>
      </c>
    </row>
    <row r="3819" ht="15.75" spans="1:2">
      <c r="A3819" s="9" t="s">
        <v>12721</v>
      </c>
      <c r="B3819" s="5" t="s">
        <v>16952</v>
      </c>
    </row>
    <row r="3820" ht="15.75" spans="1:2">
      <c r="A3820" s="9" t="s">
        <v>12726</v>
      </c>
      <c r="B3820" s="5" t="s">
        <v>16952</v>
      </c>
    </row>
    <row r="3821" ht="15.75" spans="1:2">
      <c r="A3821" s="9" t="s">
        <v>12731</v>
      </c>
      <c r="B3821" s="5" t="s">
        <v>16952</v>
      </c>
    </row>
    <row r="3822" ht="15.75" spans="1:2">
      <c r="A3822" s="9" t="s">
        <v>12734</v>
      </c>
      <c r="B3822" s="5" t="s">
        <v>16952</v>
      </c>
    </row>
    <row r="3823" ht="15.75" spans="1:2">
      <c r="A3823" s="9" t="s">
        <v>12737</v>
      </c>
      <c r="B3823" s="5" t="s">
        <v>16952</v>
      </c>
    </row>
    <row r="3824" ht="15.75" spans="1:2">
      <c r="A3824" s="9" t="s">
        <v>12742</v>
      </c>
      <c r="B3824" s="5" t="s">
        <v>16952</v>
      </c>
    </row>
    <row r="3825" ht="15.75" spans="1:2">
      <c r="A3825" s="9" t="s">
        <v>12746</v>
      </c>
      <c r="B3825" s="5" t="s">
        <v>16952</v>
      </c>
    </row>
    <row r="3826" ht="15.75" spans="1:2">
      <c r="A3826" s="9" t="s">
        <v>12750</v>
      </c>
      <c r="B3826" s="11"/>
    </row>
    <row r="3827" ht="15.75" spans="1:2">
      <c r="A3827" s="9" t="s">
        <v>12751</v>
      </c>
      <c r="B3827" s="12"/>
    </row>
    <row r="3828" ht="15.75" spans="1:2">
      <c r="A3828" s="9" t="s">
        <v>12751</v>
      </c>
      <c r="B3828" s="12"/>
    </row>
    <row r="3829" ht="15.75" spans="1:2">
      <c r="A3829" s="9" t="s">
        <v>12752</v>
      </c>
      <c r="B3829" s="5"/>
    </row>
    <row r="3830" ht="15.75" spans="1:2">
      <c r="A3830" s="9" t="s">
        <v>12756</v>
      </c>
      <c r="B3830" s="5" t="s">
        <v>16952</v>
      </c>
    </row>
    <row r="3831" ht="15.75" spans="1:2">
      <c r="A3831" s="9" t="s">
        <v>12759</v>
      </c>
      <c r="B3831" s="5" t="s">
        <v>16952</v>
      </c>
    </row>
    <row r="3832" ht="15.75" spans="1:2">
      <c r="A3832" s="9" t="s">
        <v>12764</v>
      </c>
      <c r="B3832" s="5" t="s">
        <v>16952</v>
      </c>
    </row>
    <row r="3833" ht="15.75" spans="1:2">
      <c r="A3833" s="9" t="s">
        <v>12767</v>
      </c>
      <c r="B3833" s="5" t="s">
        <v>16952</v>
      </c>
    </row>
    <row r="3834" ht="15.75" spans="1:2">
      <c r="A3834" s="9" t="s">
        <v>12770</v>
      </c>
      <c r="B3834" s="5" t="s">
        <v>16952</v>
      </c>
    </row>
    <row r="3835" ht="15.75" spans="1:2">
      <c r="A3835" s="9" t="s">
        <v>12774</v>
      </c>
      <c r="B3835" s="5" t="s">
        <v>16952</v>
      </c>
    </row>
    <row r="3836" ht="15.75" spans="1:2">
      <c r="A3836" s="9" t="s">
        <v>12777</v>
      </c>
      <c r="B3836" s="5" t="s">
        <v>16952</v>
      </c>
    </row>
    <row r="3837" ht="15.75" spans="1:2">
      <c r="A3837" s="9" t="s">
        <v>12781</v>
      </c>
      <c r="B3837" s="5" t="s">
        <v>16952</v>
      </c>
    </row>
    <row r="3838" ht="15.75" spans="1:2">
      <c r="A3838" s="9" t="s">
        <v>12784</v>
      </c>
      <c r="B3838" s="5" t="s">
        <v>16952</v>
      </c>
    </row>
    <row r="3839" ht="15.75" spans="1:2">
      <c r="A3839" s="9" t="s">
        <v>12789</v>
      </c>
      <c r="B3839" s="5" t="s">
        <v>16952</v>
      </c>
    </row>
    <row r="3840" ht="15.75" spans="1:2">
      <c r="A3840" s="9" t="s">
        <v>12792</v>
      </c>
      <c r="B3840" s="5" t="s">
        <v>16952</v>
      </c>
    </row>
    <row r="3841" ht="15.75" spans="1:2">
      <c r="A3841" s="9" t="s">
        <v>12796</v>
      </c>
      <c r="B3841" s="5" t="s">
        <v>16952</v>
      </c>
    </row>
    <row r="3842" ht="15.75" spans="1:2">
      <c r="A3842" s="9" t="s">
        <v>12799</v>
      </c>
      <c r="B3842" s="5" t="s">
        <v>16952</v>
      </c>
    </row>
    <row r="3843" ht="15.75" spans="1:2">
      <c r="A3843" s="9" t="s">
        <v>12803</v>
      </c>
      <c r="B3843" s="5" t="s">
        <v>16952</v>
      </c>
    </row>
    <row r="3844" ht="15.75" spans="1:2">
      <c r="A3844" s="9" t="s">
        <v>12807</v>
      </c>
      <c r="B3844" s="5" t="s">
        <v>16952</v>
      </c>
    </row>
    <row r="3845" ht="15.75" spans="1:2">
      <c r="A3845" s="9" t="s">
        <v>12810</v>
      </c>
      <c r="B3845" s="5" t="s">
        <v>16952</v>
      </c>
    </row>
    <row r="3846" ht="15.75" spans="1:2">
      <c r="A3846" s="9" t="s">
        <v>12814</v>
      </c>
      <c r="B3846" s="5" t="s">
        <v>16952</v>
      </c>
    </row>
    <row r="3847" ht="15.75" spans="1:2">
      <c r="A3847" s="9" t="s">
        <v>12817</v>
      </c>
      <c r="B3847" s="5" t="s">
        <v>16952</v>
      </c>
    </row>
    <row r="3848" ht="15.75" spans="1:2">
      <c r="A3848" s="9" t="s">
        <v>12821</v>
      </c>
      <c r="B3848" s="5" t="s">
        <v>16952</v>
      </c>
    </row>
    <row r="3849" ht="15.75" spans="1:2">
      <c r="A3849" s="9" t="s">
        <v>12824</v>
      </c>
      <c r="B3849" s="5" t="s">
        <v>16952</v>
      </c>
    </row>
    <row r="3850" ht="15.75" spans="1:2">
      <c r="A3850" s="9" t="s">
        <v>12827</v>
      </c>
      <c r="B3850" s="5" t="s">
        <v>16952</v>
      </c>
    </row>
    <row r="3851" ht="15.75" spans="1:2">
      <c r="A3851" s="9" t="s">
        <v>12830</v>
      </c>
      <c r="B3851" s="5" t="s">
        <v>16952</v>
      </c>
    </row>
    <row r="3852" ht="15.75" spans="1:2">
      <c r="A3852" s="9" t="s">
        <v>12833</v>
      </c>
      <c r="B3852" s="5" t="s">
        <v>16952</v>
      </c>
    </row>
    <row r="3853" ht="15.75" spans="1:2">
      <c r="A3853" s="9" t="s">
        <v>12836</v>
      </c>
      <c r="B3853" s="5" t="s">
        <v>16952</v>
      </c>
    </row>
    <row r="3854" ht="15.75" spans="1:2">
      <c r="A3854" s="9" t="s">
        <v>12839</v>
      </c>
      <c r="B3854" s="5" t="s">
        <v>16952</v>
      </c>
    </row>
    <row r="3855" ht="15.75" spans="1:2">
      <c r="A3855" s="9" t="s">
        <v>12842</v>
      </c>
      <c r="B3855" s="5" t="s">
        <v>16952</v>
      </c>
    </row>
    <row r="3856" ht="15.75" spans="1:2">
      <c r="A3856" s="9" t="s">
        <v>12845</v>
      </c>
      <c r="B3856" s="5" t="s">
        <v>16952</v>
      </c>
    </row>
    <row r="3857" ht="15.75" spans="1:2">
      <c r="A3857" s="9" t="s">
        <v>12849</v>
      </c>
      <c r="B3857" s="5" t="s">
        <v>16952</v>
      </c>
    </row>
    <row r="3858" ht="15.75" spans="1:2">
      <c r="A3858" s="9" t="s">
        <v>12852</v>
      </c>
      <c r="B3858" s="5" t="s">
        <v>16952</v>
      </c>
    </row>
    <row r="3859" ht="15.75" spans="1:2">
      <c r="A3859" s="9" t="s">
        <v>12856</v>
      </c>
      <c r="B3859" s="5" t="s">
        <v>16952</v>
      </c>
    </row>
    <row r="3860" ht="15.75" spans="1:2">
      <c r="A3860" s="9" t="s">
        <v>12860</v>
      </c>
      <c r="B3860" s="5" t="s">
        <v>16952</v>
      </c>
    </row>
    <row r="3861" ht="15.75" spans="1:2">
      <c r="A3861" s="9" t="s">
        <v>12864</v>
      </c>
      <c r="B3861" s="5" t="s">
        <v>16952</v>
      </c>
    </row>
    <row r="3862" ht="15.75" spans="1:2">
      <c r="A3862" s="9" t="s">
        <v>12867</v>
      </c>
      <c r="B3862" s="5" t="s">
        <v>16952</v>
      </c>
    </row>
    <row r="3863" ht="15.75" spans="1:2">
      <c r="A3863" s="9" t="s">
        <v>12871</v>
      </c>
      <c r="B3863" s="5" t="s">
        <v>16952</v>
      </c>
    </row>
    <row r="3864" ht="15.75" spans="1:2">
      <c r="A3864" s="9" t="s">
        <v>12874</v>
      </c>
      <c r="B3864" s="5" t="s">
        <v>16952</v>
      </c>
    </row>
    <row r="3865" ht="15.75" spans="1:2">
      <c r="A3865" s="9" t="s">
        <v>12877</v>
      </c>
      <c r="B3865" s="5" t="s">
        <v>16952</v>
      </c>
    </row>
    <row r="3866" ht="15.75" spans="1:2">
      <c r="A3866" s="9" t="s">
        <v>12880</v>
      </c>
      <c r="B3866" s="5" t="s">
        <v>16952</v>
      </c>
    </row>
    <row r="3867" ht="15.75" spans="1:2">
      <c r="A3867" s="9" t="s">
        <v>12884</v>
      </c>
      <c r="B3867" s="5" t="s">
        <v>16952</v>
      </c>
    </row>
    <row r="3868" ht="15.75" spans="1:2">
      <c r="A3868" s="9" t="s">
        <v>12887</v>
      </c>
      <c r="B3868" s="5" t="s">
        <v>16952</v>
      </c>
    </row>
    <row r="3869" ht="15.75" spans="1:2">
      <c r="A3869" s="9" t="s">
        <v>12891</v>
      </c>
      <c r="B3869" s="5" t="s">
        <v>16952</v>
      </c>
    </row>
    <row r="3870" ht="15.75" spans="1:2">
      <c r="A3870" s="9" t="s">
        <v>12894</v>
      </c>
      <c r="B3870" s="5" t="s">
        <v>16952</v>
      </c>
    </row>
    <row r="3871" ht="15.75" spans="1:2">
      <c r="A3871" s="9" t="s">
        <v>12898</v>
      </c>
      <c r="B3871" s="5" t="s">
        <v>16952</v>
      </c>
    </row>
    <row r="3872" ht="15.75" spans="1:2">
      <c r="A3872" s="9" t="s">
        <v>12901</v>
      </c>
      <c r="B3872" s="5" t="s">
        <v>16952</v>
      </c>
    </row>
    <row r="3873" ht="15.75" spans="1:2">
      <c r="A3873" s="9" t="s">
        <v>12905</v>
      </c>
      <c r="B3873" s="5" t="s">
        <v>16952</v>
      </c>
    </row>
    <row r="3874" ht="15.75" spans="1:2">
      <c r="A3874" s="9" t="s">
        <v>12908</v>
      </c>
      <c r="B3874" s="5" t="s">
        <v>16952</v>
      </c>
    </row>
    <row r="3875" ht="15.75" spans="1:2">
      <c r="A3875" s="9" t="s">
        <v>12912</v>
      </c>
      <c r="B3875" s="5" t="s">
        <v>16952</v>
      </c>
    </row>
    <row r="3876" ht="15.75" spans="1:2">
      <c r="A3876" s="9" t="s">
        <v>12915</v>
      </c>
      <c r="B3876" s="5" t="s">
        <v>16952</v>
      </c>
    </row>
    <row r="3877" ht="15.75" spans="1:2">
      <c r="A3877" s="9" t="s">
        <v>12918</v>
      </c>
      <c r="B3877" s="5" t="s">
        <v>16952</v>
      </c>
    </row>
    <row r="3878" ht="15.75" spans="1:2">
      <c r="A3878" s="9" t="s">
        <v>12922</v>
      </c>
      <c r="B3878" s="5" t="s">
        <v>16952</v>
      </c>
    </row>
    <row r="3879" ht="15.75" spans="1:2">
      <c r="A3879" s="9" t="s">
        <v>12925</v>
      </c>
      <c r="B3879" s="5" t="s">
        <v>16952</v>
      </c>
    </row>
    <row r="3880" ht="15.75" spans="1:2">
      <c r="A3880" s="9" t="s">
        <v>12928</v>
      </c>
      <c r="B3880" s="5" t="s">
        <v>16952</v>
      </c>
    </row>
    <row r="3881" ht="15.75" spans="1:2">
      <c r="A3881" s="9" t="s">
        <v>12931</v>
      </c>
      <c r="B3881" s="5" t="s">
        <v>16952</v>
      </c>
    </row>
    <row r="3882" ht="15.75" spans="1:2">
      <c r="A3882" s="9" t="s">
        <v>12934</v>
      </c>
      <c r="B3882" s="5" t="s">
        <v>16952</v>
      </c>
    </row>
    <row r="3883" ht="15.75" spans="1:2">
      <c r="A3883" s="9" t="s">
        <v>12937</v>
      </c>
      <c r="B3883" s="5" t="s">
        <v>16952</v>
      </c>
    </row>
    <row r="3884" ht="15.75" spans="1:2">
      <c r="A3884" s="9" t="s">
        <v>12941</v>
      </c>
      <c r="B3884" s="5" t="s">
        <v>16952</v>
      </c>
    </row>
    <row r="3885" ht="15.75" spans="1:2">
      <c r="A3885" s="9" t="s">
        <v>12945</v>
      </c>
      <c r="B3885" s="5" t="s">
        <v>16952</v>
      </c>
    </row>
    <row r="3886" ht="15.75" spans="1:2">
      <c r="A3886" s="9" t="s">
        <v>12948</v>
      </c>
      <c r="B3886" s="5" t="s">
        <v>16952</v>
      </c>
    </row>
    <row r="3887" ht="15.75" spans="1:2">
      <c r="A3887" s="9" t="s">
        <v>12951</v>
      </c>
      <c r="B3887" s="5" t="s">
        <v>16952</v>
      </c>
    </row>
    <row r="3888" ht="15.75" spans="1:2">
      <c r="A3888" s="9" t="s">
        <v>12955</v>
      </c>
      <c r="B3888" s="5" t="s">
        <v>16952</v>
      </c>
    </row>
    <row r="3889" ht="15.75" spans="1:2">
      <c r="A3889" s="9" t="s">
        <v>12958</v>
      </c>
      <c r="B3889" s="5" t="s">
        <v>16952</v>
      </c>
    </row>
    <row r="3890" ht="15.75" spans="1:2">
      <c r="A3890" s="9" t="s">
        <v>12961</v>
      </c>
      <c r="B3890" s="5" t="s">
        <v>16952</v>
      </c>
    </row>
    <row r="3891" ht="15.75" spans="1:2">
      <c r="A3891" s="9" t="s">
        <v>12964</v>
      </c>
      <c r="B3891" s="5" t="s">
        <v>16952</v>
      </c>
    </row>
    <row r="3892" ht="15.75" spans="1:2">
      <c r="A3892" s="9" t="s">
        <v>12967</v>
      </c>
      <c r="B3892" s="5" t="s">
        <v>16952</v>
      </c>
    </row>
    <row r="3893" ht="15.75" spans="1:2">
      <c r="A3893" s="9" t="s">
        <v>12971</v>
      </c>
      <c r="B3893" s="5" t="s">
        <v>16952</v>
      </c>
    </row>
    <row r="3894" ht="15.75" spans="1:2">
      <c r="A3894" s="9" t="s">
        <v>12974</v>
      </c>
      <c r="B3894" s="5" t="s">
        <v>16952</v>
      </c>
    </row>
    <row r="3895" ht="15.75" spans="1:2">
      <c r="A3895" s="9" t="s">
        <v>12977</v>
      </c>
      <c r="B3895" s="5" t="s">
        <v>16952</v>
      </c>
    </row>
    <row r="3896" ht="15.75" spans="1:2">
      <c r="A3896" s="9" t="s">
        <v>12980</v>
      </c>
      <c r="B3896" s="5" t="s">
        <v>16952</v>
      </c>
    </row>
    <row r="3897" ht="15.75" spans="1:2">
      <c r="A3897" s="9" t="s">
        <v>12984</v>
      </c>
      <c r="B3897" s="5" t="s">
        <v>16952</v>
      </c>
    </row>
    <row r="3898" ht="15.75" spans="1:2">
      <c r="A3898" s="9" t="s">
        <v>12988</v>
      </c>
      <c r="B3898" s="5" t="s">
        <v>16952</v>
      </c>
    </row>
    <row r="3899" ht="15.75" spans="1:2">
      <c r="A3899" s="9" t="s">
        <v>12991</v>
      </c>
      <c r="B3899" s="5" t="s">
        <v>16952</v>
      </c>
    </row>
    <row r="3900" ht="15.75" spans="1:2">
      <c r="A3900" s="9" t="s">
        <v>12995</v>
      </c>
      <c r="B3900" s="5" t="s">
        <v>16952</v>
      </c>
    </row>
    <row r="3901" ht="15.75" spans="1:2">
      <c r="A3901" s="9" t="s">
        <v>12999</v>
      </c>
      <c r="B3901" s="5" t="s">
        <v>16952</v>
      </c>
    </row>
    <row r="3902" ht="15.75" spans="1:2">
      <c r="A3902" s="9" t="s">
        <v>13002</v>
      </c>
      <c r="B3902" s="5" t="s">
        <v>16952</v>
      </c>
    </row>
    <row r="3903" ht="15.75" spans="1:2">
      <c r="A3903" s="9" t="s">
        <v>13005</v>
      </c>
      <c r="B3903" s="5" t="s">
        <v>16952</v>
      </c>
    </row>
    <row r="3904" ht="15.75" spans="1:2">
      <c r="A3904" s="9" t="s">
        <v>13008</v>
      </c>
      <c r="B3904" s="5" t="s">
        <v>16952</v>
      </c>
    </row>
    <row r="3905" ht="15.75" spans="1:2">
      <c r="A3905" s="9" t="s">
        <v>13011</v>
      </c>
      <c r="B3905" s="5" t="s">
        <v>16952</v>
      </c>
    </row>
    <row r="3906" ht="15.75" spans="1:2">
      <c r="A3906" s="9" t="s">
        <v>13014</v>
      </c>
      <c r="B3906" s="5" t="s">
        <v>16952</v>
      </c>
    </row>
    <row r="3907" ht="15.75" spans="1:2">
      <c r="A3907" s="9" t="s">
        <v>13017</v>
      </c>
      <c r="B3907" s="5" t="s">
        <v>16952</v>
      </c>
    </row>
    <row r="3908" ht="15.75" spans="1:2">
      <c r="A3908" s="9" t="s">
        <v>13020</v>
      </c>
      <c r="B3908" s="5" t="s">
        <v>16952</v>
      </c>
    </row>
    <row r="3909" ht="15.75" spans="1:2">
      <c r="A3909" s="9" t="s">
        <v>13024</v>
      </c>
      <c r="B3909" s="5" t="s">
        <v>16952</v>
      </c>
    </row>
    <row r="3910" ht="15.75" spans="1:2">
      <c r="A3910" s="9" t="s">
        <v>13028</v>
      </c>
      <c r="B3910" s="5" t="s">
        <v>16952</v>
      </c>
    </row>
    <row r="3911" ht="15.75" spans="1:2">
      <c r="A3911" s="9" t="s">
        <v>13031</v>
      </c>
      <c r="B3911" s="5" t="s">
        <v>16952</v>
      </c>
    </row>
    <row r="3912" ht="15.75" spans="1:2">
      <c r="A3912" s="9" t="s">
        <v>13035</v>
      </c>
      <c r="B3912" s="5" t="s">
        <v>16952</v>
      </c>
    </row>
    <row r="3913" ht="15.75" spans="1:2">
      <c r="A3913" s="9" t="s">
        <v>13039</v>
      </c>
      <c r="B3913" s="5" t="s">
        <v>16952</v>
      </c>
    </row>
    <row r="3914" ht="15.75" spans="1:2">
      <c r="A3914" s="9" t="s">
        <v>13042</v>
      </c>
      <c r="B3914" s="5" t="s">
        <v>16952</v>
      </c>
    </row>
    <row r="3915" ht="15.75" spans="1:2">
      <c r="A3915" s="9" t="s">
        <v>13045</v>
      </c>
      <c r="B3915" s="5" t="s">
        <v>16952</v>
      </c>
    </row>
    <row r="3916" ht="15.75" spans="1:2">
      <c r="A3916" s="9" t="s">
        <v>13048</v>
      </c>
      <c r="B3916" s="5" t="s">
        <v>16952</v>
      </c>
    </row>
    <row r="3917" ht="15.75" spans="1:2">
      <c r="A3917" s="9" t="s">
        <v>13051</v>
      </c>
      <c r="B3917" s="5" t="s">
        <v>16952</v>
      </c>
    </row>
    <row r="3918" ht="15.75" spans="1:2">
      <c r="A3918" s="9" t="s">
        <v>13055</v>
      </c>
      <c r="B3918" s="5" t="s">
        <v>16952</v>
      </c>
    </row>
    <row r="3919" ht="15.75" spans="1:2">
      <c r="A3919" s="9" t="s">
        <v>13058</v>
      </c>
      <c r="B3919" s="5" t="s">
        <v>16952</v>
      </c>
    </row>
    <row r="3920" ht="15.75" spans="1:2">
      <c r="A3920" s="9" t="s">
        <v>13061</v>
      </c>
      <c r="B3920" s="5" t="s">
        <v>16952</v>
      </c>
    </row>
    <row r="3921" ht="15.75" spans="1:2">
      <c r="A3921" s="9" t="s">
        <v>13064</v>
      </c>
      <c r="B3921" s="5" t="s">
        <v>16952</v>
      </c>
    </row>
    <row r="3922" ht="15.75" spans="1:2">
      <c r="A3922" s="9" t="s">
        <v>13068</v>
      </c>
      <c r="B3922" s="5" t="s">
        <v>16952</v>
      </c>
    </row>
    <row r="3923" ht="15.75" spans="1:2">
      <c r="A3923" s="9" t="s">
        <v>13071</v>
      </c>
      <c r="B3923" s="5" t="s">
        <v>16952</v>
      </c>
    </row>
    <row r="3924" ht="15.75" spans="1:2">
      <c r="A3924" s="9" t="s">
        <v>13075</v>
      </c>
      <c r="B3924" s="5" t="s">
        <v>16952</v>
      </c>
    </row>
    <row r="3925" ht="15.75" spans="1:2">
      <c r="A3925" s="9" t="s">
        <v>13079</v>
      </c>
      <c r="B3925" s="5" t="s">
        <v>16952</v>
      </c>
    </row>
    <row r="3926" ht="15.75" spans="1:2">
      <c r="A3926" s="9" t="s">
        <v>13082</v>
      </c>
      <c r="B3926" s="5" t="s">
        <v>16952</v>
      </c>
    </row>
    <row r="3927" ht="15.75" spans="1:2">
      <c r="A3927" s="9" t="s">
        <v>13085</v>
      </c>
      <c r="B3927" s="5" t="s">
        <v>16952</v>
      </c>
    </row>
    <row r="3928" ht="15.75" spans="1:2">
      <c r="A3928" s="9" t="s">
        <v>13088</v>
      </c>
      <c r="B3928" s="5" t="s">
        <v>16952</v>
      </c>
    </row>
    <row r="3929" ht="15.75" spans="1:2">
      <c r="A3929" s="9" t="s">
        <v>13092</v>
      </c>
      <c r="B3929" s="5" t="s">
        <v>16952</v>
      </c>
    </row>
    <row r="3930" ht="15.75" spans="1:2">
      <c r="A3930" s="9" t="s">
        <v>13097</v>
      </c>
      <c r="B3930" s="5" t="s">
        <v>16952</v>
      </c>
    </row>
    <row r="3931" ht="15.75" spans="1:2">
      <c r="A3931" s="9" t="s">
        <v>13099</v>
      </c>
      <c r="B3931" s="11"/>
    </row>
    <row r="3932" ht="15.75" spans="1:2">
      <c r="A3932" s="9" t="s">
        <v>13100</v>
      </c>
      <c r="B3932" s="5" t="s">
        <v>16952</v>
      </c>
    </row>
    <row r="3933" ht="15.75" spans="1:2">
      <c r="A3933" s="9" t="s">
        <v>13103</v>
      </c>
      <c r="B3933" s="5" t="s">
        <v>16952</v>
      </c>
    </row>
    <row r="3934" ht="15.75" spans="1:2">
      <c r="A3934" s="9" t="s">
        <v>13106</v>
      </c>
      <c r="B3934" s="5" t="s">
        <v>16952</v>
      </c>
    </row>
    <row r="3935" ht="15.75" spans="1:2">
      <c r="A3935" s="9" t="s">
        <v>13109</v>
      </c>
      <c r="B3935" s="5" t="s">
        <v>16952</v>
      </c>
    </row>
    <row r="3936" ht="15.75" spans="1:2">
      <c r="A3936" s="9" t="s">
        <v>13113</v>
      </c>
      <c r="B3936" s="5" t="s">
        <v>16952</v>
      </c>
    </row>
    <row r="3937" ht="15.75" spans="1:2">
      <c r="A3937" s="9" t="s">
        <v>13118</v>
      </c>
      <c r="B3937" s="5" t="s">
        <v>16952</v>
      </c>
    </row>
    <row r="3938" ht="15.75" spans="1:2">
      <c r="A3938" s="9" t="s">
        <v>13121</v>
      </c>
      <c r="B3938" s="8"/>
    </row>
    <row r="3939" ht="15.75" spans="1:2">
      <c r="A3939" s="9" t="s">
        <v>13122</v>
      </c>
      <c r="B3939" s="5" t="s">
        <v>16952</v>
      </c>
    </row>
    <row r="3940" ht="15.75" spans="1:2">
      <c r="A3940" s="9" t="s">
        <v>13125</v>
      </c>
      <c r="B3940" s="5" t="s">
        <v>16952</v>
      </c>
    </row>
    <row r="3941" ht="15.75" spans="1:2">
      <c r="A3941" s="9" t="s">
        <v>13128</v>
      </c>
      <c r="B3941" s="5" t="s">
        <v>16952</v>
      </c>
    </row>
    <row r="3942" ht="15.75" spans="1:2">
      <c r="A3942" s="9" t="s">
        <v>13132</v>
      </c>
      <c r="B3942" s="5" t="s">
        <v>16952</v>
      </c>
    </row>
    <row r="3943" ht="15.75" spans="1:2">
      <c r="A3943" s="9" t="s">
        <v>13136</v>
      </c>
      <c r="B3943" s="5" t="s">
        <v>16952</v>
      </c>
    </row>
    <row r="3944" ht="15.75" spans="1:2">
      <c r="A3944" s="9" t="s">
        <v>13139</v>
      </c>
      <c r="B3944" s="5" t="s">
        <v>16952</v>
      </c>
    </row>
    <row r="3945" ht="15.75" spans="1:2">
      <c r="A3945" s="9" t="s">
        <v>13143</v>
      </c>
      <c r="B3945" s="5" t="s">
        <v>16952</v>
      </c>
    </row>
    <row r="3946" ht="15.75" spans="1:2">
      <c r="A3946" s="9" t="s">
        <v>13146</v>
      </c>
      <c r="B3946" s="5" t="s">
        <v>16952</v>
      </c>
    </row>
    <row r="3947" ht="15.75" spans="1:2">
      <c r="A3947" s="9" t="s">
        <v>13149</v>
      </c>
      <c r="B3947" s="13"/>
    </row>
    <row r="3948" ht="15.75" spans="1:2">
      <c r="A3948" s="9" t="s">
        <v>13154</v>
      </c>
      <c r="B3948" s="5" t="s">
        <v>16952</v>
      </c>
    </row>
    <row r="3949" ht="15.75" spans="1:2">
      <c r="A3949" s="9" t="s">
        <v>13157</v>
      </c>
      <c r="B3949" s="5" t="s">
        <v>16952</v>
      </c>
    </row>
    <row r="3950" ht="15.75" spans="1:2">
      <c r="A3950" s="9" t="s">
        <v>13160</v>
      </c>
      <c r="B3950" s="5" t="s">
        <v>16952</v>
      </c>
    </row>
    <row r="3951" ht="15.75" spans="1:2">
      <c r="A3951" s="9" t="s">
        <v>13163</v>
      </c>
      <c r="B3951" s="5" t="s">
        <v>16952</v>
      </c>
    </row>
    <row r="3952" ht="15.75" spans="1:2">
      <c r="A3952" s="9" t="s">
        <v>13167</v>
      </c>
      <c r="B3952" s="5" t="s">
        <v>16952</v>
      </c>
    </row>
    <row r="3953" ht="15.75" spans="1:2">
      <c r="A3953" s="9" t="s">
        <v>13171</v>
      </c>
      <c r="B3953" s="5" t="s">
        <v>16952</v>
      </c>
    </row>
    <row r="3954" ht="15.75" spans="1:2">
      <c r="A3954" s="9" t="s">
        <v>13174</v>
      </c>
      <c r="B3954" s="5" t="s">
        <v>16952</v>
      </c>
    </row>
    <row r="3955" ht="15.75" spans="1:2">
      <c r="A3955" s="9" t="s">
        <v>13179</v>
      </c>
      <c r="B3955" s="5" t="s">
        <v>16952</v>
      </c>
    </row>
    <row r="3956" ht="15.75" spans="1:2">
      <c r="A3956" s="9" t="s">
        <v>13182</v>
      </c>
      <c r="B3956" s="10" t="s">
        <v>16952</v>
      </c>
    </row>
    <row r="3957" ht="15.75" spans="1:2">
      <c r="A3957" s="9" t="s">
        <v>13182</v>
      </c>
      <c r="B3957" s="10" t="s">
        <v>16952</v>
      </c>
    </row>
    <row r="3958" ht="15.75" spans="1:2">
      <c r="A3958" s="9" t="s">
        <v>13187</v>
      </c>
      <c r="B3958" s="5" t="s">
        <v>16952</v>
      </c>
    </row>
    <row r="3959" ht="15.75" spans="1:2">
      <c r="A3959" s="9" t="s">
        <v>13191</v>
      </c>
      <c r="B3959" s="8"/>
    </row>
    <row r="3960" ht="15.75" spans="1:2">
      <c r="A3960" s="9" t="s">
        <v>13192</v>
      </c>
      <c r="B3960" s="5" t="s">
        <v>16952</v>
      </c>
    </row>
    <row r="3961" ht="15.75" spans="1:2">
      <c r="A3961" s="9" t="s">
        <v>13196</v>
      </c>
      <c r="B3961" s="5" t="s">
        <v>16952</v>
      </c>
    </row>
    <row r="3962" ht="15.75" spans="1:2">
      <c r="A3962" s="9" t="s">
        <v>13199</v>
      </c>
      <c r="B3962" s="5" t="s">
        <v>16952</v>
      </c>
    </row>
    <row r="3963" ht="15.75" spans="1:2">
      <c r="A3963" s="9" t="s">
        <v>13203</v>
      </c>
      <c r="B3963" s="5" t="s">
        <v>16952</v>
      </c>
    </row>
    <row r="3964" ht="15.75" spans="1:2">
      <c r="A3964" s="9" t="s">
        <v>13206</v>
      </c>
      <c r="B3964" s="5" t="s">
        <v>16952</v>
      </c>
    </row>
    <row r="3965" ht="15.75" spans="1:2">
      <c r="A3965" s="9" t="s">
        <v>13210</v>
      </c>
      <c r="B3965" s="5" t="s">
        <v>16952</v>
      </c>
    </row>
    <row r="3966" ht="15.75" spans="1:2">
      <c r="A3966" s="9" t="s">
        <v>13213</v>
      </c>
      <c r="B3966" s="5" t="s">
        <v>16952</v>
      </c>
    </row>
    <row r="3967" ht="15.75" spans="1:2">
      <c r="A3967" s="9" t="s">
        <v>13216</v>
      </c>
      <c r="B3967" s="5" t="s">
        <v>16952</v>
      </c>
    </row>
    <row r="3968" ht="15.75" spans="1:2">
      <c r="A3968" s="9" t="s">
        <v>13220</v>
      </c>
      <c r="B3968" s="5" t="s">
        <v>16952</v>
      </c>
    </row>
    <row r="3969" ht="15.75" spans="1:2">
      <c r="A3969" s="9" t="s">
        <v>13225</v>
      </c>
      <c r="B3969" s="5" t="s">
        <v>16952</v>
      </c>
    </row>
    <row r="3970" ht="15.75" spans="1:2">
      <c r="A3970" s="9" t="s">
        <v>13228</v>
      </c>
      <c r="B3970" s="5" t="s">
        <v>16952</v>
      </c>
    </row>
    <row r="3971" ht="15.75" spans="1:2">
      <c r="A3971" s="9" t="s">
        <v>13233</v>
      </c>
      <c r="B3971" s="8"/>
    </row>
    <row r="3972" ht="15.75" spans="1:2">
      <c r="A3972" s="9" t="s">
        <v>13234</v>
      </c>
      <c r="B3972" s="5" t="s">
        <v>16952</v>
      </c>
    </row>
    <row r="3973" ht="15.75" spans="1:2">
      <c r="A3973" s="9" t="s">
        <v>13237</v>
      </c>
      <c r="B3973" s="5" t="s">
        <v>16952</v>
      </c>
    </row>
    <row r="3974" ht="15.75" spans="1:2">
      <c r="A3974" s="9" t="s">
        <v>13241</v>
      </c>
      <c r="B3974" s="5" t="s">
        <v>16952</v>
      </c>
    </row>
    <row r="3975" ht="15.75" spans="1:2">
      <c r="A3975" s="9" t="s">
        <v>13244</v>
      </c>
      <c r="B3975" s="5" t="s">
        <v>16952</v>
      </c>
    </row>
    <row r="3976" ht="15.75" spans="1:2">
      <c r="A3976" s="9" t="s">
        <v>13248</v>
      </c>
      <c r="B3976" s="5" t="s">
        <v>16952</v>
      </c>
    </row>
    <row r="3977" ht="15.75" spans="1:2">
      <c r="A3977" s="9" t="s">
        <v>13252</v>
      </c>
      <c r="B3977" s="5" t="s">
        <v>16952</v>
      </c>
    </row>
    <row r="3978" ht="15.75" spans="1:2">
      <c r="A3978" s="9" t="s">
        <v>13256</v>
      </c>
      <c r="B3978" s="5" t="s">
        <v>16952</v>
      </c>
    </row>
    <row r="3979" ht="15.75" spans="1:2">
      <c r="A3979" s="9" t="s">
        <v>13259</v>
      </c>
      <c r="B3979" s="5" t="s">
        <v>16952</v>
      </c>
    </row>
    <row r="3980" ht="15.75" spans="1:2">
      <c r="A3980" s="9" t="s">
        <v>13262</v>
      </c>
      <c r="B3980" s="5" t="s">
        <v>16952</v>
      </c>
    </row>
    <row r="3981" ht="15.75" spans="1:2">
      <c r="A3981" s="9" t="s">
        <v>13266</v>
      </c>
      <c r="B3981" s="5" t="s">
        <v>16952</v>
      </c>
    </row>
    <row r="3982" ht="15.75" spans="1:2">
      <c r="A3982" s="9" t="s">
        <v>13269</v>
      </c>
      <c r="B3982" s="5" t="s">
        <v>16952</v>
      </c>
    </row>
    <row r="3983" ht="15.75" spans="1:2">
      <c r="A3983" s="9" t="s">
        <v>13273</v>
      </c>
      <c r="B3983" s="5" t="s">
        <v>16952</v>
      </c>
    </row>
    <row r="3984" ht="15.75" spans="1:2">
      <c r="A3984" s="9" t="s">
        <v>13276</v>
      </c>
      <c r="B3984" s="5" t="s">
        <v>16952</v>
      </c>
    </row>
    <row r="3985" ht="15.75" spans="1:2">
      <c r="A3985" s="9" t="s">
        <v>13279</v>
      </c>
      <c r="B3985" s="5" t="s">
        <v>16952</v>
      </c>
    </row>
    <row r="3986" ht="15.75" spans="1:2">
      <c r="A3986" s="9" t="s">
        <v>13283</v>
      </c>
      <c r="B3986" s="5" t="s">
        <v>16952</v>
      </c>
    </row>
    <row r="3987" ht="15.75" spans="1:2">
      <c r="A3987" s="9" t="s">
        <v>13286</v>
      </c>
      <c r="B3987" s="5" t="s">
        <v>16952</v>
      </c>
    </row>
    <row r="3988" ht="15.75" spans="1:2">
      <c r="A3988" s="9" t="s">
        <v>13290</v>
      </c>
      <c r="B3988" s="5" t="s">
        <v>16952</v>
      </c>
    </row>
    <row r="3989" ht="15.75" spans="1:2">
      <c r="A3989" s="9" t="s">
        <v>13294</v>
      </c>
      <c r="B3989" s="5" t="s">
        <v>16952</v>
      </c>
    </row>
    <row r="3990" ht="15.75" spans="1:2">
      <c r="A3990" s="9" t="s">
        <v>13297</v>
      </c>
      <c r="B3990" s="5" t="s">
        <v>16952</v>
      </c>
    </row>
    <row r="3991" ht="15.75" spans="1:2">
      <c r="A3991" s="9" t="s">
        <v>13300</v>
      </c>
      <c r="B3991" s="5" t="s">
        <v>16952</v>
      </c>
    </row>
    <row r="3992" ht="15.75" spans="1:2">
      <c r="A3992" s="9" t="s">
        <v>13303</v>
      </c>
      <c r="B3992" s="5" t="s">
        <v>16952</v>
      </c>
    </row>
    <row r="3993" ht="15.75" spans="1:2">
      <c r="A3993" s="9" t="s">
        <v>13306</v>
      </c>
      <c r="B3993" s="5" t="s">
        <v>16952</v>
      </c>
    </row>
    <row r="3994" ht="15.75" spans="1:2">
      <c r="A3994" s="9" t="s">
        <v>13310</v>
      </c>
      <c r="B3994" s="5" t="s">
        <v>16952</v>
      </c>
    </row>
    <row r="3995" ht="15.75" spans="1:2">
      <c r="A3995" s="9" t="s">
        <v>13314</v>
      </c>
      <c r="B3995" s="5" t="s">
        <v>16952</v>
      </c>
    </row>
    <row r="3996" ht="15.75" spans="1:2">
      <c r="A3996" s="9" t="s">
        <v>13317</v>
      </c>
      <c r="B3996" s="5" t="s">
        <v>16952</v>
      </c>
    </row>
    <row r="3997" ht="15.75" spans="1:2">
      <c r="A3997" s="9" t="s">
        <v>13320</v>
      </c>
      <c r="B3997" s="5" t="s">
        <v>16952</v>
      </c>
    </row>
    <row r="3998" ht="15.75" spans="1:2">
      <c r="A3998" s="9" t="s">
        <v>13323</v>
      </c>
      <c r="B3998" s="5" t="s">
        <v>16952</v>
      </c>
    </row>
    <row r="3999" ht="15.75" spans="1:2">
      <c r="A3999" s="9" t="s">
        <v>13328</v>
      </c>
      <c r="B3999" s="5" t="s">
        <v>16952</v>
      </c>
    </row>
    <row r="4000" ht="15.75" spans="1:2">
      <c r="A4000" s="9" t="s">
        <v>13331</v>
      </c>
      <c r="B4000" s="5" t="s">
        <v>16952</v>
      </c>
    </row>
    <row r="4001" ht="15.75" spans="1:2">
      <c r="A4001" s="9" t="s">
        <v>13335</v>
      </c>
      <c r="B4001" s="5" t="s">
        <v>16952</v>
      </c>
    </row>
    <row r="4002" ht="15.75" spans="1:2">
      <c r="A4002" s="9" t="s">
        <v>13338</v>
      </c>
      <c r="B4002" s="5" t="s">
        <v>16952</v>
      </c>
    </row>
    <row r="4003" ht="15.75" spans="1:2">
      <c r="A4003" s="9" t="s">
        <v>13342</v>
      </c>
      <c r="B4003" s="5" t="s">
        <v>16952</v>
      </c>
    </row>
    <row r="4004" ht="15.75" spans="1:2">
      <c r="A4004" s="9" t="s">
        <v>13346</v>
      </c>
      <c r="B4004" s="5" t="s">
        <v>16952</v>
      </c>
    </row>
    <row r="4005" ht="15.75" spans="1:2">
      <c r="A4005" s="9" t="s">
        <v>13350</v>
      </c>
      <c r="B4005" s="8"/>
    </row>
    <row r="4006" ht="15.75" spans="1:2">
      <c r="A4006" s="9" t="s">
        <v>13351</v>
      </c>
      <c r="B4006" s="5" t="s">
        <v>16952</v>
      </c>
    </row>
    <row r="4007" ht="15.75" spans="1:2">
      <c r="A4007" s="9" t="s">
        <v>13354</v>
      </c>
      <c r="B4007" s="5" t="s">
        <v>16952</v>
      </c>
    </row>
    <row r="4008" ht="15.75" spans="1:2">
      <c r="A4008" s="9" t="s">
        <v>13358</v>
      </c>
      <c r="B4008" s="5" t="s">
        <v>16952</v>
      </c>
    </row>
    <row r="4009" ht="15.75" spans="1:2">
      <c r="A4009" s="9" t="s">
        <v>13361</v>
      </c>
      <c r="B4009" s="5" t="s">
        <v>16952</v>
      </c>
    </row>
    <row r="4010" ht="15.75" spans="1:2">
      <c r="A4010" s="9" t="s">
        <v>13364</v>
      </c>
      <c r="B4010" s="5" t="s">
        <v>16952</v>
      </c>
    </row>
    <row r="4011" ht="15.75" spans="1:2">
      <c r="A4011" s="9" t="s">
        <v>13367</v>
      </c>
      <c r="B4011" s="5" t="s">
        <v>16952</v>
      </c>
    </row>
    <row r="4012" ht="15.75" spans="1:2">
      <c r="A4012" s="9" t="s">
        <v>13370</v>
      </c>
      <c r="B4012" s="5" t="s">
        <v>16952</v>
      </c>
    </row>
    <row r="4013" ht="15.75" spans="1:2">
      <c r="A4013" s="9" t="s">
        <v>13373</v>
      </c>
      <c r="B4013" s="5" t="s">
        <v>16952</v>
      </c>
    </row>
    <row r="4014" ht="15.75" spans="1:2">
      <c r="A4014" s="9" t="s">
        <v>13377</v>
      </c>
      <c r="B4014" s="5" t="s">
        <v>16952</v>
      </c>
    </row>
    <row r="4015" ht="15.75" spans="1:2">
      <c r="A4015" s="9" t="s">
        <v>13381</v>
      </c>
      <c r="B4015" s="5" t="s">
        <v>16952</v>
      </c>
    </row>
    <row r="4016" ht="15.75" spans="1:2">
      <c r="A4016" s="9" t="s">
        <v>13384</v>
      </c>
      <c r="B4016" s="5" t="s">
        <v>16952</v>
      </c>
    </row>
    <row r="4017" ht="15.75" spans="1:2">
      <c r="A4017" s="9" t="s">
        <v>13388</v>
      </c>
      <c r="B4017" s="5" t="s">
        <v>16952</v>
      </c>
    </row>
    <row r="4018" ht="15.75" spans="1:2">
      <c r="A4018" s="9" t="s">
        <v>13391</v>
      </c>
      <c r="B4018" s="5" t="s">
        <v>16952</v>
      </c>
    </row>
    <row r="4019" ht="15.75" spans="1:2">
      <c r="A4019" s="9" t="s">
        <v>13394</v>
      </c>
      <c r="B4019" s="5" t="s">
        <v>16952</v>
      </c>
    </row>
    <row r="4020" ht="15.75" spans="1:2">
      <c r="A4020" s="9" t="s">
        <v>13397</v>
      </c>
      <c r="B4020" s="5" t="s">
        <v>16952</v>
      </c>
    </row>
    <row r="4021" ht="15.75" spans="1:2">
      <c r="A4021" s="9" t="s">
        <v>13400</v>
      </c>
      <c r="B4021" s="5" t="s">
        <v>16952</v>
      </c>
    </row>
    <row r="4022" ht="15.75" spans="1:2">
      <c r="A4022" s="9" t="s">
        <v>13403</v>
      </c>
      <c r="B4022" s="5" t="s">
        <v>16952</v>
      </c>
    </row>
    <row r="4023" ht="15.75" spans="1:2">
      <c r="A4023" s="9" t="s">
        <v>13406</v>
      </c>
      <c r="B4023" s="5" t="s">
        <v>16952</v>
      </c>
    </row>
    <row r="4024" ht="15.75" spans="1:2">
      <c r="A4024" s="9" t="s">
        <v>13409</v>
      </c>
      <c r="B4024" s="5" t="s">
        <v>16952</v>
      </c>
    </row>
    <row r="4025" ht="15.75" spans="1:2">
      <c r="A4025" s="9" t="s">
        <v>13412</v>
      </c>
      <c r="B4025" s="5" t="s">
        <v>16952</v>
      </c>
    </row>
    <row r="4026" ht="15.75" spans="1:2">
      <c r="A4026" s="9" t="s">
        <v>13415</v>
      </c>
      <c r="B4026" s="5" t="s">
        <v>16952</v>
      </c>
    </row>
    <row r="4027" ht="15.75" spans="1:2">
      <c r="A4027" s="9" t="s">
        <v>13420</v>
      </c>
      <c r="B4027" s="5" t="s">
        <v>16952</v>
      </c>
    </row>
    <row r="4028" ht="15.75" spans="1:2">
      <c r="A4028" s="9" t="s">
        <v>13423</v>
      </c>
      <c r="B4028" s="5" t="s">
        <v>16952</v>
      </c>
    </row>
    <row r="4029" ht="15.75" spans="1:2">
      <c r="A4029" s="9" t="s">
        <v>13427</v>
      </c>
      <c r="B4029" s="5" t="s">
        <v>16952</v>
      </c>
    </row>
    <row r="4030" ht="15.75" spans="1:2">
      <c r="A4030" s="9" t="s">
        <v>13430</v>
      </c>
      <c r="B4030" s="5" t="s">
        <v>16952</v>
      </c>
    </row>
    <row r="4031" ht="15.75" spans="1:2">
      <c r="A4031" s="9" t="s">
        <v>13433</v>
      </c>
      <c r="B4031" s="5" t="s">
        <v>16952</v>
      </c>
    </row>
    <row r="4032" ht="15.75" spans="1:2">
      <c r="A4032" s="9" t="s">
        <v>13436</v>
      </c>
      <c r="B4032" s="5" t="s">
        <v>16952</v>
      </c>
    </row>
    <row r="4033" ht="15.75" spans="1:2">
      <c r="A4033" s="9" t="s">
        <v>13440</v>
      </c>
      <c r="B4033" s="5" t="s">
        <v>16952</v>
      </c>
    </row>
    <row r="4034" ht="15.75" spans="1:2">
      <c r="A4034" s="9" t="s">
        <v>13443</v>
      </c>
      <c r="B4034" s="5" t="s">
        <v>16952</v>
      </c>
    </row>
    <row r="4035" ht="15.75" spans="1:2">
      <c r="A4035" s="9" t="s">
        <v>13446</v>
      </c>
      <c r="B4035" s="5" t="s">
        <v>16952</v>
      </c>
    </row>
    <row r="4036" ht="15.75" spans="1:2">
      <c r="A4036" s="9" t="s">
        <v>13449</v>
      </c>
      <c r="B4036" s="5" t="s">
        <v>16952</v>
      </c>
    </row>
    <row r="4037" ht="15.75" spans="1:2">
      <c r="A4037" s="9" t="s">
        <v>13452</v>
      </c>
      <c r="B4037" s="5" t="s">
        <v>16952</v>
      </c>
    </row>
    <row r="4038" ht="15.75" spans="1:2">
      <c r="A4038" s="9" t="s">
        <v>13455</v>
      </c>
      <c r="B4038" s="5" t="s">
        <v>16952</v>
      </c>
    </row>
    <row r="4039" ht="15.75" spans="1:2">
      <c r="A4039" s="9" t="s">
        <v>13458</v>
      </c>
      <c r="B4039" s="5" t="s">
        <v>16952</v>
      </c>
    </row>
    <row r="4040" ht="15.75" spans="1:2">
      <c r="A4040" s="9" t="s">
        <v>13461</v>
      </c>
      <c r="B4040" s="5" t="s">
        <v>16952</v>
      </c>
    </row>
    <row r="4041" ht="15.75" spans="1:2">
      <c r="A4041" s="9" t="s">
        <v>13464</v>
      </c>
      <c r="B4041" s="5" t="s">
        <v>16952</v>
      </c>
    </row>
    <row r="4042" ht="15.75" spans="1:2">
      <c r="A4042" s="9" t="s">
        <v>13467</v>
      </c>
      <c r="B4042" s="5" t="s">
        <v>16952</v>
      </c>
    </row>
    <row r="4043" ht="15.75" spans="1:2">
      <c r="A4043" s="9" t="s">
        <v>13471</v>
      </c>
      <c r="B4043" s="5" t="s">
        <v>16952</v>
      </c>
    </row>
    <row r="4044" ht="15.75" spans="1:2">
      <c r="A4044" s="9" t="s">
        <v>13474</v>
      </c>
      <c r="B4044" s="8"/>
    </row>
    <row r="4045" ht="15.75" spans="1:2">
      <c r="A4045" s="9" t="s">
        <v>13475</v>
      </c>
      <c r="B4045" s="5" t="s">
        <v>16952</v>
      </c>
    </row>
    <row r="4046" ht="15.75" spans="1:2">
      <c r="A4046" s="9" t="s">
        <v>13479</v>
      </c>
      <c r="B4046" s="5" t="s">
        <v>16952</v>
      </c>
    </row>
    <row r="4047" ht="15.75" spans="1:2">
      <c r="A4047" s="9" t="s">
        <v>13483</v>
      </c>
      <c r="B4047" s="5" t="s">
        <v>16952</v>
      </c>
    </row>
    <row r="4048" ht="15.75" spans="1:2">
      <c r="A4048" s="9" t="s">
        <v>13487</v>
      </c>
      <c r="B4048" s="5" t="s">
        <v>16952</v>
      </c>
    </row>
    <row r="4049" ht="15.75" spans="1:2">
      <c r="A4049" s="9" t="s">
        <v>13490</v>
      </c>
      <c r="B4049" s="5" t="s">
        <v>16952</v>
      </c>
    </row>
    <row r="4050" ht="15.75" spans="1:2">
      <c r="A4050" s="9" t="s">
        <v>13493</v>
      </c>
      <c r="B4050" s="5" t="s">
        <v>16952</v>
      </c>
    </row>
    <row r="4051" ht="15.75" spans="1:2">
      <c r="A4051" s="9" t="s">
        <v>13496</v>
      </c>
      <c r="B4051" s="5" t="s">
        <v>16952</v>
      </c>
    </row>
    <row r="4052" ht="15.75" spans="1:2">
      <c r="A4052" s="9" t="s">
        <v>13499</v>
      </c>
      <c r="B4052" s="5" t="s">
        <v>16952</v>
      </c>
    </row>
    <row r="4053" ht="15.75" spans="1:2">
      <c r="A4053" s="9" t="s">
        <v>13502</v>
      </c>
      <c r="B4053" s="5" t="s">
        <v>16952</v>
      </c>
    </row>
    <row r="4054" ht="15.75" spans="1:2">
      <c r="A4054" s="9" t="s">
        <v>13506</v>
      </c>
      <c r="B4054" s="5" t="s">
        <v>16952</v>
      </c>
    </row>
    <row r="4055" ht="15.75" spans="1:2">
      <c r="A4055" s="9" t="s">
        <v>13509</v>
      </c>
      <c r="B4055" s="5" t="s">
        <v>16952</v>
      </c>
    </row>
    <row r="4056" ht="15.75" spans="1:2">
      <c r="A4056" s="9" t="s">
        <v>13513</v>
      </c>
      <c r="B4056" s="5" t="s">
        <v>16952</v>
      </c>
    </row>
    <row r="4057" ht="15.75" spans="1:2">
      <c r="A4057" s="9" t="s">
        <v>13516</v>
      </c>
      <c r="B4057" s="5" t="s">
        <v>16952</v>
      </c>
    </row>
    <row r="4058" ht="15.75" spans="1:2">
      <c r="A4058" s="9" t="s">
        <v>13519</v>
      </c>
      <c r="B4058" s="5" t="s">
        <v>16952</v>
      </c>
    </row>
    <row r="4059" ht="15.75" spans="1:2">
      <c r="A4059" s="9" t="s">
        <v>13523</v>
      </c>
      <c r="B4059" s="5" t="s">
        <v>16952</v>
      </c>
    </row>
    <row r="4060" ht="15.75" spans="1:2">
      <c r="A4060" s="9" t="s">
        <v>13527</v>
      </c>
      <c r="B4060" s="5" t="s">
        <v>16952</v>
      </c>
    </row>
    <row r="4061" ht="15.75" spans="1:2">
      <c r="A4061" s="9" t="s">
        <v>13531</v>
      </c>
      <c r="B4061" s="5" t="s">
        <v>16952</v>
      </c>
    </row>
    <row r="4062" ht="15.75" spans="1:2">
      <c r="A4062" s="9" t="s">
        <v>13535</v>
      </c>
      <c r="B4062" s="5" t="s">
        <v>16952</v>
      </c>
    </row>
    <row r="4063" ht="15.75" spans="1:2">
      <c r="A4063" s="9" t="s">
        <v>13538</v>
      </c>
      <c r="B4063" s="5" t="s">
        <v>16952</v>
      </c>
    </row>
    <row r="4064" ht="15.75" spans="1:2">
      <c r="A4064" s="9" t="s">
        <v>13542</v>
      </c>
      <c r="B4064" s="5" t="s">
        <v>16952</v>
      </c>
    </row>
    <row r="4065" ht="15.75" spans="1:2">
      <c r="A4065" s="9" t="s">
        <v>13547</v>
      </c>
      <c r="B4065" s="5" t="s">
        <v>16952</v>
      </c>
    </row>
    <row r="4066" ht="15.75" spans="1:2">
      <c r="A4066" s="9" t="s">
        <v>13551</v>
      </c>
      <c r="B4066" s="5" t="s">
        <v>16952</v>
      </c>
    </row>
    <row r="4067" ht="15.75" spans="1:2">
      <c r="A4067" s="9" t="s">
        <v>13554</v>
      </c>
      <c r="B4067" s="5" t="s">
        <v>16952</v>
      </c>
    </row>
    <row r="4068" ht="15.75" spans="1:2">
      <c r="A4068" s="9" t="s">
        <v>13559</v>
      </c>
      <c r="B4068" s="5" t="s">
        <v>16952</v>
      </c>
    </row>
    <row r="4069" ht="15.75" spans="1:2">
      <c r="A4069" s="9" t="s">
        <v>13562</v>
      </c>
      <c r="B4069" s="5" t="s">
        <v>16952</v>
      </c>
    </row>
    <row r="4070" ht="15.75" spans="1:2">
      <c r="A4070" s="9" t="s">
        <v>13565</v>
      </c>
      <c r="B4070" s="5" t="s">
        <v>16952</v>
      </c>
    </row>
    <row r="4071" ht="15.75" spans="1:2">
      <c r="A4071" s="9" t="s">
        <v>13568</v>
      </c>
      <c r="B4071" s="5" t="s">
        <v>16952</v>
      </c>
    </row>
    <row r="4072" ht="15.75" spans="1:2">
      <c r="A4072" s="9" t="s">
        <v>13571</v>
      </c>
      <c r="B4072" s="5" t="s">
        <v>16952</v>
      </c>
    </row>
    <row r="4073" ht="15.75" spans="1:2">
      <c r="A4073" s="9" t="s">
        <v>13575</v>
      </c>
      <c r="B4073" s="5" t="s">
        <v>16952</v>
      </c>
    </row>
    <row r="4074" ht="15.75" spans="1:2">
      <c r="A4074" s="9" t="s">
        <v>13578</v>
      </c>
      <c r="B4074" s="5" t="s">
        <v>16952</v>
      </c>
    </row>
    <row r="4075" ht="15.75" spans="1:2">
      <c r="A4075" s="9" t="s">
        <v>13581</v>
      </c>
      <c r="B4075" s="5" t="s">
        <v>16952</v>
      </c>
    </row>
    <row r="4076" ht="15.75" spans="1:2">
      <c r="A4076" s="9" t="s">
        <v>13585</v>
      </c>
      <c r="B4076" s="5" t="s">
        <v>16952</v>
      </c>
    </row>
    <row r="4077" ht="15.75" spans="1:2">
      <c r="A4077" s="9" t="s">
        <v>13589</v>
      </c>
      <c r="B4077" s="5" t="s">
        <v>16952</v>
      </c>
    </row>
    <row r="4078" ht="15.75" spans="1:2">
      <c r="A4078" s="9" t="s">
        <v>13592</v>
      </c>
      <c r="B4078" s="5" t="s">
        <v>16952</v>
      </c>
    </row>
    <row r="4079" ht="15.75" spans="1:2">
      <c r="A4079" s="9" t="s">
        <v>13596</v>
      </c>
      <c r="B4079" s="5" t="s">
        <v>16952</v>
      </c>
    </row>
    <row r="4080" ht="15.75" spans="1:2">
      <c r="A4080" s="9" t="s">
        <v>13599</v>
      </c>
      <c r="B4080" s="5" t="s">
        <v>16952</v>
      </c>
    </row>
    <row r="4081" ht="15.75" spans="1:2">
      <c r="A4081" s="9" t="s">
        <v>13603</v>
      </c>
      <c r="B4081" s="5" t="s">
        <v>16952</v>
      </c>
    </row>
    <row r="4082" ht="15.75" spans="1:2">
      <c r="A4082" s="9" t="s">
        <v>13606</v>
      </c>
      <c r="B4082" s="5" t="s">
        <v>16952</v>
      </c>
    </row>
    <row r="4083" ht="15.75" spans="1:2">
      <c r="A4083" s="9" t="s">
        <v>13609</v>
      </c>
      <c r="B4083" s="5" t="s">
        <v>16952</v>
      </c>
    </row>
    <row r="4084" ht="15.75" spans="1:2">
      <c r="A4084" s="9" t="s">
        <v>13612</v>
      </c>
      <c r="B4084" s="5" t="s">
        <v>16952</v>
      </c>
    </row>
    <row r="4085" ht="15.75" spans="1:2">
      <c r="A4085" s="9" t="s">
        <v>13616</v>
      </c>
      <c r="B4085" s="5" t="s">
        <v>16952</v>
      </c>
    </row>
    <row r="4086" ht="15.75" spans="1:2">
      <c r="A4086" s="9" t="s">
        <v>13619</v>
      </c>
      <c r="B4086" s="5" t="s">
        <v>16952</v>
      </c>
    </row>
    <row r="4087" ht="15.75" spans="1:2">
      <c r="A4087" s="9" t="s">
        <v>13622</v>
      </c>
      <c r="B4087" s="5" t="s">
        <v>16952</v>
      </c>
    </row>
    <row r="4088" ht="15.75" spans="1:2">
      <c r="A4088" s="9" t="s">
        <v>13626</v>
      </c>
      <c r="B4088" s="5" t="s">
        <v>16952</v>
      </c>
    </row>
    <row r="4089" ht="15.75" spans="1:2">
      <c r="A4089" s="9" t="s">
        <v>13629</v>
      </c>
      <c r="B4089" s="5" t="s">
        <v>16952</v>
      </c>
    </row>
    <row r="4090" ht="15.75" spans="1:2">
      <c r="A4090" s="9" t="s">
        <v>13633</v>
      </c>
      <c r="B4090" s="5" t="s">
        <v>16952</v>
      </c>
    </row>
    <row r="4091" ht="15.75" spans="1:2">
      <c r="A4091" s="9" t="s">
        <v>13637</v>
      </c>
      <c r="B4091" s="5" t="s">
        <v>16952</v>
      </c>
    </row>
    <row r="4092" ht="15.75" spans="1:2">
      <c r="A4092" s="9" t="s">
        <v>13641</v>
      </c>
      <c r="B4092" s="5" t="s">
        <v>16952</v>
      </c>
    </row>
    <row r="4093" ht="15.75" spans="1:2">
      <c r="A4093" s="9" t="s">
        <v>13644</v>
      </c>
      <c r="B4093" s="5" t="s">
        <v>16952</v>
      </c>
    </row>
    <row r="4094" ht="15.75" spans="1:2">
      <c r="A4094" s="9" t="s">
        <v>13647</v>
      </c>
      <c r="B4094" s="5" t="s">
        <v>16952</v>
      </c>
    </row>
    <row r="4095" ht="15.75" spans="1:2">
      <c r="A4095" s="9" t="s">
        <v>13651</v>
      </c>
      <c r="B4095" s="5" t="s">
        <v>16952</v>
      </c>
    </row>
    <row r="4096" ht="15.75" spans="1:2">
      <c r="A4096" s="9" t="s">
        <v>13654</v>
      </c>
      <c r="B4096" s="5" t="s">
        <v>16952</v>
      </c>
    </row>
    <row r="4097" ht="15.75" spans="1:2">
      <c r="A4097" s="9" t="s">
        <v>13657</v>
      </c>
      <c r="B4097" s="7" t="s">
        <v>16952</v>
      </c>
    </row>
    <row r="4098" ht="15.75" spans="1:2">
      <c r="A4098" s="9" t="s">
        <v>13662</v>
      </c>
      <c r="B4098" s="5" t="s">
        <v>16952</v>
      </c>
    </row>
    <row r="4099" ht="15.75" spans="1:2">
      <c r="A4099" s="9" t="s">
        <v>13665</v>
      </c>
      <c r="B4099" s="5" t="s">
        <v>16952</v>
      </c>
    </row>
    <row r="4100" ht="15.75" spans="1:2">
      <c r="A4100" s="9" t="s">
        <v>13668</v>
      </c>
      <c r="B4100" s="5" t="s">
        <v>16952</v>
      </c>
    </row>
    <row r="4101" ht="15.75" spans="1:2">
      <c r="A4101" s="9" t="s">
        <v>13671</v>
      </c>
      <c r="B4101" s="5" t="s">
        <v>16952</v>
      </c>
    </row>
    <row r="4102" ht="15.75" spans="1:2">
      <c r="A4102" s="9" t="s">
        <v>13674</v>
      </c>
      <c r="B4102" s="5" t="s">
        <v>16952</v>
      </c>
    </row>
    <row r="4103" ht="15.75" spans="1:2">
      <c r="A4103" s="9" t="s">
        <v>13677</v>
      </c>
      <c r="B4103" s="5" t="s">
        <v>16952</v>
      </c>
    </row>
    <row r="4104" ht="15.75" spans="1:2">
      <c r="A4104" s="9" t="s">
        <v>13680</v>
      </c>
      <c r="B4104" s="5" t="s">
        <v>16952</v>
      </c>
    </row>
    <row r="4105" ht="15.75" spans="1:2">
      <c r="A4105" s="9" t="s">
        <v>13683</v>
      </c>
      <c r="B4105" s="5" t="s">
        <v>16952</v>
      </c>
    </row>
    <row r="4106" ht="15.75" spans="1:2">
      <c r="A4106" s="9" t="s">
        <v>13688</v>
      </c>
      <c r="B4106" s="8"/>
    </row>
    <row r="4107" ht="15.75" spans="1:2">
      <c r="A4107" s="9" t="s">
        <v>13689</v>
      </c>
      <c r="B4107" s="5"/>
    </row>
    <row r="4108" ht="15.75" spans="1:2">
      <c r="A4108" s="9" t="s">
        <v>13693</v>
      </c>
      <c r="B4108" s="5" t="s">
        <v>16952</v>
      </c>
    </row>
    <row r="4109" ht="15.75" spans="1:2">
      <c r="A4109" s="9" t="s">
        <v>13696</v>
      </c>
      <c r="B4109" s="5" t="s">
        <v>16952</v>
      </c>
    </row>
    <row r="4110" ht="15.75" spans="1:2">
      <c r="A4110" s="9" t="s">
        <v>13699</v>
      </c>
      <c r="B4110" s="5" t="s">
        <v>16952</v>
      </c>
    </row>
    <row r="4111" ht="15.75" spans="1:2">
      <c r="A4111" s="9" t="s">
        <v>13702</v>
      </c>
      <c r="B4111" s="5" t="s">
        <v>16952</v>
      </c>
    </row>
    <row r="4112" ht="15.75" spans="1:2">
      <c r="A4112" s="9" t="s">
        <v>13706</v>
      </c>
      <c r="B4112" s="5" t="s">
        <v>16952</v>
      </c>
    </row>
    <row r="4113" ht="15.75" spans="1:2">
      <c r="A4113" s="9" t="s">
        <v>13709</v>
      </c>
      <c r="B4113" s="5" t="s">
        <v>16952</v>
      </c>
    </row>
    <row r="4114" ht="15.75" spans="1:2">
      <c r="A4114" s="9" t="s">
        <v>13713</v>
      </c>
      <c r="B4114" s="5" t="s">
        <v>16952</v>
      </c>
    </row>
    <row r="4115" ht="15.75" spans="1:2">
      <c r="A4115" s="9" t="s">
        <v>13716</v>
      </c>
      <c r="B4115" s="5" t="s">
        <v>16952</v>
      </c>
    </row>
    <row r="4116" ht="15.75" spans="1:2">
      <c r="A4116" s="9" t="s">
        <v>13720</v>
      </c>
      <c r="B4116" s="5" t="s">
        <v>16952</v>
      </c>
    </row>
    <row r="4117" ht="15.75" spans="1:2">
      <c r="A4117" s="9" t="s">
        <v>13723</v>
      </c>
      <c r="B4117" s="5" t="s">
        <v>16952</v>
      </c>
    </row>
    <row r="4118" ht="15.75" spans="1:2">
      <c r="A4118" s="9" t="s">
        <v>13726</v>
      </c>
      <c r="B4118" s="5" t="s">
        <v>16952</v>
      </c>
    </row>
    <row r="4119" ht="15.75" spans="1:2">
      <c r="A4119" s="9" t="s">
        <v>13729</v>
      </c>
      <c r="B4119" s="5" t="s">
        <v>16952</v>
      </c>
    </row>
    <row r="4120" ht="15.75" spans="1:2">
      <c r="A4120" s="9" t="s">
        <v>13732</v>
      </c>
      <c r="B4120" s="5" t="s">
        <v>16952</v>
      </c>
    </row>
    <row r="4121" ht="15.75" spans="1:2">
      <c r="A4121" s="9" t="s">
        <v>13736</v>
      </c>
      <c r="B4121" s="5" t="s">
        <v>16952</v>
      </c>
    </row>
    <row r="4122" ht="15.75" spans="1:2">
      <c r="A4122" s="9" t="s">
        <v>13739</v>
      </c>
      <c r="B4122" s="5" t="s">
        <v>16952</v>
      </c>
    </row>
    <row r="4123" ht="15.75" spans="1:2">
      <c r="A4123" s="9" t="s">
        <v>13742</v>
      </c>
      <c r="B4123" s="5" t="s">
        <v>16952</v>
      </c>
    </row>
    <row r="4124" ht="15.75" spans="1:2">
      <c r="A4124" s="9" t="s">
        <v>13745</v>
      </c>
      <c r="B4124" s="5" t="s">
        <v>16952</v>
      </c>
    </row>
    <row r="4125" ht="15.75" spans="1:2">
      <c r="A4125" s="9" t="s">
        <v>13748</v>
      </c>
      <c r="B4125" s="5" t="s">
        <v>16952</v>
      </c>
    </row>
    <row r="4126" ht="15.75" spans="1:2">
      <c r="A4126" s="9" t="s">
        <v>13752</v>
      </c>
      <c r="B4126" s="5" t="s">
        <v>16952</v>
      </c>
    </row>
    <row r="4127" ht="15.75" spans="1:2">
      <c r="A4127" s="9" t="s">
        <v>13755</v>
      </c>
      <c r="B4127" s="5" t="s">
        <v>16952</v>
      </c>
    </row>
    <row r="4128" ht="15.75" spans="1:2">
      <c r="A4128" s="9" t="s">
        <v>13758</v>
      </c>
      <c r="B4128" s="5" t="s">
        <v>16952</v>
      </c>
    </row>
    <row r="4129" ht="15.75" spans="1:2">
      <c r="A4129" s="9" t="s">
        <v>13762</v>
      </c>
      <c r="B4129" s="5" t="s">
        <v>16952</v>
      </c>
    </row>
    <row r="4130" ht="15.75" spans="1:2">
      <c r="A4130" s="9" t="s">
        <v>13765</v>
      </c>
      <c r="B4130" s="10" t="s">
        <v>16952</v>
      </c>
    </row>
    <row r="4131" ht="15.75" spans="1:2">
      <c r="A4131" s="9" t="s">
        <v>13765</v>
      </c>
      <c r="B4131" s="10" t="s">
        <v>16952</v>
      </c>
    </row>
    <row r="4132" ht="15.75" spans="1:2">
      <c r="A4132" s="9" t="s">
        <v>13770</v>
      </c>
      <c r="B4132" s="10" t="s">
        <v>16952</v>
      </c>
    </row>
    <row r="4133" ht="15.75" spans="1:2">
      <c r="A4133" s="9" t="s">
        <v>13770</v>
      </c>
      <c r="B4133" s="12"/>
    </row>
    <row r="4134" ht="15.75" spans="1:2">
      <c r="A4134" s="9" t="s">
        <v>13773</v>
      </c>
      <c r="B4134" s="5" t="s">
        <v>16952</v>
      </c>
    </row>
    <row r="4135" ht="15.75" spans="1:2">
      <c r="A4135" s="9" t="s">
        <v>13776</v>
      </c>
      <c r="B4135" s="5" t="s">
        <v>16952</v>
      </c>
    </row>
    <row r="4136" ht="15.75" spans="1:2">
      <c r="A4136" s="9" t="s">
        <v>13781</v>
      </c>
      <c r="B4136" s="20"/>
    </row>
    <row r="4137" ht="15.75" spans="1:2">
      <c r="A4137" s="9" t="s">
        <v>13782</v>
      </c>
      <c r="B4137" s="8"/>
    </row>
    <row r="4138" ht="15.75" spans="1:2">
      <c r="A4138" s="9" t="s">
        <v>13783</v>
      </c>
      <c r="B4138" s="5" t="s">
        <v>16952</v>
      </c>
    </row>
    <row r="4139" ht="15.75" spans="1:2">
      <c r="A4139" s="9" t="s">
        <v>13787</v>
      </c>
      <c r="B4139" s="5" t="s">
        <v>16952</v>
      </c>
    </row>
    <row r="4140" ht="15.75" spans="1:2">
      <c r="A4140" s="9" t="s">
        <v>13791</v>
      </c>
      <c r="B4140" s="5" t="s">
        <v>16952</v>
      </c>
    </row>
    <row r="4141" ht="15.75" spans="1:2">
      <c r="A4141" s="9" t="s">
        <v>13795</v>
      </c>
      <c r="B4141" s="5" t="s">
        <v>16952</v>
      </c>
    </row>
    <row r="4142" ht="15.75" spans="1:2">
      <c r="A4142" s="9" t="s">
        <v>13798</v>
      </c>
      <c r="B4142" s="5" t="s">
        <v>16952</v>
      </c>
    </row>
    <row r="4143" ht="15.75" spans="1:2">
      <c r="A4143" s="9" t="s">
        <v>13802</v>
      </c>
      <c r="B4143" s="5" t="s">
        <v>16952</v>
      </c>
    </row>
    <row r="4144" ht="15.75" spans="1:2">
      <c r="A4144" s="9" t="s">
        <v>13806</v>
      </c>
      <c r="B4144" s="5" t="s">
        <v>16952</v>
      </c>
    </row>
    <row r="4145" ht="15.75" spans="1:2">
      <c r="A4145" s="9" t="s">
        <v>13809</v>
      </c>
      <c r="B4145" s="5" t="s">
        <v>16952</v>
      </c>
    </row>
    <row r="4146" ht="15.75" spans="1:2">
      <c r="A4146" s="9" t="s">
        <v>13812</v>
      </c>
      <c r="B4146" s="5" t="s">
        <v>16952</v>
      </c>
    </row>
    <row r="4147" ht="15.75" spans="1:2">
      <c r="A4147" s="9" t="s">
        <v>13816</v>
      </c>
      <c r="B4147" s="5" t="s">
        <v>16952</v>
      </c>
    </row>
    <row r="4148" ht="15.75" spans="1:2">
      <c r="A4148" s="9" t="s">
        <v>13819</v>
      </c>
      <c r="B4148" s="5" t="s">
        <v>16952</v>
      </c>
    </row>
    <row r="4149" ht="15.75" spans="1:2">
      <c r="A4149" s="9" t="s">
        <v>13822</v>
      </c>
      <c r="B4149" s="5" t="s">
        <v>16952</v>
      </c>
    </row>
    <row r="4150" ht="15.75" spans="1:2">
      <c r="A4150" s="9" t="s">
        <v>13825</v>
      </c>
      <c r="B4150" s="5" t="s">
        <v>16952</v>
      </c>
    </row>
    <row r="4151" ht="15.75" spans="1:2">
      <c r="A4151" s="9" t="s">
        <v>13828</v>
      </c>
      <c r="B4151" s="5" t="s">
        <v>16952</v>
      </c>
    </row>
    <row r="4152" ht="15.75" spans="1:2">
      <c r="A4152" s="9" t="s">
        <v>13831</v>
      </c>
      <c r="B4152" s="5" t="s">
        <v>16952</v>
      </c>
    </row>
    <row r="4153" ht="15.75" spans="1:2">
      <c r="A4153" s="9" t="s">
        <v>13834</v>
      </c>
      <c r="B4153" s="5" t="s">
        <v>16952</v>
      </c>
    </row>
    <row r="4154" ht="15.75" spans="1:2">
      <c r="A4154" s="9" t="s">
        <v>13839</v>
      </c>
      <c r="B4154" s="5" t="s">
        <v>16952</v>
      </c>
    </row>
    <row r="4155" ht="15.75" spans="1:2">
      <c r="A4155" s="9" t="s">
        <v>13842</v>
      </c>
      <c r="B4155" s="5" t="s">
        <v>16952</v>
      </c>
    </row>
    <row r="4156" ht="15.75" spans="1:2">
      <c r="A4156" s="9" t="s">
        <v>13845</v>
      </c>
      <c r="B4156" s="5" t="s">
        <v>16952</v>
      </c>
    </row>
    <row r="4157" ht="15.75" spans="1:2">
      <c r="A4157" s="9" t="s">
        <v>13848</v>
      </c>
      <c r="B4157" s="5" t="s">
        <v>16952</v>
      </c>
    </row>
    <row r="4158" ht="15.75" spans="1:2">
      <c r="A4158" s="9" t="s">
        <v>13853</v>
      </c>
      <c r="B4158" s="10" t="s">
        <v>16952</v>
      </c>
    </row>
    <row r="4159" ht="15.75" spans="1:2">
      <c r="A4159" s="9" t="s">
        <v>13853</v>
      </c>
      <c r="B4159" s="10" t="s">
        <v>16952</v>
      </c>
    </row>
    <row r="4160" ht="15.75" spans="1:2">
      <c r="A4160" s="9" t="s">
        <v>13857</v>
      </c>
      <c r="B4160" s="5" t="s">
        <v>16952</v>
      </c>
    </row>
    <row r="4161" ht="15.75" spans="1:2">
      <c r="A4161" s="9" t="s">
        <v>13860</v>
      </c>
      <c r="B4161" s="5" t="s">
        <v>16952</v>
      </c>
    </row>
    <row r="4162" ht="15.75" spans="1:2">
      <c r="A4162" s="9" t="s">
        <v>13863</v>
      </c>
      <c r="B4162" s="5" t="s">
        <v>16952</v>
      </c>
    </row>
    <row r="4163" ht="31.5" spans="1:2">
      <c r="A4163" s="9" t="s">
        <v>13866</v>
      </c>
      <c r="B4163" s="8" t="s">
        <v>16993</v>
      </c>
    </row>
    <row r="4164" ht="15.75" spans="1:2">
      <c r="A4164" s="9" t="s">
        <v>13867</v>
      </c>
      <c r="B4164" s="10" t="s">
        <v>16952</v>
      </c>
    </row>
    <row r="4165" ht="15.75" spans="1:2">
      <c r="A4165" s="9" t="s">
        <v>13867</v>
      </c>
      <c r="B4165" s="10" t="s">
        <v>16952</v>
      </c>
    </row>
    <row r="4166" ht="15.75" spans="1:2">
      <c r="A4166" s="9" t="s">
        <v>13867</v>
      </c>
      <c r="B4166" s="12"/>
    </row>
    <row r="4167" ht="15.75" spans="1:2">
      <c r="A4167" s="9" t="s">
        <v>13868</v>
      </c>
      <c r="B4167" s="5" t="s">
        <v>16952</v>
      </c>
    </row>
    <row r="4168" ht="15.75" spans="1:2">
      <c r="A4168" s="9" t="s">
        <v>13871</v>
      </c>
      <c r="B4168" s="8"/>
    </row>
    <row r="4169" ht="15.75" spans="1:2">
      <c r="A4169" s="9" t="s">
        <v>13872</v>
      </c>
      <c r="B4169" s="5" t="s">
        <v>16952</v>
      </c>
    </row>
    <row r="4170" ht="15.75" spans="1:2">
      <c r="A4170" s="9" t="s">
        <v>13875</v>
      </c>
      <c r="B4170" s="5" t="s">
        <v>16952</v>
      </c>
    </row>
    <row r="4171" ht="15.75" spans="1:2">
      <c r="A4171" s="9" t="s">
        <v>13878</v>
      </c>
      <c r="B4171" s="5" t="s">
        <v>16952</v>
      </c>
    </row>
    <row r="4172" ht="15.75" spans="1:2">
      <c r="A4172" s="9" t="s">
        <v>13881</v>
      </c>
      <c r="B4172" s="5" t="s">
        <v>16952</v>
      </c>
    </row>
    <row r="4173" ht="15.75" spans="1:2">
      <c r="A4173" s="9" t="s">
        <v>13884</v>
      </c>
      <c r="B4173" s="5" t="s">
        <v>16952</v>
      </c>
    </row>
    <row r="4174" ht="15.75" spans="1:2">
      <c r="A4174" s="9" t="s">
        <v>13888</v>
      </c>
      <c r="B4174" s="10" t="s">
        <v>16952</v>
      </c>
    </row>
    <row r="4175" ht="15.75" spans="1:2">
      <c r="A4175" s="9" t="s">
        <v>13888</v>
      </c>
      <c r="B4175" s="10" t="s">
        <v>16952</v>
      </c>
    </row>
    <row r="4176" ht="15.75" spans="1:2">
      <c r="A4176" s="9" t="s">
        <v>13892</v>
      </c>
      <c r="B4176" s="10" t="s">
        <v>16952</v>
      </c>
    </row>
    <row r="4177" ht="15.75" spans="1:2">
      <c r="A4177" s="9" t="s">
        <v>13892</v>
      </c>
      <c r="B4177" s="10" t="s">
        <v>16952</v>
      </c>
    </row>
    <row r="4178" ht="15.75" spans="1:2">
      <c r="A4178" s="9" t="s">
        <v>13897</v>
      </c>
      <c r="B4178" s="8"/>
    </row>
    <row r="4179" ht="15.75" spans="1:2">
      <c r="A4179" s="9" t="s">
        <v>13898</v>
      </c>
      <c r="B4179" s="5" t="s">
        <v>16952</v>
      </c>
    </row>
    <row r="4180" ht="15.75" spans="1:2">
      <c r="A4180" s="9" t="s">
        <v>13902</v>
      </c>
      <c r="B4180" s="5" t="s">
        <v>16952</v>
      </c>
    </row>
    <row r="4181" ht="15.75" spans="1:2">
      <c r="A4181" s="9" t="s">
        <v>13906</v>
      </c>
      <c r="B4181" s="5" t="s">
        <v>16952</v>
      </c>
    </row>
    <row r="4182" ht="15.75" spans="1:2">
      <c r="A4182" s="9" t="s">
        <v>13909</v>
      </c>
      <c r="B4182" s="5" t="s">
        <v>16952</v>
      </c>
    </row>
    <row r="4183" ht="15.75" spans="1:2">
      <c r="A4183" s="9" t="s">
        <v>13914</v>
      </c>
      <c r="B4183" s="5" t="s">
        <v>16952</v>
      </c>
    </row>
    <row r="4184" ht="15.75" spans="1:2">
      <c r="A4184" s="9" t="s">
        <v>13917</v>
      </c>
      <c r="B4184" s="5" t="s">
        <v>16952</v>
      </c>
    </row>
    <row r="4185" ht="15.75" spans="1:2">
      <c r="A4185" s="9" t="s">
        <v>13920</v>
      </c>
      <c r="B4185" s="5" t="s">
        <v>16952</v>
      </c>
    </row>
    <row r="4186" ht="15.75" spans="1:2">
      <c r="A4186" s="9" t="s">
        <v>13923</v>
      </c>
      <c r="B4186" s="5" t="s">
        <v>16952</v>
      </c>
    </row>
    <row r="4187" ht="15.75" spans="1:2">
      <c r="A4187" s="9" t="s">
        <v>13927</v>
      </c>
      <c r="B4187" s="5" t="s">
        <v>16952</v>
      </c>
    </row>
    <row r="4188" ht="15.75" spans="1:2">
      <c r="A4188" s="9" t="s">
        <v>13930</v>
      </c>
      <c r="B4188" s="5" t="s">
        <v>16952</v>
      </c>
    </row>
    <row r="4189" ht="15.75" spans="1:2">
      <c r="A4189" s="9" t="s">
        <v>13933</v>
      </c>
      <c r="B4189" s="5" t="s">
        <v>16952</v>
      </c>
    </row>
    <row r="4190" ht="15.75" spans="1:2">
      <c r="A4190" s="9" t="s">
        <v>13936</v>
      </c>
      <c r="B4190" s="5" t="s">
        <v>16952</v>
      </c>
    </row>
    <row r="4191" ht="15.75" spans="1:2">
      <c r="A4191" s="9" t="s">
        <v>13939</v>
      </c>
      <c r="B4191" s="5" t="s">
        <v>16952</v>
      </c>
    </row>
    <row r="4192" ht="15.75" spans="1:2">
      <c r="A4192" s="9" t="s">
        <v>13942</v>
      </c>
      <c r="B4192" s="5" t="s">
        <v>16952</v>
      </c>
    </row>
    <row r="4193" ht="15.75" spans="1:2">
      <c r="A4193" s="9" t="s">
        <v>13945</v>
      </c>
      <c r="B4193" s="5" t="s">
        <v>16952</v>
      </c>
    </row>
    <row r="4194" ht="15.75" spans="1:2">
      <c r="A4194" s="9" t="s">
        <v>13948</v>
      </c>
      <c r="B4194" s="5" t="s">
        <v>16952</v>
      </c>
    </row>
    <row r="4195" ht="15.75" spans="1:2">
      <c r="A4195" s="9" t="s">
        <v>13951</v>
      </c>
      <c r="B4195" s="5" t="s">
        <v>16952</v>
      </c>
    </row>
    <row r="4196" ht="15.75" spans="1:2">
      <c r="A4196" s="9" t="s">
        <v>13954</v>
      </c>
      <c r="B4196" s="14"/>
    </row>
    <row r="4197" ht="15.75" spans="1:2">
      <c r="A4197" s="9" t="s">
        <v>13954</v>
      </c>
      <c r="B4197" s="14"/>
    </row>
    <row r="4198" ht="15.75" spans="1:2">
      <c r="A4198" s="9" t="s">
        <v>13959</v>
      </c>
      <c r="B4198" s="5" t="s">
        <v>16952</v>
      </c>
    </row>
    <row r="4199" ht="15.75" spans="1:2">
      <c r="A4199" s="9" t="s">
        <v>13962</v>
      </c>
      <c r="B4199" s="10" t="s">
        <v>16952</v>
      </c>
    </row>
    <row r="4200" ht="15.75" spans="1:2">
      <c r="A4200" s="9" t="s">
        <v>13962</v>
      </c>
      <c r="B4200" s="10" t="s">
        <v>16952</v>
      </c>
    </row>
    <row r="4201" ht="15.75" spans="1:2">
      <c r="A4201" s="9" t="s">
        <v>13967</v>
      </c>
      <c r="B4201" s="5" t="s">
        <v>16952</v>
      </c>
    </row>
    <row r="4202" ht="15.75" spans="1:2">
      <c r="A4202" s="9" t="s">
        <v>13970</v>
      </c>
      <c r="B4202" s="5" t="s">
        <v>16952</v>
      </c>
    </row>
    <row r="4203" ht="15.75" spans="1:2">
      <c r="A4203" s="9" t="s">
        <v>13973</v>
      </c>
      <c r="B4203" s="5" t="s">
        <v>16952</v>
      </c>
    </row>
    <row r="4204" ht="15.75" spans="1:2">
      <c r="A4204" s="9" t="s">
        <v>13976</v>
      </c>
      <c r="B4204" s="5" t="s">
        <v>16952</v>
      </c>
    </row>
    <row r="4205" ht="15.75" spans="1:2">
      <c r="A4205" s="9" t="s">
        <v>13980</v>
      </c>
      <c r="B4205" s="5" t="s">
        <v>16952</v>
      </c>
    </row>
    <row r="4206" ht="15.75" spans="1:2">
      <c r="A4206" s="9" t="s">
        <v>13985</v>
      </c>
      <c r="B4206" s="5" t="s">
        <v>16952</v>
      </c>
    </row>
    <row r="4207" ht="15.75" spans="1:2">
      <c r="A4207" s="9" t="s">
        <v>13989</v>
      </c>
      <c r="B4207" s="5" t="s">
        <v>16952</v>
      </c>
    </row>
    <row r="4208" ht="15.75" spans="1:2">
      <c r="A4208" s="9" t="s">
        <v>13993</v>
      </c>
      <c r="B4208" s="13"/>
    </row>
    <row r="4209" ht="15.75" spans="1:2">
      <c r="A4209" s="9" t="s">
        <v>13997</v>
      </c>
      <c r="B4209" s="5" t="s">
        <v>16952</v>
      </c>
    </row>
    <row r="4210" ht="15.75" spans="1:2">
      <c r="A4210" s="9" t="s">
        <v>14000</v>
      </c>
      <c r="B4210" s="5" t="s">
        <v>16952</v>
      </c>
    </row>
    <row r="4211" ht="15.75" spans="1:2">
      <c r="A4211" s="9" t="s">
        <v>14004</v>
      </c>
      <c r="B4211" s="5" t="s">
        <v>16952</v>
      </c>
    </row>
    <row r="4212" ht="15.75" spans="1:2">
      <c r="A4212" s="9" t="s">
        <v>14008</v>
      </c>
      <c r="B4212" s="5" t="s">
        <v>16952</v>
      </c>
    </row>
    <row r="4213" ht="15.75" spans="1:2">
      <c r="A4213" s="9" t="s">
        <v>14013</v>
      </c>
      <c r="B4213" s="5" t="s">
        <v>16952</v>
      </c>
    </row>
    <row r="4214" ht="15.75" spans="1:2">
      <c r="A4214" s="9" t="s">
        <v>14017</v>
      </c>
      <c r="B4214" s="5" t="s">
        <v>16952</v>
      </c>
    </row>
    <row r="4215" ht="15.75" spans="1:2">
      <c r="A4215" s="9" t="s">
        <v>14020</v>
      </c>
      <c r="B4215" s="5" t="s">
        <v>16952</v>
      </c>
    </row>
    <row r="4216" ht="15.75" spans="1:2">
      <c r="A4216" s="9" t="s">
        <v>14024</v>
      </c>
      <c r="B4216" s="5" t="s">
        <v>16952</v>
      </c>
    </row>
    <row r="4217" ht="15.75" spans="1:2">
      <c r="A4217" s="9" t="s">
        <v>14027</v>
      </c>
      <c r="B4217" s="5" t="s">
        <v>16952</v>
      </c>
    </row>
    <row r="4218" ht="15.75" spans="1:2">
      <c r="A4218" s="9" t="s">
        <v>14030</v>
      </c>
      <c r="B4218" s="5" t="s">
        <v>16952</v>
      </c>
    </row>
    <row r="4219" ht="15.75" spans="1:2">
      <c r="A4219" s="9" t="s">
        <v>14034</v>
      </c>
      <c r="B4219" s="5" t="s">
        <v>16952</v>
      </c>
    </row>
    <row r="4220" ht="15.75" spans="1:2">
      <c r="A4220" s="9" t="s">
        <v>14037</v>
      </c>
      <c r="B4220" s="5" t="s">
        <v>16952</v>
      </c>
    </row>
    <row r="4221" ht="15.75" spans="1:2">
      <c r="A4221" s="9" t="s">
        <v>14041</v>
      </c>
      <c r="B4221" s="5" t="s">
        <v>16952</v>
      </c>
    </row>
    <row r="4222" ht="15.75" spans="1:2">
      <c r="A4222" s="9" t="s">
        <v>14044</v>
      </c>
      <c r="B4222" s="5" t="s">
        <v>16952</v>
      </c>
    </row>
    <row r="4223" ht="15.75" spans="1:2">
      <c r="A4223" s="9" t="s">
        <v>14047</v>
      </c>
      <c r="B4223" s="10" t="s">
        <v>16952</v>
      </c>
    </row>
    <row r="4224" ht="15.75" spans="1:2">
      <c r="A4224" s="9" t="s">
        <v>14047</v>
      </c>
      <c r="B4224" s="10" t="s">
        <v>16952</v>
      </c>
    </row>
    <row r="4225" ht="15.75" spans="1:2">
      <c r="A4225" s="9" t="s">
        <v>14051</v>
      </c>
      <c r="B4225" s="5" t="s">
        <v>16952</v>
      </c>
    </row>
    <row r="4226" ht="15.75" spans="1:2">
      <c r="A4226" s="9" t="s">
        <v>14055</v>
      </c>
      <c r="B4226" s="5" t="s">
        <v>16952</v>
      </c>
    </row>
    <row r="4227" ht="15.75" spans="1:2">
      <c r="A4227" s="9" t="s">
        <v>14060</v>
      </c>
      <c r="B4227" s="5" t="s">
        <v>16952</v>
      </c>
    </row>
    <row r="4228" ht="15.75" spans="1:2">
      <c r="A4228" s="9" t="s">
        <v>14063</v>
      </c>
      <c r="B4228" s="10" t="s">
        <v>16952</v>
      </c>
    </row>
    <row r="4229" ht="15.75" spans="1:2">
      <c r="A4229" s="9" t="s">
        <v>14063</v>
      </c>
      <c r="B4229" s="10" t="s">
        <v>16952</v>
      </c>
    </row>
    <row r="4230" ht="15.75" spans="1:2">
      <c r="A4230" s="9" t="s">
        <v>14067</v>
      </c>
      <c r="B4230" s="5" t="s">
        <v>16952</v>
      </c>
    </row>
    <row r="4231" ht="15.75" spans="1:2">
      <c r="A4231" s="9" t="s">
        <v>14070</v>
      </c>
      <c r="B4231" s="5" t="s">
        <v>16952</v>
      </c>
    </row>
    <row r="4232" ht="15.75" spans="1:2">
      <c r="A4232" s="9" t="s">
        <v>14073</v>
      </c>
      <c r="B4232" s="5" t="s">
        <v>16952</v>
      </c>
    </row>
    <row r="4233" ht="15.75" spans="1:2">
      <c r="A4233" s="9" t="s">
        <v>14077</v>
      </c>
      <c r="B4233" s="5" t="s">
        <v>16952</v>
      </c>
    </row>
    <row r="4234" ht="15.75" spans="1:2">
      <c r="A4234" s="9" t="s">
        <v>14081</v>
      </c>
      <c r="B4234" s="5" t="s">
        <v>16952</v>
      </c>
    </row>
    <row r="4235" ht="15.75" spans="1:2">
      <c r="A4235" s="9" t="s">
        <v>14084</v>
      </c>
      <c r="B4235" s="5" t="s">
        <v>16952</v>
      </c>
    </row>
    <row r="4236" ht="15.75" spans="1:2">
      <c r="A4236" s="9" t="s">
        <v>14088</v>
      </c>
      <c r="B4236" s="5" t="s">
        <v>16952</v>
      </c>
    </row>
    <row r="4237" ht="15.75" spans="1:2">
      <c r="A4237" s="9" t="s">
        <v>14091</v>
      </c>
      <c r="B4237" s="5" t="s">
        <v>16952</v>
      </c>
    </row>
    <row r="4238" ht="15.75" spans="1:2">
      <c r="A4238" s="9" t="s">
        <v>14095</v>
      </c>
      <c r="B4238" s="5" t="s">
        <v>16952</v>
      </c>
    </row>
    <row r="4239" ht="15.75" spans="1:2">
      <c r="A4239" s="9" t="s">
        <v>14098</v>
      </c>
      <c r="B4239" s="8"/>
    </row>
    <row r="4240" ht="15.75" spans="1:2">
      <c r="A4240" s="9" t="s">
        <v>14101</v>
      </c>
      <c r="B4240" s="10" t="s">
        <v>16952</v>
      </c>
    </row>
    <row r="4241" ht="15.75" spans="1:2">
      <c r="A4241" s="9" t="s">
        <v>14101</v>
      </c>
      <c r="B4241" s="10" t="s">
        <v>16952</v>
      </c>
    </row>
    <row r="4242" ht="15.75" spans="1:2">
      <c r="A4242" s="9" t="s">
        <v>14101</v>
      </c>
      <c r="B4242" s="12"/>
    </row>
    <row r="4243" ht="15.75" spans="1:2">
      <c r="A4243" s="9" t="s">
        <v>14106</v>
      </c>
      <c r="B4243" s="5" t="s">
        <v>16952</v>
      </c>
    </row>
    <row r="4244" ht="15.75" spans="1:2">
      <c r="A4244" s="9" t="s">
        <v>14109</v>
      </c>
      <c r="B4244" s="5" t="s">
        <v>16952</v>
      </c>
    </row>
    <row r="4245" ht="15.75" spans="1:2">
      <c r="A4245" s="9" t="s">
        <v>14113</v>
      </c>
      <c r="B4245" s="5" t="s">
        <v>16952</v>
      </c>
    </row>
    <row r="4246" ht="15.75" spans="1:2">
      <c r="A4246" s="9" t="s">
        <v>14117</v>
      </c>
      <c r="B4246" s="5" t="s">
        <v>16952</v>
      </c>
    </row>
    <row r="4247" ht="15.75" spans="1:2">
      <c r="A4247" s="9" t="s">
        <v>14120</v>
      </c>
      <c r="B4247" s="5" t="s">
        <v>16952</v>
      </c>
    </row>
    <row r="4248" ht="15.75" spans="1:2">
      <c r="A4248" s="9" t="s">
        <v>14124</v>
      </c>
      <c r="B4248" s="5" t="s">
        <v>16952</v>
      </c>
    </row>
    <row r="4249" ht="15.75" spans="1:2">
      <c r="A4249" s="9" t="s">
        <v>14128</v>
      </c>
      <c r="B4249" s="5" t="s">
        <v>16952</v>
      </c>
    </row>
    <row r="4250" ht="15.75" spans="1:2">
      <c r="A4250" s="9" t="s">
        <v>14131</v>
      </c>
      <c r="B4250" s="5" t="s">
        <v>16952</v>
      </c>
    </row>
    <row r="4251" ht="15.75" spans="1:2">
      <c r="A4251" s="9" t="s">
        <v>14135</v>
      </c>
      <c r="B4251" s="8"/>
    </row>
    <row r="4252" ht="15.75" spans="1:2">
      <c r="A4252" s="9" t="s">
        <v>14136</v>
      </c>
      <c r="B4252" s="5" t="s">
        <v>16952</v>
      </c>
    </row>
    <row r="4253" ht="15.75" spans="1:2">
      <c r="A4253" s="9" t="s">
        <v>14139</v>
      </c>
      <c r="B4253" s="5" t="s">
        <v>16952</v>
      </c>
    </row>
    <row r="4254" ht="15.75" spans="1:2">
      <c r="A4254" s="9" t="s">
        <v>14143</v>
      </c>
      <c r="B4254" s="10" t="s">
        <v>16952</v>
      </c>
    </row>
    <row r="4255" ht="15.75" spans="1:2">
      <c r="A4255" s="9" t="s">
        <v>14143</v>
      </c>
      <c r="B4255" s="10" t="s">
        <v>16952</v>
      </c>
    </row>
    <row r="4256" ht="15.75" spans="1:2">
      <c r="A4256" s="9" t="s">
        <v>14147</v>
      </c>
      <c r="B4256" s="5" t="s">
        <v>16952</v>
      </c>
    </row>
    <row r="4257" ht="15.75" spans="1:2">
      <c r="A4257" s="9" t="s">
        <v>14151</v>
      </c>
      <c r="B4257" s="5"/>
    </row>
    <row r="4258" ht="15.75" spans="1:2">
      <c r="A4258" s="9" t="s">
        <v>14155</v>
      </c>
      <c r="B4258" s="5" t="s">
        <v>16952</v>
      </c>
    </row>
    <row r="4259" ht="15.75" spans="1:2">
      <c r="A4259" s="9" t="s">
        <v>14158</v>
      </c>
      <c r="B4259" s="5" t="s">
        <v>16952</v>
      </c>
    </row>
    <row r="4260" ht="15.75" spans="1:2">
      <c r="A4260" s="9" t="s">
        <v>14161</v>
      </c>
      <c r="B4260" s="5" t="s">
        <v>16952</v>
      </c>
    </row>
    <row r="4261" ht="15.75" spans="1:2">
      <c r="A4261" s="9" t="s">
        <v>14165</v>
      </c>
      <c r="B4261" s="5" t="s">
        <v>16952</v>
      </c>
    </row>
    <row r="4262" ht="15.75" spans="1:2">
      <c r="A4262" s="9" t="s">
        <v>14169</v>
      </c>
      <c r="B4262" s="5" t="s">
        <v>16952</v>
      </c>
    </row>
    <row r="4263" ht="15.75" spans="1:2">
      <c r="A4263" s="9" t="s">
        <v>14173</v>
      </c>
      <c r="B4263" s="5" t="s">
        <v>16952</v>
      </c>
    </row>
    <row r="4264" ht="15.75" spans="1:2">
      <c r="A4264" s="9" t="s">
        <v>14178</v>
      </c>
      <c r="B4264" s="5" t="s">
        <v>16952</v>
      </c>
    </row>
    <row r="4265" ht="15.75" spans="1:2">
      <c r="A4265" s="9" t="s">
        <v>14182</v>
      </c>
      <c r="B4265" s="5" t="s">
        <v>16952</v>
      </c>
    </row>
    <row r="4266" ht="15.75" spans="1:2">
      <c r="A4266" s="9" t="s">
        <v>14185</v>
      </c>
      <c r="B4266" s="5" t="s">
        <v>16952</v>
      </c>
    </row>
    <row r="4267" ht="15.75" spans="1:2">
      <c r="A4267" s="9" t="s">
        <v>14189</v>
      </c>
      <c r="B4267" s="5" t="s">
        <v>16952</v>
      </c>
    </row>
    <row r="4268" ht="15.75" spans="1:2">
      <c r="A4268" s="9" t="s">
        <v>14192</v>
      </c>
      <c r="B4268" s="5" t="s">
        <v>16952</v>
      </c>
    </row>
    <row r="4269" ht="15.75" spans="1:2">
      <c r="A4269" s="9" t="s">
        <v>14195</v>
      </c>
      <c r="B4269" s="5" t="s">
        <v>16952</v>
      </c>
    </row>
    <row r="4270" ht="15.75" spans="1:2">
      <c r="A4270" s="9" t="s">
        <v>14198</v>
      </c>
      <c r="B4270" s="5" t="s">
        <v>16952</v>
      </c>
    </row>
    <row r="4271" ht="15.75" spans="1:2">
      <c r="A4271" s="9" t="s">
        <v>14202</v>
      </c>
      <c r="B4271" s="5" t="s">
        <v>16952</v>
      </c>
    </row>
    <row r="4272" ht="15.75" spans="1:2">
      <c r="A4272" s="9" t="s">
        <v>14205</v>
      </c>
      <c r="B4272" s="5" t="s">
        <v>16952</v>
      </c>
    </row>
    <row r="4273" ht="15.75" spans="1:2">
      <c r="A4273" s="9" t="s">
        <v>14208</v>
      </c>
      <c r="B4273" s="5" t="s">
        <v>16952</v>
      </c>
    </row>
    <row r="4274" ht="15.75" spans="1:2">
      <c r="A4274" s="9" t="s">
        <v>14211</v>
      </c>
      <c r="B4274" s="5" t="s">
        <v>16952</v>
      </c>
    </row>
    <row r="4275" ht="15.75" spans="1:2">
      <c r="A4275" s="9" t="s">
        <v>14214</v>
      </c>
      <c r="B4275" s="5" t="s">
        <v>16952</v>
      </c>
    </row>
    <row r="4276" ht="15.75" spans="1:2">
      <c r="A4276" s="9" t="s">
        <v>14218</v>
      </c>
      <c r="B4276" s="5" t="s">
        <v>16952</v>
      </c>
    </row>
    <row r="4277" ht="15.75" spans="1:2">
      <c r="A4277" s="9" t="s">
        <v>14221</v>
      </c>
      <c r="B4277" s="5" t="s">
        <v>16952</v>
      </c>
    </row>
    <row r="4278" ht="15.75" spans="1:2">
      <c r="A4278" s="9" t="s">
        <v>14225</v>
      </c>
      <c r="B4278" s="10" t="s">
        <v>16952</v>
      </c>
    </row>
    <row r="4279" ht="15.75" spans="1:2">
      <c r="A4279" s="9" t="s">
        <v>14225</v>
      </c>
      <c r="B4279" s="10" t="s">
        <v>16952</v>
      </c>
    </row>
    <row r="4280" ht="15.75" spans="1:2">
      <c r="A4280" s="9" t="s">
        <v>14229</v>
      </c>
      <c r="B4280" s="5" t="s">
        <v>16952</v>
      </c>
    </row>
    <row r="4281" ht="15.75" spans="1:2">
      <c r="A4281" s="9" t="s">
        <v>14233</v>
      </c>
      <c r="B4281" s="5" t="s">
        <v>16952</v>
      </c>
    </row>
    <row r="4282" ht="15.75" spans="1:2">
      <c r="A4282" s="9" t="s">
        <v>14236</v>
      </c>
      <c r="B4282" s="14"/>
    </row>
    <row r="4283" ht="15.75" spans="1:2">
      <c r="A4283" s="9" t="s">
        <v>14236</v>
      </c>
      <c r="B4283" s="14"/>
    </row>
    <row r="4284" ht="15.75" spans="1:2">
      <c r="A4284" s="9" t="s">
        <v>14240</v>
      </c>
      <c r="B4284" s="5" t="s">
        <v>16952</v>
      </c>
    </row>
    <row r="4285" ht="15.75" spans="1:2">
      <c r="A4285" s="9" t="s">
        <v>14244</v>
      </c>
      <c r="B4285" s="5" t="s">
        <v>16952</v>
      </c>
    </row>
    <row r="4286" ht="15.75" spans="1:2">
      <c r="A4286" s="9" t="s">
        <v>14248</v>
      </c>
      <c r="B4286" s="5" t="s">
        <v>16952</v>
      </c>
    </row>
    <row r="4287" ht="15.75" spans="1:2">
      <c r="A4287" s="9" t="s">
        <v>14252</v>
      </c>
      <c r="B4287" s="5" t="s">
        <v>16952</v>
      </c>
    </row>
    <row r="4288" ht="15.75" spans="1:2">
      <c r="A4288" s="9" t="s">
        <v>14257</v>
      </c>
      <c r="B4288" s="5" t="s">
        <v>16952</v>
      </c>
    </row>
    <row r="4289" ht="31.5" spans="1:2">
      <c r="A4289" s="9" t="s">
        <v>14260</v>
      </c>
      <c r="B4289" s="8" t="s">
        <v>16994</v>
      </c>
    </row>
    <row r="4290" ht="15.75" spans="1:2">
      <c r="A4290" s="9" t="s">
        <v>14261</v>
      </c>
      <c r="B4290" s="10" t="s">
        <v>16952</v>
      </c>
    </row>
    <row r="4291" ht="15.75" spans="1:2">
      <c r="A4291" s="9" t="s">
        <v>14261</v>
      </c>
      <c r="B4291" s="10" t="s">
        <v>16952</v>
      </c>
    </row>
    <row r="4292" ht="15.75" spans="1:2">
      <c r="A4292" s="9" t="s">
        <v>14265</v>
      </c>
      <c r="B4292" s="5" t="s">
        <v>16952</v>
      </c>
    </row>
    <row r="4293" ht="15.75" spans="1:2">
      <c r="A4293" s="9" t="s">
        <v>14268</v>
      </c>
      <c r="B4293" s="5" t="s">
        <v>16952</v>
      </c>
    </row>
    <row r="4294" ht="15.75" spans="1:2">
      <c r="A4294" s="9" t="s">
        <v>14271</v>
      </c>
      <c r="B4294" s="5" t="s">
        <v>16952</v>
      </c>
    </row>
    <row r="4295" ht="15.75" spans="1:2">
      <c r="A4295" s="9" t="s">
        <v>14276</v>
      </c>
      <c r="B4295" s="5" t="s">
        <v>16952</v>
      </c>
    </row>
    <row r="4296" ht="15.75" spans="1:2">
      <c r="A4296" s="9" t="s">
        <v>14281</v>
      </c>
      <c r="B4296" s="10" t="s">
        <v>16952</v>
      </c>
    </row>
    <row r="4297" ht="15.75" spans="1:2">
      <c r="A4297" s="9" t="s">
        <v>14281</v>
      </c>
      <c r="B4297" s="12" t="s">
        <v>16995</v>
      </c>
    </row>
    <row r="4298" ht="15.75" spans="1:2">
      <c r="A4298" s="9" t="s">
        <v>14284</v>
      </c>
      <c r="B4298" s="5" t="s">
        <v>16952</v>
      </c>
    </row>
    <row r="4299" ht="15.75" spans="1:2">
      <c r="A4299" s="9" t="s">
        <v>14287</v>
      </c>
      <c r="B4299" s="5" t="s">
        <v>16952</v>
      </c>
    </row>
    <row r="4300" ht="15.75" spans="1:2">
      <c r="A4300" s="9" t="s">
        <v>14292</v>
      </c>
      <c r="B4300" s="5" t="s">
        <v>16952</v>
      </c>
    </row>
    <row r="4301" ht="15.75" spans="1:2">
      <c r="A4301" s="9" t="s">
        <v>14295</v>
      </c>
      <c r="B4301" s="5" t="s">
        <v>16952</v>
      </c>
    </row>
    <row r="4302" ht="15.75" spans="1:2">
      <c r="A4302" s="9" t="s">
        <v>14299</v>
      </c>
      <c r="B4302" s="5" t="s">
        <v>16952</v>
      </c>
    </row>
    <row r="4303" ht="15.75" spans="1:2">
      <c r="A4303" s="9" t="s">
        <v>14303</v>
      </c>
      <c r="B4303" s="5"/>
    </row>
    <row r="4304" ht="15.75" spans="1:2">
      <c r="A4304" s="9" t="s">
        <v>14308</v>
      </c>
      <c r="B4304" s="5" t="s">
        <v>16952</v>
      </c>
    </row>
    <row r="4305" ht="15.75" spans="1:2">
      <c r="A4305" s="9" t="s">
        <v>14311</v>
      </c>
      <c r="B4305" s="5" t="s">
        <v>16952</v>
      </c>
    </row>
    <row r="4306" ht="15.75" spans="1:2">
      <c r="A4306" s="9" t="s">
        <v>14314</v>
      </c>
      <c r="B4306" s="5" t="s">
        <v>16952</v>
      </c>
    </row>
    <row r="4307" ht="15.75" spans="1:2">
      <c r="A4307" s="9" t="s">
        <v>14317</v>
      </c>
      <c r="B4307" s="5" t="s">
        <v>16952</v>
      </c>
    </row>
    <row r="4308" ht="15.75" spans="1:2">
      <c r="A4308" s="9" t="s">
        <v>14320</v>
      </c>
      <c r="B4308" s="5" t="s">
        <v>16952</v>
      </c>
    </row>
    <row r="4309" ht="15.75" spans="1:2">
      <c r="A4309" s="9" t="s">
        <v>14323</v>
      </c>
      <c r="B4309" s="5" t="s">
        <v>16952</v>
      </c>
    </row>
    <row r="4310" ht="15.75" spans="1:2">
      <c r="A4310" s="9" t="s">
        <v>14327</v>
      </c>
      <c r="B4310" s="5" t="s">
        <v>16952</v>
      </c>
    </row>
    <row r="4311" ht="15.75" spans="1:2">
      <c r="A4311" s="9" t="s">
        <v>14331</v>
      </c>
      <c r="B4311" s="8"/>
    </row>
    <row r="4312" ht="15.75" spans="1:2">
      <c r="A4312" s="9" t="s">
        <v>14332</v>
      </c>
      <c r="B4312" s="5" t="s">
        <v>16952</v>
      </c>
    </row>
    <row r="4313" ht="15.75" spans="1:2">
      <c r="A4313" s="9" t="s">
        <v>14335</v>
      </c>
      <c r="B4313" s="5" t="s">
        <v>16952</v>
      </c>
    </row>
    <row r="4314" ht="15.75" spans="1:2">
      <c r="A4314" s="9" t="s">
        <v>14338</v>
      </c>
      <c r="B4314" s="8"/>
    </row>
    <row r="4315" ht="15.75" spans="1:2">
      <c r="A4315" s="9" t="s">
        <v>14339</v>
      </c>
      <c r="B4315" s="5" t="s">
        <v>16952</v>
      </c>
    </row>
    <row r="4316" ht="15.75" spans="1:2">
      <c r="A4316" s="9" t="s">
        <v>14342</v>
      </c>
      <c r="B4316" s="5" t="s">
        <v>16952</v>
      </c>
    </row>
    <row r="4317" ht="15.75" spans="1:2">
      <c r="A4317" s="9" t="s">
        <v>14345</v>
      </c>
      <c r="B4317" s="5" t="s">
        <v>16952</v>
      </c>
    </row>
    <row r="4318" ht="15.75" spans="1:2">
      <c r="A4318" s="9" t="s">
        <v>14348</v>
      </c>
      <c r="B4318" s="5" t="s">
        <v>16952</v>
      </c>
    </row>
    <row r="4319" ht="15.75" spans="1:2">
      <c r="A4319" s="9" t="s">
        <v>14351</v>
      </c>
      <c r="B4319" s="5" t="s">
        <v>16952</v>
      </c>
    </row>
    <row r="4320" ht="15.75" spans="1:2">
      <c r="A4320" s="9" t="s">
        <v>14355</v>
      </c>
      <c r="B4320" s="5" t="s">
        <v>16952</v>
      </c>
    </row>
    <row r="4321" ht="15.75" spans="1:2">
      <c r="A4321" s="9" t="s">
        <v>14359</v>
      </c>
      <c r="B4321" s="5" t="s">
        <v>16952</v>
      </c>
    </row>
    <row r="4322" ht="15.75" spans="1:2">
      <c r="A4322" s="9" t="s">
        <v>14363</v>
      </c>
      <c r="B4322" s="5" t="s">
        <v>16952</v>
      </c>
    </row>
    <row r="4323" ht="15.75" spans="1:2">
      <c r="A4323" s="9" t="s">
        <v>14366</v>
      </c>
      <c r="B4323" s="13"/>
    </row>
    <row r="4324" ht="15.75" spans="1:2">
      <c r="A4324" s="9" t="s">
        <v>14369</v>
      </c>
      <c r="B4324" s="5" t="s">
        <v>16952</v>
      </c>
    </row>
    <row r="4325" ht="15.75" spans="1:2">
      <c r="A4325" s="9" t="s">
        <v>14372</v>
      </c>
      <c r="B4325" s="5" t="s">
        <v>16952</v>
      </c>
    </row>
    <row r="4326" ht="15.75" spans="1:2">
      <c r="A4326" s="9" t="s">
        <v>14375</v>
      </c>
      <c r="B4326" s="5" t="s">
        <v>16952</v>
      </c>
    </row>
    <row r="4327" ht="15.75" spans="1:2">
      <c r="A4327" s="9" t="s">
        <v>14379</v>
      </c>
      <c r="B4327" s="5" t="s">
        <v>16952</v>
      </c>
    </row>
    <row r="4328" ht="15.75" spans="1:2">
      <c r="A4328" s="9" t="s">
        <v>14383</v>
      </c>
      <c r="B4328" s="5" t="s">
        <v>16952</v>
      </c>
    </row>
    <row r="4329" ht="15.75" spans="1:2">
      <c r="A4329" s="9" t="s">
        <v>14387</v>
      </c>
      <c r="B4329" s="5" t="s">
        <v>16952</v>
      </c>
    </row>
    <row r="4330" ht="15.75" spans="1:2">
      <c r="A4330" s="9" t="s">
        <v>14390</v>
      </c>
      <c r="B4330" s="12"/>
    </row>
    <row r="4331" ht="15.75" spans="1:2">
      <c r="A4331" s="9" t="s">
        <v>14390</v>
      </c>
      <c r="B4331" s="10"/>
    </row>
    <row r="4332" ht="15.75" spans="1:2">
      <c r="A4332" s="9" t="s">
        <v>14391</v>
      </c>
      <c r="B4332" s="5" t="s">
        <v>16952</v>
      </c>
    </row>
    <row r="4333" ht="15.75" spans="1:2">
      <c r="A4333" s="9" t="s">
        <v>14394</v>
      </c>
      <c r="B4333" s="10" t="s">
        <v>16952</v>
      </c>
    </row>
    <row r="4334" ht="15.75" spans="1:2">
      <c r="A4334" s="9" t="s">
        <v>14394</v>
      </c>
      <c r="B4334" s="10" t="s">
        <v>16952</v>
      </c>
    </row>
    <row r="4335" ht="15.75" spans="1:2">
      <c r="A4335" s="9" t="s">
        <v>14398</v>
      </c>
      <c r="B4335" s="5" t="s">
        <v>16952</v>
      </c>
    </row>
    <row r="4336" ht="15.75" spans="1:2">
      <c r="A4336" s="9" t="s">
        <v>14403</v>
      </c>
      <c r="B4336" s="5" t="s">
        <v>16952</v>
      </c>
    </row>
    <row r="4337" ht="15.75" spans="1:2">
      <c r="A4337" s="9" t="s">
        <v>14408</v>
      </c>
      <c r="B4337" s="5" t="s">
        <v>16952</v>
      </c>
    </row>
    <row r="4338" ht="15.75" spans="1:2">
      <c r="A4338" s="9" t="s">
        <v>14412</v>
      </c>
      <c r="B4338" s="5" t="s">
        <v>16952</v>
      </c>
    </row>
    <row r="4339" ht="15.75" spans="1:2">
      <c r="A4339" s="9" t="s">
        <v>14415</v>
      </c>
      <c r="B4339" s="5" t="s">
        <v>16952</v>
      </c>
    </row>
    <row r="4340" ht="15.75" spans="1:2">
      <c r="A4340" s="9" t="s">
        <v>14419</v>
      </c>
      <c r="B4340" s="5" t="s">
        <v>16952</v>
      </c>
    </row>
    <row r="4341" ht="15.75" spans="1:2">
      <c r="A4341" s="9" t="s">
        <v>14423</v>
      </c>
      <c r="B4341" s="5" t="s">
        <v>16952</v>
      </c>
    </row>
    <row r="4342" ht="15.75" spans="1:2">
      <c r="A4342" s="9" t="s">
        <v>14426</v>
      </c>
      <c r="B4342" s="5" t="s">
        <v>16952</v>
      </c>
    </row>
    <row r="4343" ht="15.75" spans="1:2">
      <c r="A4343" s="9" t="s">
        <v>14430</v>
      </c>
      <c r="B4343" s="5" t="s">
        <v>16952</v>
      </c>
    </row>
    <row r="4344" ht="31.5" spans="1:2">
      <c r="A4344" s="9" t="s">
        <v>14433</v>
      </c>
      <c r="B4344" s="8" t="s">
        <v>16996</v>
      </c>
    </row>
    <row r="4345" ht="15.75" spans="1:2">
      <c r="A4345" s="9" t="s">
        <v>14435</v>
      </c>
      <c r="B4345" s="10" t="s">
        <v>16952</v>
      </c>
    </row>
    <row r="4346" ht="15.75" spans="1:2">
      <c r="A4346" s="9" t="s">
        <v>14435</v>
      </c>
      <c r="B4346" s="10" t="s">
        <v>16952</v>
      </c>
    </row>
    <row r="4347" ht="15.75" spans="1:2">
      <c r="A4347" s="9" t="s">
        <v>14439</v>
      </c>
      <c r="B4347" s="5" t="s">
        <v>16952</v>
      </c>
    </row>
    <row r="4348" ht="15.75" spans="1:2">
      <c r="A4348" s="9" t="s">
        <v>14442</v>
      </c>
      <c r="B4348" s="5" t="s">
        <v>16952</v>
      </c>
    </row>
    <row r="4349" ht="15.75" spans="1:2">
      <c r="A4349" s="9" t="s">
        <v>14446</v>
      </c>
      <c r="B4349" s="5" t="s">
        <v>16952</v>
      </c>
    </row>
    <row r="4350" ht="15.75" spans="1:2">
      <c r="A4350" s="9" t="s">
        <v>14451</v>
      </c>
      <c r="B4350" s="5" t="s">
        <v>16952</v>
      </c>
    </row>
    <row r="4351" ht="15.75" spans="1:2">
      <c r="A4351" s="9" t="s">
        <v>14455</v>
      </c>
      <c r="B4351" s="5" t="s">
        <v>16952</v>
      </c>
    </row>
    <row r="4352" ht="15.75" spans="1:2">
      <c r="A4352" s="9" t="s">
        <v>14459</v>
      </c>
      <c r="B4352" s="5" t="s">
        <v>16952</v>
      </c>
    </row>
    <row r="4353" ht="15.75" spans="1:2">
      <c r="A4353" s="9" t="s">
        <v>14463</v>
      </c>
      <c r="B4353" s="5" t="s">
        <v>16952</v>
      </c>
    </row>
    <row r="4354" ht="15.75" spans="1:2">
      <c r="A4354" s="9" t="s">
        <v>14467</v>
      </c>
      <c r="B4354" s="5" t="s">
        <v>16952</v>
      </c>
    </row>
    <row r="4355" ht="15.75" spans="1:2">
      <c r="A4355" s="9" t="s">
        <v>14470</v>
      </c>
      <c r="B4355" s="5" t="s">
        <v>16952</v>
      </c>
    </row>
    <row r="4356" ht="15.75" spans="1:2">
      <c r="A4356" s="9" t="s">
        <v>14473</v>
      </c>
      <c r="B4356" s="5" t="s">
        <v>16952</v>
      </c>
    </row>
    <row r="4357" ht="15.75" spans="1:2">
      <c r="A4357" s="9" t="s">
        <v>14476</v>
      </c>
      <c r="B4357" s="5" t="s">
        <v>16952</v>
      </c>
    </row>
    <row r="4358" ht="15.75" spans="1:2">
      <c r="A4358" s="9" t="s">
        <v>14479</v>
      </c>
      <c r="B4358" s="5" t="s">
        <v>16952</v>
      </c>
    </row>
    <row r="4359" ht="15.75" spans="1:2">
      <c r="A4359" s="9" t="s">
        <v>14483</v>
      </c>
      <c r="B4359" s="5" t="s">
        <v>16952</v>
      </c>
    </row>
    <row r="4360" ht="15.75" spans="1:2">
      <c r="A4360" s="9" t="s">
        <v>14487</v>
      </c>
      <c r="B4360" s="5" t="s">
        <v>16952</v>
      </c>
    </row>
    <row r="4361" ht="15.75" spans="1:2">
      <c r="A4361" s="9" t="s">
        <v>14491</v>
      </c>
      <c r="B4361" s="5" t="s">
        <v>16952</v>
      </c>
    </row>
    <row r="4362" ht="15.75" spans="1:2">
      <c r="A4362" s="9" t="s">
        <v>14494</v>
      </c>
      <c r="B4362" s="5" t="s">
        <v>16952</v>
      </c>
    </row>
    <row r="4363" ht="15.75" spans="1:2">
      <c r="A4363" s="9" t="s">
        <v>14497</v>
      </c>
      <c r="B4363" s="5" t="s">
        <v>16952</v>
      </c>
    </row>
    <row r="4364" ht="15.75" spans="1:2">
      <c r="A4364" s="9" t="s">
        <v>14501</v>
      </c>
      <c r="B4364" s="5" t="s">
        <v>16952</v>
      </c>
    </row>
    <row r="4365" ht="15.75" spans="1:2">
      <c r="A4365" s="9" t="s">
        <v>14505</v>
      </c>
      <c r="B4365" s="5" t="s">
        <v>16952</v>
      </c>
    </row>
    <row r="4366" ht="15.75" spans="1:2">
      <c r="A4366" s="9" t="s">
        <v>14508</v>
      </c>
      <c r="B4366" s="5" t="s">
        <v>16952</v>
      </c>
    </row>
    <row r="4367" ht="15.75" spans="1:2">
      <c r="A4367" s="9" t="s">
        <v>14512</v>
      </c>
      <c r="B4367" s="5" t="s">
        <v>16952</v>
      </c>
    </row>
    <row r="4368" ht="15.75" spans="1:2">
      <c r="A4368" s="9" t="s">
        <v>14516</v>
      </c>
      <c r="B4368" s="5" t="s">
        <v>16952</v>
      </c>
    </row>
    <row r="4369" ht="15.75" spans="1:2">
      <c r="A4369" s="9" t="s">
        <v>14519</v>
      </c>
      <c r="B4369" s="5" t="s">
        <v>16952</v>
      </c>
    </row>
    <row r="4370" ht="15.75" spans="1:2">
      <c r="A4370" s="9" t="s">
        <v>14523</v>
      </c>
      <c r="B4370" s="5" t="s">
        <v>16952</v>
      </c>
    </row>
    <row r="4371" ht="15.75" spans="1:2">
      <c r="A4371" s="9" t="s">
        <v>14528</v>
      </c>
      <c r="B4371" s="5" t="s">
        <v>16952</v>
      </c>
    </row>
    <row r="4372" ht="15.75" spans="1:2">
      <c r="A4372" s="9" t="s">
        <v>14531</v>
      </c>
      <c r="B4372" s="5" t="s">
        <v>16952</v>
      </c>
    </row>
    <row r="4373" ht="15.75" spans="1:2">
      <c r="A4373" s="9" t="s">
        <v>14535</v>
      </c>
      <c r="B4373" s="5" t="s">
        <v>16952</v>
      </c>
    </row>
    <row r="4374" ht="15.75" spans="1:2">
      <c r="A4374" s="9" t="s">
        <v>14539</v>
      </c>
      <c r="B4374" s="8"/>
    </row>
    <row r="4375" ht="15.75" spans="1:2">
      <c r="A4375" s="9" t="s">
        <v>14540</v>
      </c>
      <c r="B4375" s="5" t="s">
        <v>16952</v>
      </c>
    </row>
    <row r="4376" ht="15.75" spans="1:2">
      <c r="A4376" s="9" t="s">
        <v>14543</v>
      </c>
      <c r="B4376" s="5" t="s">
        <v>16952</v>
      </c>
    </row>
    <row r="4377" ht="15.75" spans="1:2">
      <c r="A4377" s="9" t="s">
        <v>14548</v>
      </c>
      <c r="B4377" s="5" t="s">
        <v>16952</v>
      </c>
    </row>
    <row r="4378" ht="15.75" spans="1:2">
      <c r="A4378" s="9" t="s">
        <v>14551</v>
      </c>
      <c r="B4378" s="5" t="s">
        <v>16952</v>
      </c>
    </row>
    <row r="4379" ht="15.75" spans="1:2">
      <c r="A4379" s="9" t="s">
        <v>14556</v>
      </c>
      <c r="B4379" s="5" t="s">
        <v>16952</v>
      </c>
    </row>
    <row r="4380" ht="15.75" spans="1:2">
      <c r="A4380" s="9" t="s">
        <v>14559</v>
      </c>
      <c r="B4380" s="5" t="s">
        <v>16952</v>
      </c>
    </row>
    <row r="4381" ht="15.75" spans="1:2">
      <c r="A4381" s="9" t="s">
        <v>14563</v>
      </c>
      <c r="B4381" s="5" t="s">
        <v>16952</v>
      </c>
    </row>
    <row r="4382" ht="15.75" spans="1:2">
      <c r="A4382" s="9" t="s">
        <v>14568</v>
      </c>
      <c r="B4382" s="5" t="s">
        <v>16952</v>
      </c>
    </row>
    <row r="4383" ht="31.5" spans="1:2">
      <c r="A4383" s="9" t="s">
        <v>14572</v>
      </c>
      <c r="B4383" s="21" t="s">
        <v>16997</v>
      </c>
    </row>
    <row r="4384" ht="31.5" spans="1:2">
      <c r="A4384" s="9" t="s">
        <v>14572</v>
      </c>
      <c r="B4384" s="21" t="s">
        <v>16997</v>
      </c>
    </row>
    <row r="4385" ht="15.75" spans="1:2">
      <c r="A4385" s="9" t="s">
        <v>14573</v>
      </c>
      <c r="B4385" s="5" t="s">
        <v>16952</v>
      </c>
    </row>
    <row r="4386" ht="15.75" spans="1:2">
      <c r="A4386" s="9" t="s">
        <v>14577</v>
      </c>
      <c r="B4386" s="5" t="s">
        <v>16952</v>
      </c>
    </row>
    <row r="4387" ht="15.75" spans="1:2">
      <c r="A4387" s="9" t="s">
        <v>14581</v>
      </c>
      <c r="B4387" s="5" t="s">
        <v>16952</v>
      </c>
    </row>
    <row r="4388" ht="15.75" spans="1:2">
      <c r="A4388" s="9" t="s">
        <v>14584</v>
      </c>
      <c r="B4388" s="5" t="s">
        <v>16952</v>
      </c>
    </row>
    <row r="4389" ht="15.75" spans="1:2">
      <c r="A4389" s="9" t="s">
        <v>14587</v>
      </c>
      <c r="B4389" s="5" t="s">
        <v>16952</v>
      </c>
    </row>
    <row r="4390" ht="15.75" spans="1:2">
      <c r="A4390" s="9" t="s">
        <v>14590</v>
      </c>
      <c r="B4390" s="5" t="s">
        <v>16952</v>
      </c>
    </row>
    <row r="4391" ht="15.75" spans="1:2">
      <c r="A4391" s="9" t="s">
        <v>14594</v>
      </c>
      <c r="B4391" s="5" t="s">
        <v>16952</v>
      </c>
    </row>
    <row r="4392" ht="15.75" spans="1:2">
      <c r="A4392" s="9" t="s">
        <v>14598</v>
      </c>
      <c r="B4392" s="5" t="s">
        <v>16952</v>
      </c>
    </row>
    <row r="4393" ht="15.75" spans="1:2">
      <c r="A4393" s="9" t="s">
        <v>14602</v>
      </c>
      <c r="B4393" s="5" t="s">
        <v>16952</v>
      </c>
    </row>
    <row r="4394" ht="15.75" spans="1:2">
      <c r="A4394" s="9" t="s">
        <v>14606</v>
      </c>
      <c r="B4394" s="5" t="s">
        <v>16952</v>
      </c>
    </row>
    <row r="4395" ht="15.75" spans="1:2">
      <c r="A4395" s="9" t="s">
        <v>14609</v>
      </c>
      <c r="B4395" s="5" t="s">
        <v>16952</v>
      </c>
    </row>
    <row r="4396" ht="15.75" spans="1:2">
      <c r="A4396" s="9" t="s">
        <v>14612</v>
      </c>
      <c r="B4396" s="5" t="s">
        <v>16952</v>
      </c>
    </row>
    <row r="4397" ht="15.75" spans="1:2">
      <c r="A4397" s="9" t="s">
        <v>14617</v>
      </c>
      <c r="B4397" s="5" t="s">
        <v>16952</v>
      </c>
    </row>
    <row r="4398" ht="15.75" spans="1:2">
      <c r="A4398" s="9" t="s">
        <v>14622</v>
      </c>
      <c r="B4398" s="5" t="s">
        <v>16952</v>
      </c>
    </row>
    <row r="4399" ht="15.75" spans="1:2">
      <c r="A4399" s="9" t="s">
        <v>14627</v>
      </c>
      <c r="B4399" s="5" t="s">
        <v>16952</v>
      </c>
    </row>
    <row r="4400" ht="15.75" spans="1:2">
      <c r="A4400" s="9" t="s">
        <v>14630</v>
      </c>
      <c r="B4400" s="5" t="s">
        <v>16952</v>
      </c>
    </row>
    <row r="4401" ht="15.75" spans="1:2">
      <c r="A4401" s="9" t="s">
        <v>14634</v>
      </c>
      <c r="B4401" s="5" t="s">
        <v>16952</v>
      </c>
    </row>
    <row r="4402" ht="15.75" spans="1:2">
      <c r="A4402" s="9" t="s">
        <v>14637</v>
      </c>
      <c r="B4402" s="5" t="s">
        <v>16952</v>
      </c>
    </row>
    <row r="4403" ht="15.75" spans="1:2">
      <c r="A4403" s="9" t="s">
        <v>14640</v>
      </c>
      <c r="B4403" s="5" t="s">
        <v>16952</v>
      </c>
    </row>
    <row r="4404" ht="31.5" spans="1:2">
      <c r="A4404" s="9" t="s">
        <v>14644</v>
      </c>
      <c r="B4404" s="8" t="s">
        <v>16998</v>
      </c>
    </row>
    <row r="4405" ht="15.75" spans="1:2">
      <c r="A4405" s="9" t="s">
        <v>14645</v>
      </c>
      <c r="B4405" s="5" t="s">
        <v>16952</v>
      </c>
    </row>
    <row r="4406" ht="15.75" spans="1:2">
      <c r="A4406" s="9" t="s">
        <v>14649</v>
      </c>
      <c r="B4406" s="5" t="s">
        <v>16952</v>
      </c>
    </row>
    <row r="4407" ht="15.75" spans="1:2">
      <c r="A4407" s="9" t="s">
        <v>14652</v>
      </c>
      <c r="B4407" s="5" t="s">
        <v>16952</v>
      </c>
    </row>
    <row r="4408" ht="15.75" spans="1:2">
      <c r="A4408" s="9" t="s">
        <v>14656</v>
      </c>
      <c r="B4408" s="5" t="s">
        <v>16952</v>
      </c>
    </row>
    <row r="4409" ht="15.75" spans="1:2">
      <c r="A4409" s="9" t="s">
        <v>14659</v>
      </c>
      <c r="B4409" s="10" t="s">
        <v>16952</v>
      </c>
    </row>
    <row r="4410" ht="15.75" spans="1:2">
      <c r="A4410" s="9" t="s">
        <v>14659</v>
      </c>
      <c r="B4410" s="10" t="s">
        <v>16952</v>
      </c>
    </row>
    <row r="4411" ht="15.75" spans="1:2">
      <c r="A4411" s="9" t="s">
        <v>14663</v>
      </c>
      <c r="B4411" s="5" t="s">
        <v>16952</v>
      </c>
    </row>
    <row r="4412" ht="15.75" spans="1:2">
      <c r="A4412" s="9" t="s">
        <v>14666</v>
      </c>
      <c r="B4412" s="5" t="s">
        <v>16952</v>
      </c>
    </row>
    <row r="4413" ht="15.75" spans="1:2">
      <c r="A4413" s="9" t="s">
        <v>14669</v>
      </c>
      <c r="B4413" s="5" t="s">
        <v>16952</v>
      </c>
    </row>
    <row r="4414" ht="15.75" spans="1:2">
      <c r="A4414" s="9" t="s">
        <v>14674</v>
      </c>
      <c r="B4414" s="5" t="s">
        <v>16952</v>
      </c>
    </row>
    <row r="4415" ht="15.75" spans="1:2">
      <c r="A4415" s="9" t="s">
        <v>14678</v>
      </c>
      <c r="B4415" s="5" t="s">
        <v>16952</v>
      </c>
    </row>
    <row r="4416" ht="15.75" spans="1:2">
      <c r="A4416" s="9" t="s">
        <v>14683</v>
      </c>
      <c r="B4416" s="5" t="s">
        <v>16952</v>
      </c>
    </row>
    <row r="4417" ht="15.75" spans="1:2">
      <c r="A4417" s="9" t="s">
        <v>14687</v>
      </c>
      <c r="B4417" s="5" t="s">
        <v>16952</v>
      </c>
    </row>
    <row r="4418" ht="15.75" spans="1:2">
      <c r="A4418" s="9" t="s">
        <v>14691</v>
      </c>
      <c r="B4418" s="5" t="s">
        <v>16952</v>
      </c>
    </row>
    <row r="4419" ht="15.75" spans="1:2">
      <c r="A4419" s="9" t="s">
        <v>14695</v>
      </c>
      <c r="B4419" s="5" t="s">
        <v>16952</v>
      </c>
    </row>
    <row r="4420" ht="15.75" spans="1:2">
      <c r="A4420" s="9" t="s">
        <v>14698</v>
      </c>
      <c r="B4420" s="5" t="s">
        <v>16952</v>
      </c>
    </row>
    <row r="4421" ht="15.75" spans="1:2">
      <c r="A4421" s="9" t="s">
        <v>14703</v>
      </c>
      <c r="B4421" s="5" t="s">
        <v>16952</v>
      </c>
    </row>
    <row r="4422" ht="15.75" spans="1:2">
      <c r="A4422" s="9" t="s">
        <v>14707</v>
      </c>
      <c r="B4422" s="5" t="s">
        <v>16952</v>
      </c>
    </row>
    <row r="4423" ht="15.75" spans="1:2">
      <c r="A4423" s="9" t="s">
        <v>14711</v>
      </c>
      <c r="B4423" s="5"/>
    </row>
    <row r="4424" ht="15.75" spans="1:2">
      <c r="A4424" s="9" t="s">
        <v>14716</v>
      </c>
      <c r="B4424" s="10" t="s">
        <v>16952</v>
      </c>
    </row>
    <row r="4425" ht="15.75" spans="1:2">
      <c r="A4425" s="9" t="s">
        <v>14716</v>
      </c>
      <c r="B4425" s="10" t="s">
        <v>16952</v>
      </c>
    </row>
    <row r="4426" ht="15.75" spans="1:2">
      <c r="A4426" s="9" t="s">
        <v>14720</v>
      </c>
      <c r="B4426" s="5" t="s">
        <v>16952</v>
      </c>
    </row>
    <row r="4427" ht="15.75" spans="1:2">
      <c r="A4427" s="9" t="s">
        <v>14724</v>
      </c>
      <c r="B4427" s="5" t="s">
        <v>16952</v>
      </c>
    </row>
    <row r="4428" ht="15.75" spans="1:2">
      <c r="A4428" s="9" t="s">
        <v>14727</v>
      </c>
      <c r="B4428" s="5" t="s">
        <v>16952</v>
      </c>
    </row>
    <row r="4429" ht="15.75" spans="1:2">
      <c r="A4429" s="9" t="s">
        <v>14730</v>
      </c>
      <c r="B4429" s="5" t="s">
        <v>16952</v>
      </c>
    </row>
    <row r="4430" ht="15.75" spans="1:2">
      <c r="A4430" s="9" t="s">
        <v>14733</v>
      </c>
      <c r="B4430" s="5" t="s">
        <v>16952</v>
      </c>
    </row>
    <row r="4431" ht="15.75" spans="1:2">
      <c r="A4431" s="9" t="s">
        <v>14737</v>
      </c>
      <c r="B4431" s="5" t="s">
        <v>16952</v>
      </c>
    </row>
    <row r="4432" ht="15.75" spans="1:2">
      <c r="A4432" s="9" t="s">
        <v>14741</v>
      </c>
      <c r="B4432" s="5" t="s">
        <v>16952</v>
      </c>
    </row>
    <row r="4433" ht="15.75" spans="1:2">
      <c r="A4433" s="9" t="s">
        <v>14745</v>
      </c>
      <c r="B4433" s="5"/>
    </row>
    <row r="4434" ht="15.75" spans="1:2">
      <c r="A4434" s="9" t="s">
        <v>14749</v>
      </c>
      <c r="B4434" s="5" t="s">
        <v>16952</v>
      </c>
    </row>
    <row r="4435" ht="15.75" spans="1:2">
      <c r="A4435" s="9" t="s">
        <v>14752</v>
      </c>
      <c r="B4435" s="5"/>
    </row>
    <row r="4436" ht="15.75" spans="1:2">
      <c r="A4436" s="9" t="s">
        <v>14756</v>
      </c>
      <c r="B4436" s="5" t="s">
        <v>16952</v>
      </c>
    </row>
    <row r="4437" ht="15.75" spans="1:2">
      <c r="A4437" s="9" t="s">
        <v>14760</v>
      </c>
      <c r="B4437" s="5" t="s">
        <v>16952</v>
      </c>
    </row>
    <row r="4438" ht="15.75" spans="1:2">
      <c r="A4438" s="9" t="s">
        <v>14765</v>
      </c>
      <c r="B4438" s="5" t="s">
        <v>16952</v>
      </c>
    </row>
    <row r="4439" ht="15.75" spans="1:2">
      <c r="A4439" s="9" t="s">
        <v>14769</v>
      </c>
      <c r="B4439" s="5" t="s">
        <v>16952</v>
      </c>
    </row>
    <row r="4440" ht="15.75" spans="1:2">
      <c r="A4440" s="9" t="s">
        <v>14773</v>
      </c>
      <c r="B4440" s="5" t="s">
        <v>16952</v>
      </c>
    </row>
    <row r="4441" ht="15.75" spans="1:2">
      <c r="A4441" s="9" t="s">
        <v>14777</v>
      </c>
      <c r="B4441" s="5" t="s">
        <v>16952</v>
      </c>
    </row>
    <row r="4442" ht="15.75" spans="1:2">
      <c r="A4442" s="9" t="s">
        <v>14781</v>
      </c>
      <c r="B4442" s="5" t="s">
        <v>16952</v>
      </c>
    </row>
    <row r="4443" ht="15.75" spans="1:2">
      <c r="A4443" s="9" t="s">
        <v>14784</v>
      </c>
      <c r="B4443" s="5" t="s">
        <v>16952</v>
      </c>
    </row>
    <row r="4444" ht="15.75" spans="1:2">
      <c r="A4444" s="9" t="s">
        <v>14788</v>
      </c>
      <c r="B4444" s="5" t="s">
        <v>16952</v>
      </c>
    </row>
    <row r="4445" ht="15.75" spans="1:2">
      <c r="A4445" s="9" t="s">
        <v>14792</v>
      </c>
      <c r="B4445" s="5" t="s">
        <v>16952</v>
      </c>
    </row>
    <row r="4446" ht="15.75" spans="1:2">
      <c r="A4446" s="9" t="s">
        <v>14796</v>
      </c>
      <c r="B4446" s="5" t="s">
        <v>16952</v>
      </c>
    </row>
    <row r="4447" ht="15.75" spans="1:2">
      <c r="A4447" s="9" t="s">
        <v>14801</v>
      </c>
      <c r="B4447" s="5" t="s">
        <v>16952</v>
      </c>
    </row>
    <row r="4448" ht="15.75" spans="1:2">
      <c r="A4448" s="9" t="s">
        <v>14805</v>
      </c>
      <c r="B4448" s="5"/>
    </row>
    <row r="4449" ht="15.75" spans="1:2">
      <c r="A4449" s="9" t="s">
        <v>14810</v>
      </c>
      <c r="B4449" s="5" t="s">
        <v>16952</v>
      </c>
    </row>
    <row r="4450" ht="15.75" spans="1:2">
      <c r="A4450" s="9" t="s">
        <v>14814</v>
      </c>
      <c r="B4450" s="5" t="s">
        <v>16952</v>
      </c>
    </row>
    <row r="4451" ht="15.75" spans="1:2">
      <c r="A4451" s="9" t="s">
        <v>14818</v>
      </c>
      <c r="B4451" s="5" t="s">
        <v>16952</v>
      </c>
    </row>
    <row r="4452" ht="15.75" spans="1:2">
      <c r="A4452" s="9" t="s">
        <v>14821</v>
      </c>
      <c r="B4452" s="16" t="s">
        <v>16999</v>
      </c>
    </row>
    <row r="4453" ht="15.75" spans="1:2">
      <c r="A4453" s="9" t="s">
        <v>14822</v>
      </c>
      <c r="B4453" s="5" t="s">
        <v>16952</v>
      </c>
    </row>
    <row r="4454" ht="15.75" spans="1:2">
      <c r="A4454" s="9" t="s">
        <v>14825</v>
      </c>
      <c r="B4454" s="5" t="s">
        <v>16952</v>
      </c>
    </row>
    <row r="4455" ht="15.75" spans="1:2">
      <c r="A4455" s="9" t="s">
        <v>14830</v>
      </c>
      <c r="B4455" s="5" t="s">
        <v>16952</v>
      </c>
    </row>
    <row r="4456" ht="15.75" spans="1:2">
      <c r="A4456" s="9" t="s">
        <v>14833</v>
      </c>
      <c r="B4456" s="8"/>
    </row>
    <row r="4457" ht="15.75" spans="1:2">
      <c r="A4457" s="9" t="s">
        <v>14834</v>
      </c>
      <c r="B4457" s="5" t="s">
        <v>16952</v>
      </c>
    </row>
    <row r="4458" ht="15.75" spans="1:2">
      <c r="A4458" s="9" t="s">
        <v>14837</v>
      </c>
      <c r="B4458" s="5" t="s">
        <v>16952</v>
      </c>
    </row>
    <row r="4459" ht="15.75" spans="1:2">
      <c r="A4459" s="9" t="s">
        <v>14840</v>
      </c>
      <c r="B4459" s="5" t="s">
        <v>16952</v>
      </c>
    </row>
    <row r="4460" ht="15.75" spans="1:2">
      <c r="A4460" s="9" t="s">
        <v>14843</v>
      </c>
      <c r="B4460" s="5" t="s">
        <v>16952</v>
      </c>
    </row>
    <row r="4461" ht="15.75" spans="1:2">
      <c r="A4461" s="9" t="s">
        <v>14846</v>
      </c>
      <c r="B4461" s="12"/>
    </row>
    <row r="4462" ht="15.75" spans="1:2">
      <c r="A4462" s="9" t="s">
        <v>14846</v>
      </c>
      <c r="B4462" s="12"/>
    </row>
    <row r="4463" ht="15.75" spans="1:2">
      <c r="A4463" s="9" t="s">
        <v>14847</v>
      </c>
      <c r="B4463" s="5" t="s">
        <v>16952</v>
      </c>
    </row>
    <row r="4464" ht="15.75" spans="1:2">
      <c r="A4464" s="9" t="s">
        <v>14850</v>
      </c>
      <c r="B4464" s="5" t="s">
        <v>16952</v>
      </c>
    </row>
    <row r="4465" ht="15.75" spans="1:2">
      <c r="A4465" s="9" t="s">
        <v>14854</v>
      </c>
      <c r="B4465" s="5" t="s">
        <v>16952</v>
      </c>
    </row>
    <row r="4466" ht="15.75" spans="1:2">
      <c r="A4466" s="9" t="s">
        <v>14857</v>
      </c>
      <c r="B4466" s="5" t="s">
        <v>16952</v>
      </c>
    </row>
    <row r="4467" ht="15.75" spans="1:2">
      <c r="A4467" s="9" t="s">
        <v>14860</v>
      </c>
      <c r="B4467" s="5" t="s">
        <v>16952</v>
      </c>
    </row>
    <row r="4468" ht="15.75" spans="1:2">
      <c r="A4468" s="9" t="s">
        <v>14863</v>
      </c>
      <c r="B4468" s="5" t="s">
        <v>16952</v>
      </c>
    </row>
    <row r="4469" ht="15.75" spans="1:2">
      <c r="A4469" s="9" t="s">
        <v>14866</v>
      </c>
      <c r="B4469" s="10" t="s">
        <v>16952</v>
      </c>
    </row>
    <row r="4470" ht="15.75" spans="1:2">
      <c r="A4470" s="9" t="s">
        <v>14866</v>
      </c>
      <c r="B4470" s="10" t="s">
        <v>16952</v>
      </c>
    </row>
    <row r="4471" ht="15.75" spans="1:2">
      <c r="A4471" s="9" t="s">
        <v>14870</v>
      </c>
      <c r="B4471" s="5" t="s">
        <v>16952</v>
      </c>
    </row>
    <row r="4472" ht="15.75" spans="1:2">
      <c r="A4472" s="9" t="s">
        <v>14873</v>
      </c>
      <c r="B4472" s="5" t="s">
        <v>16952</v>
      </c>
    </row>
    <row r="4473" ht="15.75" spans="1:2">
      <c r="A4473" s="9" t="s">
        <v>14877</v>
      </c>
      <c r="B4473" s="5" t="s">
        <v>16952</v>
      </c>
    </row>
    <row r="4474" ht="15.75" spans="1:2">
      <c r="A4474" s="9" t="s">
        <v>14880</v>
      </c>
      <c r="B4474" s="5" t="s">
        <v>16952</v>
      </c>
    </row>
    <row r="4475" ht="15.75" spans="1:2">
      <c r="A4475" s="9" t="s">
        <v>14883</v>
      </c>
      <c r="B4475" s="5" t="s">
        <v>16952</v>
      </c>
    </row>
    <row r="4476" ht="15.75" spans="1:2">
      <c r="A4476" s="9" t="s">
        <v>14886</v>
      </c>
      <c r="B4476" s="5" t="s">
        <v>16952</v>
      </c>
    </row>
    <row r="4477" ht="15.75" spans="1:2">
      <c r="A4477" s="9" t="s">
        <v>14889</v>
      </c>
      <c r="B4477" s="5" t="s">
        <v>16952</v>
      </c>
    </row>
    <row r="4478" ht="15.75" spans="1:2">
      <c r="A4478" s="9" t="s">
        <v>14893</v>
      </c>
      <c r="B4478" s="5" t="s">
        <v>16952</v>
      </c>
    </row>
    <row r="4479" ht="15.75" spans="1:2">
      <c r="A4479" s="9" t="s">
        <v>14897</v>
      </c>
      <c r="B4479" s="5" t="s">
        <v>16952</v>
      </c>
    </row>
    <row r="4480" ht="15.75" spans="1:2">
      <c r="A4480" s="9" t="s">
        <v>14900</v>
      </c>
      <c r="B4480" s="5" t="s">
        <v>16952</v>
      </c>
    </row>
    <row r="4481" ht="15.75" spans="1:2">
      <c r="A4481" s="9" t="s">
        <v>14904</v>
      </c>
      <c r="B4481" s="5" t="s">
        <v>16952</v>
      </c>
    </row>
    <row r="4482" ht="15.75" spans="1:2">
      <c r="A4482" s="9" t="s">
        <v>14908</v>
      </c>
      <c r="B4482" s="5" t="s">
        <v>16952</v>
      </c>
    </row>
    <row r="4483" ht="15.75" spans="1:2">
      <c r="A4483" s="9" t="s">
        <v>14912</v>
      </c>
      <c r="B4483" s="5" t="s">
        <v>16952</v>
      </c>
    </row>
    <row r="4484" ht="15.75" spans="1:2">
      <c r="A4484" s="9" t="s">
        <v>14916</v>
      </c>
      <c r="B4484" s="5" t="s">
        <v>16952</v>
      </c>
    </row>
    <row r="4485" ht="15.75" spans="1:2">
      <c r="A4485" s="9" t="s">
        <v>14919</v>
      </c>
      <c r="B4485" s="5" t="s">
        <v>16952</v>
      </c>
    </row>
    <row r="4486" ht="15.75" spans="1:2">
      <c r="A4486" s="9" t="s">
        <v>14923</v>
      </c>
      <c r="B4486" s="5" t="s">
        <v>16952</v>
      </c>
    </row>
    <row r="4487" ht="15.75" spans="1:2">
      <c r="A4487" s="9" t="s">
        <v>14927</v>
      </c>
      <c r="B4487" s="5" t="s">
        <v>16952</v>
      </c>
    </row>
    <row r="4488" ht="15.75" spans="1:2">
      <c r="A4488" s="9" t="s">
        <v>14930</v>
      </c>
      <c r="B4488" s="5" t="s">
        <v>16952</v>
      </c>
    </row>
    <row r="4489" ht="15.75" spans="1:2">
      <c r="A4489" s="9" t="s">
        <v>14934</v>
      </c>
      <c r="B4489" s="5" t="s">
        <v>16952</v>
      </c>
    </row>
    <row r="4490" ht="15.75" spans="1:2">
      <c r="A4490" s="9" t="s">
        <v>14938</v>
      </c>
      <c r="B4490" s="5" t="s">
        <v>16952</v>
      </c>
    </row>
    <row r="4491" ht="15.75" spans="1:2">
      <c r="A4491" s="9" t="s">
        <v>14942</v>
      </c>
      <c r="B4491" s="5" t="s">
        <v>16952</v>
      </c>
    </row>
    <row r="4492" ht="15.75" spans="1:2">
      <c r="A4492" s="9" t="s">
        <v>14945</v>
      </c>
      <c r="B4492" s="5" t="s">
        <v>16952</v>
      </c>
    </row>
    <row r="4493" ht="15.75" spans="1:2">
      <c r="A4493" s="9" t="s">
        <v>14949</v>
      </c>
      <c r="B4493" s="5" t="s">
        <v>16952</v>
      </c>
    </row>
    <row r="4494" ht="15.75" spans="1:2">
      <c r="A4494" s="9" t="s">
        <v>14953</v>
      </c>
      <c r="B4494" s="5" t="s">
        <v>16952</v>
      </c>
    </row>
    <row r="4495" ht="15.75" spans="1:2">
      <c r="A4495" s="9" t="s">
        <v>14956</v>
      </c>
      <c r="B4495" s="5" t="s">
        <v>16952</v>
      </c>
    </row>
    <row r="4496" ht="15.75" spans="1:2">
      <c r="A4496" s="9" t="s">
        <v>14960</v>
      </c>
      <c r="B4496" s="5" t="s">
        <v>16952</v>
      </c>
    </row>
    <row r="4497" ht="15.75" spans="1:2">
      <c r="A4497" s="9" t="s">
        <v>14963</v>
      </c>
      <c r="B4497" s="5" t="s">
        <v>16952</v>
      </c>
    </row>
    <row r="4498" ht="15.75" spans="1:2">
      <c r="A4498" s="9" t="s">
        <v>14966</v>
      </c>
      <c r="B4498" s="5" t="s">
        <v>16952</v>
      </c>
    </row>
    <row r="4499" ht="15.75" spans="1:2">
      <c r="A4499" s="9" t="s">
        <v>14970</v>
      </c>
      <c r="B4499" s="5" t="s">
        <v>16952</v>
      </c>
    </row>
    <row r="4500" ht="15.75" spans="1:2">
      <c r="A4500" s="9" t="s">
        <v>14973</v>
      </c>
      <c r="B4500" s="5" t="s">
        <v>16952</v>
      </c>
    </row>
    <row r="4501" ht="15.75" spans="1:2">
      <c r="A4501" s="9" t="s">
        <v>14977</v>
      </c>
      <c r="B4501" s="5" t="s">
        <v>16952</v>
      </c>
    </row>
    <row r="4502" ht="15.75" spans="1:2">
      <c r="A4502" s="9" t="s">
        <v>14981</v>
      </c>
      <c r="B4502" s="5" t="s">
        <v>16952</v>
      </c>
    </row>
    <row r="4503" ht="15.75" spans="1:2">
      <c r="A4503" s="9" t="s">
        <v>14985</v>
      </c>
      <c r="B4503" s="5" t="s">
        <v>16952</v>
      </c>
    </row>
    <row r="4504" ht="15.75" spans="1:2">
      <c r="A4504" s="9" t="s">
        <v>14987</v>
      </c>
      <c r="B4504" s="5" t="s">
        <v>16952</v>
      </c>
    </row>
    <row r="4505" ht="15.75" spans="1:2">
      <c r="A4505" s="9" t="s">
        <v>14990</v>
      </c>
      <c r="B4505" s="5" t="s">
        <v>16952</v>
      </c>
    </row>
    <row r="4506" ht="15.75" spans="1:2">
      <c r="A4506" s="9" t="s">
        <v>14993</v>
      </c>
      <c r="B4506" s="5" t="s">
        <v>16952</v>
      </c>
    </row>
    <row r="4507" ht="15.75" spans="1:2">
      <c r="A4507" s="9" t="s">
        <v>14997</v>
      </c>
      <c r="B4507" s="5" t="s">
        <v>16952</v>
      </c>
    </row>
    <row r="4508" ht="15.75" spans="1:2">
      <c r="A4508" s="9" t="s">
        <v>15000</v>
      </c>
      <c r="B4508" s="5" t="s">
        <v>16952</v>
      </c>
    </row>
    <row r="4509" ht="15.75" spans="1:2">
      <c r="A4509" s="9" t="s">
        <v>15004</v>
      </c>
      <c r="B4509" s="5" t="s">
        <v>16952</v>
      </c>
    </row>
    <row r="4510" ht="15.75" spans="1:2">
      <c r="A4510" s="9" t="s">
        <v>15008</v>
      </c>
      <c r="B4510" s="13"/>
    </row>
    <row r="4511" ht="15.75" spans="1:2">
      <c r="A4511" s="9" t="s">
        <v>15013</v>
      </c>
      <c r="B4511" s="10" t="s">
        <v>16952</v>
      </c>
    </row>
    <row r="4512" ht="15.75" spans="1:2">
      <c r="A4512" s="9" t="s">
        <v>15013</v>
      </c>
      <c r="B4512" s="10" t="s">
        <v>16952</v>
      </c>
    </row>
    <row r="4513" ht="15.75" spans="1:2">
      <c r="A4513" s="9" t="s">
        <v>15017</v>
      </c>
      <c r="B4513" s="5" t="s">
        <v>16952</v>
      </c>
    </row>
    <row r="4514" ht="15.75" spans="1:2">
      <c r="A4514" s="9" t="s">
        <v>15021</v>
      </c>
      <c r="B4514" s="5" t="s">
        <v>16952</v>
      </c>
    </row>
    <row r="4515" ht="15.75" spans="1:2">
      <c r="A4515" s="9" t="s">
        <v>15024</v>
      </c>
      <c r="B4515" s="5" t="s">
        <v>16952</v>
      </c>
    </row>
    <row r="4516" ht="15.75" spans="1:2">
      <c r="A4516" s="9" t="s">
        <v>15028</v>
      </c>
      <c r="B4516" s="5" t="s">
        <v>16952</v>
      </c>
    </row>
    <row r="4517" ht="15.75" spans="1:2">
      <c r="A4517" s="9" t="s">
        <v>15031</v>
      </c>
      <c r="B4517" s="5" t="s">
        <v>16952</v>
      </c>
    </row>
    <row r="4518" ht="15.75" spans="1:2">
      <c r="A4518" s="9" t="s">
        <v>15034</v>
      </c>
      <c r="B4518" s="5" t="s">
        <v>16952</v>
      </c>
    </row>
    <row r="4519" ht="15.75" spans="1:2">
      <c r="A4519" s="9" t="s">
        <v>15038</v>
      </c>
      <c r="B4519" s="5" t="s">
        <v>16952</v>
      </c>
    </row>
    <row r="4520" ht="15.75" spans="1:2">
      <c r="A4520" s="9" t="s">
        <v>15042</v>
      </c>
      <c r="B4520" s="5" t="s">
        <v>16952</v>
      </c>
    </row>
    <row r="4521" ht="15.75" spans="1:2">
      <c r="A4521" s="9" t="s">
        <v>15045</v>
      </c>
      <c r="B4521" s="5" t="s">
        <v>16952</v>
      </c>
    </row>
    <row r="4522" ht="15.75" spans="1:2">
      <c r="A4522" s="9" t="s">
        <v>15048</v>
      </c>
      <c r="B4522" s="5" t="s">
        <v>16952</v>
      </c>
    </row>
    <row r="4523" ht="15.75" spans="1:2">
      <c r="A4523" s="9" t="s">
        <v>15052</v>
      </c>
      <c r="B4523" s="10" t="s">
        <v>16952</v>
      </c>
    </row>
    <row r="4524" ht="15.75" spans="1:2">
      <c r="A4524" s="9" t="s">
        <v>15052</v>
      </c>
      <c r="B4524" s="10" t="s">
        <v>16952</v>
      </c>
    </row>
    <row r="4525" ht="15.75" spans="1:2">
      <c r="A4525" s="9" t="s">
        <v>15057</v>
      </c>
      <c r="B4525" s="5" t="s">
        <v>16952</v>
      </c>
    </row>
    <row r="4526" ht="15.75" spans="1:2">
      <c r="A4526" s="9" t="s">
        <v>15060</v>
      </c>
      <c r="B4526" s="5" t="s">
        <v>16952</v>
      </c>
    </row>
    <row r="4527" ht="15.75" spans="1:2">
      <c r="A4527" s="9" t="s">
        <v>15064</v>
      </c>
      <c r="B4527" s="5" t="s">
        <v>16952</v>
      </c>
    </row>
    <row r="4528" ht="15.75" spans="1:2">
      <c r="A4528" s="9" t="s">
        <v>15067</v>
      </c>
      <c r="B4528" s="5" t="s">
        <v>16952</v>
      </c>
    </row>
    <row r="4529" ht="15.75" spans="1:2">
      <c r="A4529" s="9" t="s">
        <v>15071</v>
      </c>
      <c r="B4529" s="5" t="s">
        <v>16952</v>
      </c>
    </row>
    <row r="4530" ht="15.75" spans="1:2">
      <c r="A4530" s="9" t="s">
        <v>15075</v>
      </c>
      <c r="B4530" s="5" t="s">
        <v>16952</v>
      </c>
    </row>
    <row r="4531" ht="15.75" spans="1:2">
      <c r="A4531" s="9" t="s">
        <v>15079</v>
      </c>
      <c r="B4531" s="5" t="s">
        <v>16952</v>
      </c>
    </row>
    <row r="4532" ht="15.75" spans="1:2">
      <c r="A4532" s="9" t="s">
        <v>15083</v>
      </c>
      <c r="B4532" s="5" t="s">
        <v>16952</v>
      </c>
    </row>
    <row r="4533" ht="15.75" spans="1:2">
      <c r="A4533" s="9" t="s">
        <v>15087</v>
      </c>
      <c r="B4533" s="5" t="s">
        <v>16952</v>
      </c>
    </row>
    <row r="4534" ht="15.75" spans="1:2">
      <c r="A4534" s="9" t="s">
        <v>15090</v>
      </c>
      <c r="B4534" s="5" t="s">
        <v>16952</v>
      </c>
    </row>
    <row r="4535" ht="15.75" spans="1:2">
      <c r="A4535" s="9" t="s">
        <v>15093</v>
      </c>
      <c r="B4535" s="5" t="s">
        <v>16952</v>
      </c>
    </row>
    <row r="4536" ht="15.75" spans="1:2">
      <c r="A4536" s="9" t="s">
        <v>15096</v>
      </c>
      <c r="B4536" s="5" t="s">
        <v>16952</v>
      </c>
    </row>
    <row r="4537" ht="15.75" spans="1:2">
      <c r="A4537" s="9" t="s">
        <v>15099</v>
      </c>
      <c r="B4537" s="5" t="s">
        <v>16952</v>
      </c>
    </row>
    <row r="4538" ht="15.75" spans="1:2">
      <c r="A4538" s="9" t="s">
        <v>15102</v>
      </c>
      <c r="B4538" s="8"/>
    </row>
    <row r="4539" ht="15.75" spans="1:2">
      <c r="A4539" s="9" t="s">
        <v>15103</v>
      </c>
      <c r="B4539" s="5" t="s">
        <v>16952</v>
      </c>
    </row>
    <row r="4540" ht="15.75" spans="1:2">
      <c r="A4540" s="9" t="s">
        <v>15106</v>
      </c>
      <c r="B4540" s="5" t="s">
        <v>16952</v>
      </c>
    </row>
    <row r="4541" ht="15.75" spans="1:2">
      <c r="A4541" s="9" t="s">
        <v>15110</v>
      </c>
      <c r="B4541" s="5" t="s">
        <v>16952</v>
      </c>
    </row>
    <row r="4542" ht="15.75" spans="1:2">
      <c r="A4542" s="9" t="s">
        <v>15113</v>
      </c>
      <c r="B4542" s="5" t="s">
        <v>16952</v>
      </c>
    </row>
    <row r="4543" ht="15.75" spans="1:2">
      <c r="A4543" s="9" t="s">
        <v>15116</v>
      </c>
      <c r="B4543" s="5" t="s">
        <v>16952</v>
      </c>
    </row>
    <row r="4544" ht="15.75" spans="1:2">
      <c r="A4544" s="9" t="s">
        <v>15119</v>
      </c>
      <c r="B4544" s="5" t="s">
        <v>16952</v>
      </c>
    </row>
    <row r="4545" ht="15.75" spans="1:2">
      <c r="A4545" s="9" t="s">
        <v>15122</v>
      </c>
      <c r="B4545" s="5" t="s">
        <v>16952</v>
      </c>
    </row>
    <row r="4546" ht="15.75" spans="1:2">
      <c r="A4546" s="9" t="s">
        <v>15125</v>
      </c>
      <c r="B4546" s="5" t="s">
        <v>16952</v>
      </c>
    </row>
    <row r="4547" ht="15.75" spans="1:2">
      <c r="A4547" s="9" t="s">
        <v>15130</v>
      </c>
      <c r="B4547" s="5" t="s">
        <v>16952</v>
      </c>
    </row>
    <row r="4548" ht="15.75" spans="1:2">
      <c r="A4548" s="9" t="s">
        <v>15133</v>
      </c>
      <c r="B4548" s="5" t="s">
        <v>16952</v>
      </c>
    </row>
    <row r="4549" ht="15.75" spans="1:2">
      <c r="A4549" s="9" t="s">
        <v>15136</v>
      </c>
      <c r="B4549" s="10" t="s">
        <v>16952</v>
      </c>
    </row>
    <row r="4550" ht="15.75" spans="1:2">
      <c r="A4550" s="9" t="s">
        <v>15136</v>
      </c>
      <c r="B4550" s="10" t="s">
        <v>16952</v>
      </c>
    </row>
    <row r="4551" ht="15.75" spans="1:2">
      <c r="A4551" s="9" t="s">
        <v>15140</v>
      </c>
      <c r="B4551" s="5" t="s">
        <v>16952</v>
      </c>
    </row>
    <row r="4552" ht="15.75" spans="1:2">
      <c r="A4552" s="9" t="s">
        <v>15143</v>
      </c>
      <c r="B4552" s="8"/>
    </row>
    <row r="4553" ht="15.75" spans="1:2">
      <c r="A4553" s="9" t="s">
        <v>15144</v>
      </c>
      <c r="B4553" s="5" t="s">
        <v>16952</v>
      </c>
    </row>
    <row r="4554" ht="15.75" spans="1:2">
      <c r="A4554" s="9" t="s">
        <v>15148</v>
      </c>
      <c r="B4554" s="5" t="s">
        <v>16952</v>
      </c>
    </row>
    <row r="4555" ht="15.75" spans="1:2">
      <c r="A4555" s="9" t="s">
        <v>15151</v>
      </c>
      <c r="B4555" s="5" t="s">
        <v>16952</v>
      </c>
    </row>
    <row r="4556" ht="15.75" spans="1:2">
      <c r="A4556" s="9" t="s">
        <v>15154</v>
      </c>
      <c r="B4556" s="5" t="s">
        <v>16952</v>
      </c>
    </row>
    <row r="4557" ht="15.75" spans="1:2">
      <c r="A4557" s="9" t="s">
        <v>15158</v>
      </c>
      <c r="B4557" s="5" t="s">
        <v>16952</v>
      </c>
    </row>
    <row r="4558" ht="15.75" spans="1:2">
      <c r="A4558" s="9" t="s">
        <v>15162</v>
      </c>
      <c r="B4558" s="5" t="s">
        <v>16952</v>
      </c>
    </row>
    <row r="4559" ht="15.75" spans="1:2">
      <c r="A4559" s="9" t="s">
        <v>15165</v>
      </c>
      <c r="B4559" s="5" t="s">
        <v>16952</v>
      </c>
    </row>
    <row r="4560" ht="15.75" spans="1:2">
      <c r="A4560" s="9" t="s">
        <v>15169</v>
      </c>
      <c r="B4560" s="5" t="s">
        <v>16952</v>
      </c>
    </row>
    <row r="4561" ht="15.75" spans="1:2">
      <c r="A4561" s="9" t="s">
        <v>15172</v>
      </c>
      <c r="B4561" s="10" t="s">
        <v>16952</v>
      </c>
    </row>
    <row r="4562" ht="15.75" spans="1:2">
      <c r="A4562" s="9" t="s">
        <v>15172</v>
      </c>
      <c r="B4562" s="10" t="s">
        <v>16952</v>
      </c>
    </row>
    <row r="4563" ht="15.75" spans="1:2">
      <c r="A4563" s="9" t="s">
        <v>15176</v>
      </c>
      <c r="B4563" s="8"/>
    </row>
    <row r="4564" ht="15.75" spans="1:2">
      <c r="A4564" s="9" t="s">
        <v>15177</v>
      </c>
      <c r="B4564" s="5" t="s">
        <v>16952</v>
      </c>
    </row>
    <row r="4565" ht="15.75" spans="1:2">
      <c r="A4565" s="9" t="s">
        <v>15180</v>
      </c>
      <c r="B4565" s="5" t="s">
        <v>16952</v>
      </c>
    </row>
    <row r="4566" ht="15.75" spans="1:2">
      <c r="A4566" s="9" t="s">
        <v>15184</v>
      </c>
      <c r="B4566" s="5" t="s">
        <v>16952</v>
      </c>
    </row>
    <row r="4567" ht="15.75" spans="1:2">
      <c r="A4567" s="9" t="s">
        <v>15187</v>
      </c>
      <c r="B4567" s="5" t="s">
        <v>16952</v>
      </c>
    </row>
    <row r="4568" ht="15.75" spans="1:2">
      <c r="A4568" s="9" t="s">
        <v>15190</v>
      </c>
      <c r="B4568" s="5" t="s">
        <v>16952</v>
      </c>
    </row>
    <row r="4569" ht="15.75" spans="1:2">
      <c r="A4569" s="9" t="s">
        <v>15195</v>
      </c>
      <c r="B4569" s="5" t="s">
        <v>16952</v>
      </c>
    </row>
    <row r="4570" ht="15.75" spans="1:2">
      <c r="A4570" s="9" t="s">
        <v>15198</v>
      </c>
      <c r="B4570" s="5" t="s">
        <v>16952</v>
      </c>
    </row>
    <row r="4571" ht="15.75" spans="1:2">
      <c r="A4571" s="9" t="s">
        <v>15201</v>
      </c>
      <c r="B4571" s="5" t="s">
        <v>16952</v>
      </c>
    </row>
    <row r="4572" ht="15.75" spans="1:2">
      <c r="A4572" s="9" t="s">
        <v>15205</v>
      </c>
      <c r="B4572" s="5" t="s">
        <v>16952</v>
      </c>
    </row>
    <row r="4573" ht="15.75" spans="1:2">
      <c r="A4573" s="9" t="s">
        <v>15208</v>
      </c>
      <c r="B4573" s="5" t="s">
        <v>16952</v>
      </c>
    </row>
    <row r="4574" ht="15.75" spans="1:2">
      <c r="A4574" s="9" t="s">
        <v>15213</v>
      </c>
      <c r="B4574" s="8"/>
    </row>
    <row r="4575" ht="15.75" spans="1:2">
      <c r="A4575" s="9" t="s">
        <v>15214</v>
      </c>
      <c r="B4575" s="5" t="s">
        <v>16952</v>
      </c>
    </row>
    <row r="4576" ht="15.75" spans="1:2">
      <c r="A4576" s="9" t="s">
        <v>15217</v>
      </c>
      <c r="B4576" s="5" t="s">
        <v>16952</v>
      </c>
    </row>
    <row r="4577" ht="15.75" spans="1:2">
      <c r="A4577" s="9" t="s">
        <v>15220</v>
      </c>
      <c r="B4577" s="5" t="s">
        <v>16952</v>
      </c>
    </row>
    <row r="4578" ht="15.75" spans="1:2">
      <c r="A4578" s="9" t="s">
        <v>15224</v>
      </c>
      <c r="B4578" s="5" t="s">
        <v>16952</v>
      </c>
    </row>
    <row r="4579" ht="15.75" spans="1:2">
      <c r="A4579" s="9" t="s">
        <v>15228</v>
      </c>
      <c r="B4579" s="5" t="s">
        <v>16952</v>
      </c>
    </row>
    <row r="4580" ht="15.75" spans="1:2">
      <c r="A4580" s="9" t="s">
        <v>15232</v>
      </c>
      <c r="B4580" s="5" t="s">
        <v>16952</v>
      </c>
    </row>
    <row r="4581" ht="15.75" spans="1:2">
      <c r="A4581" s="9" t="s">
        <v>15236</v>
      </c>
      <c r="B4581" s="5" t="s">
        <v>16952</v>
      </c>
    </row>
    <row r="4582" ht="15.75" spans="1:2">
      <c r="A4582" s="9" t="s">
        <v>15240</v>
      </c>
      <c r="B4582" s="5" t="s">
        <v>16952</v>
      </c>
    </row>
    <row r="4583" ht="15.75" spans="1:2">
      <c r="A4583" s="9" t="s">
        <v>15244</v>
      </c>
      <c r="B4583" s="5" t="s">
        <v>16952</v>
      </c>
    </row>
    <row r="4584" ht="15.75" spans="1:2">
      <c r="A4584" s="9" t="s">
        <v>15247</v>
      </c>
      <c r="B4584" s="5" t="s">
        <v>16952</v>
      </c>
    </row>
    <row r="4585" ht="15.75" spans="1:2">
      <c r="A4585" s="9" t="s">
        <v>15250</v>
      </c>
      <c r="B4585" s="5" t="s">
        <v>16952</v>
      </c>
    </row>
    <row r="4586" ht="15.75" spans="1:2">
      <c r="A4586" s="9" t="s">
        <v>15253</v>
      </c>
      <c r="B4586" s="5" t="s">
        <v>16952</v>
      </c>
    </row>
    <row r="4587" ht="15.75" spans="1:2">
      <c r="A4587" s="9" t="s">
        <v>15257</v>
      </c>
      <c r="B4587" s="5" t="s">
        <v>16952</v>
      </c>
    </row>
    <row r="4588" ht="15.75" spans="1:2">
      <c r="A4588" s="9" t="s">
        <v>15260</v>
      </c>
      <c r="B4588" s="5" t="s">
        <v>16952</v>
      </c>
    </row>
    <row r="4589" ht="15.75" spans="1:2">
      <c r="A4589" s="9" t="s">
        <v>15264</v>
      </c>
      <c r="B4589" s="5" t="s">
        <v>16952</v>
      </c>
    </row>
    <row r="4590" ht="15.75" spans="1:2">
      <c r="A4590" s="9" t="s">
        <v>15267</v>
      </c>
      <c r="B4590" s="5" t="s">
        <v>16952</v>
      </c>
    </row>
    <row r="4591" ht="15.75" spans="1:2">
      <c r="A4591" s="9" t="s">
        <v>15270</v>
      </c>
      <c r="B4591" s="5" t="s">
        <v>16952</v>
      </c>
    </row>
    <row r="4592" ht="15.75" spans="1:2">
      <c r="A4592" s="9" t="s">
        <v>15274</v>
      </c>
      <c r="B4592" s="5" t="s">
        <v>16952</v>
      </c>
    </row>
    <row r="4593" ht="15.75" spans="1:2">
      <c r="A4593" s="9" t="s">
        <v>15278</v>
      </c>
      <c r="B4593" s="5" t="s">
        <v>16952</v>
      </c>
    </row>
    <row r="4594" ht="15.75" spans="1:2">
      <c r="A4594" s="9" t="s">
        <v>15282</v>
      </c>
      <c r="B4594" s="5" t="s">
        <v>16952</v>
      </c>
    </row>
    <row r="4595" ht="15.75" spans="1:2">
      <c r="A4595" s="9" t="s">
        <v>15286</v>
      </c>
      <c r="B4595" s="5" t="s">
        <v>16952</v>
      </c>
    </row>
    <row r="4596" ht="15.75" spans="1:2">
      <c r="A4596" s="9" t="s">
        <v>15289</v>
      </c>
      <c r="B4596" s="5" t="s">
        <v>16952</v>
      </c>
    </row>
    <row r="4597" ht="15.75" spans="1:2">
      <c r="A4597" s="9" t="s">
        <v>15292</v>
      </c>
      <c r="B4597" s="5" t="s">
        <v>16952</v>
      </c>
    </row>
    <row r="4598" ht="15.75" spans="1:2">
      <c r="A4598" s="9" t="s">
        <v>15295</v>
      </c>
      <c r="B4598" s="5" t="s">
        <v>16952</v>
      </c>
    </row>
    <row r="4599" ht="15.75" spans="1:2">
      <c r="A4599" s="9" t="s">
        <v>15299</v>
      </c>
      <c r="B4599" s="10" t="s">
        <v>16952</v>
      </c>
    </row>
    <row r="4600" ht="15.75" spans="1:2">
      <c r="A4600" s="9" t="s">
        <v>15299</v>
      </c>
      <c r="B4600" s="10" t="s">
        <v>16952</v>
      </c>
    </row>
    <row r="4601" ht="15.75" spans="1:2">
      <c r="A4601" s="9" t="s">
        <v>15302</v>
      </c>
      <c r="B4601" s="5" t="s">
        <v>16952</v>
      </c>
    </row>
    <row r="4602" ht="15.75" spans="1:2">
      <c r="A4602" s="9" t="s">
        <v>15305</v>
      </c>
      <c r="B4602" s="5" t="s">
        <v>16952</v>
      </c>
    </row>
    <row r="4603" ht="15.75" spans="1:2">
      <c r="A4603" s="9" t="s">
        <v>15308</v>
      </c>
      <c r="B4603" s="5" t="s">
        <v>16952</v>
      </c>
    </row>
    <row r="4604" ht="15.75" spans="1:2">
      <c r="A4604" s="9" t="s">
        <v>15311</v>
      </c>
      <c r="B4604" s="5" t="s">
        <v>16952</v>
      </c>
    </row>
    <row r="4605" ht="31.5" spans="1:2">
      <c r="A4605" s="9" t="s">
        <v>15314</v>
      </c>
      <c r="B4605" s="8" t="s">
        <v>17000</v>
      </c>
    </row>
    <row r="4606" ht="15.75" spans="1:2">
      <c r="A4606" s="9" t="s">
        <v>15315</v>
      </c>
      <c r="B4606" s="5" t="s">
        <v>16952</v>
      </c>
    </row>
    <row r="4607" ht="15.75" spans="1:2">
      <c r="A4607" s="9" t="s">
        <v>15318</v>
      </c>
      <c r="B4607" s="5" t="s">
        <v>16952</v>
      </c>
    </row>
    <row r="4608" ht="15.75" spans="1:2">
      <c r="A4608" s="9" t="s">
        <v>15322</v>
      </c>
      <c r="B4608" s="5" t="s">
        <v>16952</v>
      </c>
    </row>
    <row r="4609" ht="15.75" spans="1:2">
      <c r="A4609" s="9" t="s">
        <v>15325</v>
      </c>
      <c r="B4609" s="5" t="s">
        <v>16952</v>
      </c>
    </row>
    <row r="4610" ht="15.75" spans="1:2">
      <c r="A4610" s="9" t="s">
        <v>15328</v>
      </c>
      <c r="B4610" s="5" t="s">
        <v>16952</v>
      </c>
    </row>
    <row r="4611" ht="15.75" spans="1:2">
      <c r="A4611" s="9" t="s">
        <v>15331</v>
      </c>
      <c r="B4611" s="5" t="s">
        <v>16952</v>
      </c>
    </row>
    <row r="4612" ht="15.75" spans="1:2">
      <c r="A4612" s="9" t="s">
        <v>15334</v>
      </c>
      <c r="B4612" s="5" t="s">
        <v>16952</v>
      </c>
    </row>
    <row r="4613" ht="15.75" spans="1:2">
      <c r="A4613" s="9" t="s">
        <v>15338</v>
      </c>
      <c r="B4613" s="5" t="s">
        <v>16952</v>
      </c>
    </row>
    <row r="4614" ht="15.75" spans="1:2">
      <c r="A4614" s="9" t="s">
        <v>15342</v>
      </c>
      <c r="B4614" s="5" t="s">
        <v>16952</v>
      </c>
    </row>
    <row r="4615" ht="15.75" spans="1:2">
      <c r="A4615" s="9" t="s">
        <v>15346</v>
      </c>
      <c r="B4615" s="5" t="s">
        <v>16952</v>
      </c>
    </row>
    <row r="4616" ht="15.75" spans="1:2">
      <c r="A4616" s="9" t="s">
        <v>15349</v>
      </c>
      <c r="B4616" s="5" t="s">
        <v>16952</v>
      </c>
    </row>
    <row r="4617" ht="15.75" spans="1:2">
      <c r="A4617" s="9" t="s">
        <v>15353</v>
      </c>
      <c r="B4617" s="8"/>
    </row>
    <row r="4618" ht="15.75" spans="1:2">
      <c r="A4618" s="9" t="s">
        <v>15354</v>
      </c>
      <c r="B4618" s="5" t="s">
        <v>16952</v>
      </c>
    </row>
    <row r="4619" ht="15.75" spans="1:2">
      <c r="A4619" s="9" t="s">
        <v>15358</v>
      </c>
      <c r="B4619" s="5" t="s">
        <v>16952</v>
      </c>
    </row>
    <row r="4620" ht="15.75" spans="1:2">
      <c r="A4620" s="9" t="s">
        <v>15361</v>
      </c>
      <c r="B4620" s="5" t="s">
        <v>16952</v>
      </c>
    </row>
    <row r="4621" ht="15.75" spans="1:2">
      <c r="A4621" s="9" t="s">
        <v>15365</v>
      </c>
      <c r="B4621" s="5" t="s">
        <v>16952</v>
      </c>
    </row>
    <row r="4622" ht="15.75" spans="1:2">
      <c r="A4622" s="9" t="s">
        <v>15369</v>
      </c>
      <c r="B4622" s="5" t="s">
        <v>16952</v>
      </c>
    </row>
    <row r="4623" ht="15.75" spans="1:2">
      <c r="A4623" s="9" t="s">
        <v>15374</v>
      </c>
      <c r="B4623" s="5" t="s">
        <v>16952</v>
      </c>
    </row>
    <row r="4624" ht="15.75" spans="1:2">
      <c r="A4624" s="9" t="s">
        <v>15377</v>
      </c>
      <c r="B4624" s="8"/>
    </row>
    <row r="4625" ht="15.75" spans="1:2">
      <c r="A4625" s="9" t="s">
        <v>15378</v>
      </c>
      <c r="B4625" s="5" t="s">
        <v>16952</v>
      </c>
    </row>
    <row r="4626" ht="15.75" spans="1:2">
      <c r="A4626" s="9" t="s">
        <v>15381</v>
      </c>
      <c r="B4626" s="5" t="s">
        <v>16952</v>
      </c>
    </row>
    <row r="4627" ht="15.75" spans="1:2">
      <c r="A4627" s="9" t="s">
        <v>15385</v>
      </c>
      <c r="B4627" s="8"/>
    </row>
    <row r="4628" ht="15.75" spans="1:2">
      <c r="A4628" s="9" t="s">
        <v>15386</v>
      </c>
      <c r="B4628" s="5" t="s">
        <v>16952</v>
      </c>
    </row>
    <row r="4629" ht="15.75" spans="1:2">
      <c r="A4629" s="9" t="s">
        <v>15391</v>
      </c>
      <c r="B4629" s="14"/>
    </row>
    <row r="4630" ht="15.75" spans="1:2">
      <c r="A4630" s="9" t="s">
        <v>15391</v>
      </c>
      <c r="B4630" s="10" t="s">
        <v>16952</v>
      </c>
    </row>
    <row r="4631" ht="15.75" spans="1:2">
      <c r="A4631" s="9" t="s">
        <v>15395</v>
      </c>
      <c r="B4631" s="5" t="s">
        <v>16952</v>
      </c>
    </row>
    <row r="4632" ht="15.75" spans="1:2">
      <c r="A4632" s="9" t="s">
        <v>15399</v>
      </c>
      <c r="B4632" s="5" t="s">
        <v>16952</v>
      </c>
    </row>
    <row r="4633" ht="15.75" spans="1:2">
      <c r="A4633" s="9" t="s">
        <v>15404</v>
      </c>
      <c r="B4633" s="5" t="s">
        <v>16952</v>
      </c>
    </row>
    <row r="4634" ht="15.75" spans="1:2">
      <c r="A4634" s="9" t="s">
        <v>15408</v>
      </c>
      <c r="B4634" s="5" t="s">
        <v>16952</v>
      </c>
    </row>
    <row r="4635" ht="15.75" spans="1:2">
      <c r="A4635" s="9" t="s">
        <v>15412</v>
      </c>
      <c r="B4635" s="5" t="s">
        <v>16952</v>
      </c>
    </row>
    <row r="4636" ht="15.75" spans="1:2">
      <c r="A4636" s="9" t="s">
        <v>15415</v>
      </c>
      <c r="B4636" s="5" t="s">
        <v>16952</v>
      </c>
    </row>
    <row r="4637" ht="15.75" spans="1:2">
      <c r="A4637" s="9" t="s">
        <v>15419</v>
      </c>
      <c r="B4637" s="5" t="s">
        <v>16952</v>
      </c>
    </row>
    <row r="4638" ht="15.75" spans="1:2">
      <c r="A4638" s="9" t="s">
        <v>15423</v>
      </c>
      <c r="B4638" s="5" t="s">
        <v>16952</v>
      </c>
    </row>
    <row r="4639" ht="15.75" spans="1:2">
      <c r="A4639" s="9" t="s">
        <v>15428</v>
      </c>
      <c r="B4639" s="5" t="s">
        <v>16952</v>
      </c>
    </row>
    <row r="4640" ht="15.75" spans="1:2">
      <c r="A4640" s="9" t="s">
        <v>15431</v>
      </c>
      <c r="B4640" s="5" t="s">
        <v>16952</v>
      </c>
    </row>
    <row r="4641" ht="15.75" spans="1:2">
      <c r="A4641" s="9" t="s">
        <v>15436</v>
      </c>
      <c r="B4641" s="8"/>
    </row>
    <row r="4642" ht="15.75" spans="1:2">
      <c r="A4642" s="9" t="s">
        <v>15437</v>
      </c>
      <c r="B4642" s="5" t="s">
        <v>16952</v>
      </c>
    </row>
    <row r="4643" ht="15.75" spans="1:2">
      <c r="A4643" s="9" t="s">
        <v>15441</v>
      </c>
      <c r="B4643" s="5" t="s">
        <v>16952</v>
      </c>
    </row>
    <row r="4644" ht="15.75" spans="1:2">
      <c r="A4644" s="9" t="s">
        <v>15444</v>
      </c>
      <c r="B4644" s="5" t="s">
        <v>16952</v>
      </c>
    </row>
    <row r="4645" ht="15.75" spans="1:2">
      <c r="A4645" s="9" t="s">
        <v>15447</v>
      </c>
      <c r="B4645" s="5" t="s">
        <v>16952</v>
      </c>
    </row>
    <row r="4646" ht="15.75" spans="1:2">
      <c r="A4646" s="9" t="s">
        <v>15450</v>
      </c>
      <c r="B4646" s="5" t="s">
        <v>16952</v>
      </c>
    </row>
    <row r="4647" ht="15.75" spans="1:2">
      <c r="A4647" s="9" t="s">
        <v>15453</v>
      </c>
      <c r="B4647" s="10" t="s">
        <v>16952</v>
      </c>
    </row>
    <row r="4648" ht="15.75" spans="1:2">
      <c r="A4648" s="9" t="s">
        <v>15453</v>
      </c>
      <c r="B4648" s="10" t="s">
        <v>16952</v>
      </c>
    </row>
    <row r="4649" ht="15.75" spans="1:2">
      <c r="A4649" s="9" t="s">
        <v>15457</v>
      </c>
      <c r="B4649" s="8"/>
    </row>
    <row r="4650" ht="31.5" spans="1:2">
      <c r="A4650" s="9" t="s">
        <v>15458</v>
      </c>
      <c r="B4650" s="12" t="s">
        <v>17001</v>
      </c>
    </row>
    <row r="4651" ht="31.5" spans="1:2">
      <c r="A4651" s="9" t="s">
        <v>15458</v>
      </c>
      <c r="B4651" s="12" t="s">
        <v>17001</v>
      </c>
    </row>
    <row r="4652" ht="15.75" spans="1:2">
      <c r="A4652" s="9" t="s">
        <v>15458</v>
      </c>
      <c r="B4652" s="14"/>
    </row>
    <row r="4653" ht="15.75" spans="1:2">
      <c r="A4653" s="9" t="s">
        <v>15458</v>
      </c>
      <c r="B4653" s="10" t="s">
        <v>16952</v>
      </c>
    </row>
    <row r="4654" ht="15.75" spans="1:2">
      <c r="A4654" s="9" t="s">
        <v>15459</v>
      </c>
      <c r="B4654" s="5" t="s">
        <v>16952</v>
      </c>
    </row>
    <row r="4655" ht="15.75" spans="1:2">
      <c r="A4655" s="9" t="s">
        <v>15462</v>
      </c>
      <c r="B4655" s="5" t="s">
        <v>16952</v>
      </c>
    </row>
    <row r="4656" ht="15.75" spans="1:2">
      <c r="A4656" s="9" t="s">
        <v>15465</v>
      </c>
      <c r="B4656" s="8"/>
    </row>
    <row r="4657" ht="15.75" spans="1:2">
      <c r="A4657" s="9" t="s">
        <v>15466</v>
      </c>
      <c r="B4657" s="5" t="s">
        <v>16952</v>
      </c>
    </row>
    <row r="4658" ht="15.75" spans="1:2">
      <c r="A4658" s="9" t="s">
        <v>15469</v>
      </c>
      <c r="B4658" s="5" t="s">
        <v>16952</v>
      </c>
    </row>
    <row r="4659" ht="15.75" spans="1:2">
      <c r="A4659" s="9" t="s">
        <v>15472</v>
      </c>
      <c r="B4659" s="10" t="s">
        <v>16952</v>
      </c>
    </row>
    <row r="4660" ht="15.75" spans="1:2">
      <c r="A4660" s="9" t="s">
        <v>15472</v>
      </c>
      <c r="B4660" s="10" t="s">
        <v>16952</v>
      </c>
    </row>
    <row r="4661" ht="15.75" spans="1:2">
      <c r="A4661" s="9" t="s">
        <v>15475</v>
      </c>
      <c r="B4661" s="5" t="s">
        <v>16952</v>
      </c>
    </row>
    <row r="4662" ht="15.75" spans="1:2">
      <c r="A4662" s="9" t="s">
        <v>15479</v>
      </c>
      <c r="B4662" s="5" t="s">
        <v>16952</v>
      </c>
    </row>
    <row r="4663" ht="15.75" spans="1:2">
      <c r="A4663" s="9" t="s">
        <v>15483</v>
      </c>
      <c r="B4663" s="5" t="s">
        <v>16952</v>
      </c>
    </row>
    <row r="4664" ht="15.75" spans="1:2">
      <c r="A4664" s="9" t="s">
        <v>15487</v>
      </c>
      <c r="B4664" s="5" t="s">
        <v>16952</v>
      </c>
    </row>
    <row r="4665" ht="15.75" spans="1:2">
      <c r="A4665" s="9" t="s">
        <v>15490</v>
      </c>
      <c r="B4665" s="5" t="s">
        <v>16952</v>
      </c>
    </row>
    <row r="4666" ht="15.75" spans="1:2">
      <c r="A4666" s="9" t="s">
        <v>15494</v>
      </c>
      <c r="B4666" s="5" t="s">
        <v>16952</v>
      </c>
    </row>
    <row r="4667" ht="15.75" spans="1:2">
      <c r="A4667" s="9" t="s">
        <v>15498</v>
      </c>
      <c r="B4667" s="5" t="s">
        <v>16952</v>
      </c>
    </row>
    <row r="4668" ht="15.75" spans="1:2">
      <c r="A4668" s="9" t="s">
        <v>15501</v>
      </c>
      <c r="B4668" s="5" t="s">
        <v>16952</v>
      </c>
    </row>
    <row r="4669" ht="15.75" spans="1:2">
      <c r="A4669" s="9" t="s">
        <v>15504</v>
      </c>
      <c r="B4669" s="5" t="s">
        <v>16952</v>
      </c>
    </row>
    <row r="4670" ht="15.75" spans="1:2">
      <c r="A4670" s="9" t="s">
        <v>15509</v>
      </c>
      <c r="B4670" s="5" t="s">
        <v>16952</v>
      </c>
    </row>
    <row r="4671" ht="15.75" spans="1:2">
      <c r="A4671" s="9" t="s">
        <v>15512</v>
      </c>
      <c r="B4671" s="8"/>
    </row>
    <row r="4672" ht="15.75" spans="1:2">
      <c r="A4672" s="9" t="s">
        <v>15513</v>
      </c>
      <c r="B4672" s="5" t="s">
        <v>16952</v>
      </c>
    </row>
    <row r="4673" ht="15.75" spans="1:2">
      <c r="A4673" s="9" t="s">
        <v>15518</v>
      </c>
      <c r="B4673" s="5" t="s">
        <v>16952</v>
      </c>
    </row>
    <row r="4674" ht="15.75" spans="1:2">
      <c r="A4674" s="9" t="s">
        <v>15522</v>
      </c>
      <c r="B4674" s="5" t="s">
        <v>16952</v>
      </c>
    </row>
    <row r="4675" ht="15.75" spans="1:2">
      <c r="A4675" s="9" t="s">
        <v>15526</v>
      </c>
      <c r="B4675" s="5" t="s">
        <v>16952</v>
      </c>
    </row>
    <row r="4676" ht="15.75" spans="1:2">
      <c r="A4676" s="9" t="s">
        <v>15529</v>
      </c>
      <c r="B4676" s="5" t="s">
        <v>16952</v>
      </c>
    </row>
    <row r="4677" ht="15.75" spans="1:2">
      <c r="A4677" s="9" t="s">
        <v>15533</v>
      </c>
      <c r="B4677" s="5" t="s">
        <v>16952</v>
      </c>
    </row>
    <row r="4678" ht="15.75" spans="1:2">
      <c r="A4678" s="9" t="s">
        <v>15537</v>
      </c>
      <c r="B4678" s="5" t="s">
        <v>16952</v>
      </c>
    </row>
    <row r="4679" ht="15.75" spans="1:2">
      <c r="A4679" s="9" t="s">
        <v>15542</v>
      </c>
      <c r="B4679" s="5" t="s">
        <v>16952</v>
      </c>
    </row>
    <row r="4680" ht="15.75" spans="1:2">
      <c r="A4680" s="9" t="s">
        <v>15545</v>
      </c>
      <c r="B4680" s="5" t="s">
        <v>16952</v>
      </c>
    </row>
    <row r="4681" ht="15.75" spans="1:2">
      <c r="A4681" s="9" t="s">
        <v>15548</v>
      </c>
      <c r="B4681" s="12"/>
    </row>
    <row r="4682" ht="15.75" spans="1:2">
      <c r="A4682" s="9" t="s">
        <v>15548</v>
      </c>
      <c r="B4682" s="10" t="s">
        <v>16952</v>
      </c>
    </row>
    <row r="4683" ht="15.75" spans="1:2">
      <c r="A4683" s="9" t="s">
        <v>15549</v>
      </c>
      <c r="B4683" s="5" t="s">
        <v>16952</v>
      </c>
    </row>
    <row r="4684" ht="15.75" spans="1:2">
      <c r="A4684" s="9" t="s">
        <v>15553</v>
      </c>
      <c r="B4684" s="5" t="s">
        <v>16952</v>
      </c>
    </row>
    <row r="4685" ht="15.75" spans="1:2">
      <c r="A4685" s="9" t="s">
        <v>15556</v>
      </c>
      <c r="B4685" s="5" t="s">
        <v>16952</v>
      </c>
    </row>
    <row r="4686" ht="15.75" spans="1:2">
      <c r="A4686" s="9" t="s">
        <v>15560</v>
      </c>
      <c r="B4686" s="8"/>
    </row>
    <row r="4687" ht="15.75" spans="1:2">
      <c r="A4687" s="9" t="s">
        <v>15561</v>
      </c>
      <c r="B4687" s="5" t="s">
        <v>16952</v>
      </c>
    </row>
    <row r="4688" ht="15.75" spans="1:2">
      <c r="A4688" s="9" t="s">
        <v>15564</v>
      </c>
      <c r="B4688" s="5" t="s">
        <v>16952</v>
      </c>
    </row>
    <row r="4689" ht="15.75" spans="1:2">
      <c r="A4689" s="9" t="s">
        <v>15568</v>
      </c>
      <c r="B4689" s="5" t="s">
        <v>16952</v>
      </c>
    </row>
    <row r="4690" ht="15.75" spans="1:2">
      <c r="A4690" s="9" t="s">
        <v>15572</v>
      </c>
      <c r="B4690" s="5" t="s">
        <v>16952</v>
      </c>
    </row>
    <row r="4691" ht="15.75" spans="1:2">
      <c r="A4691" s="9" t="s">
        <v>15576</v>
      </c>
      <c r="B4691" s="5" t="s">
        <v>16952</v>
      </c>
    </row>
    <row r="4692" ht="15.75" spans="1:2">
      <c r="A4692" s="9" t="s">
        <v>15579</v>
      </c>
      <c r="B4692" s="5" t="s">
        <v>16952</v>
      </c>
    </row>
    <row r="4693" ht="15.75" spans="1:2">
      <c r="A4693" s="9" t="s">
        <v>15582</v>
      </c>
      <c r="B4693" s="5" t="s">
        <v>16952</v>
      </c>
    </row>
    <row r="4694" ht="15.75" spans="1:2">
      <c r="A4694" s="9" t="s">
        <v>15587</v>
      </c>
      <c r="B4694" s="5" t="s">
        <v>16952</v>
      </c>
    </row>
    <row r="4695" ht="15.75" spans="1:2">
      <c r="A4695" s="9" t="s">
        <v>15590</v>
      </c>
      <c r="B4695" s="5" t="s">
        <v>16952</v>
      </c>
    </row>
    <row r="4696" ht="15.75" spans="1:2">
      <c r="A4696" s="9" t="s">
        <v>15593</v>
      </c>
      <c r="B4696" s="5" t="s">
        <v>16952</v>
      </c>
    </row>
    <row r="4697" ht="15.75" spans="1:2">
      <c r="A4697" s="9" t="s">
        <v>15596</v>
      </c>
      <c r="B4697" s="5" t="s">
        <v>16952</v>
      </c>
    </row>
    <row r="4698" ht="15.75" spans="1:2">
      <c r="A4698" s="9" t="s">
        <v>15599</v>
      </c>
      <c r="B4698" s="5" t="s">
        <v>16952</v>
      </c>
    </row>
    <row r="4699" ht="15.75" spans="1:2">
      <c r="A4699" s="9" t="s">
        <v>15603</v>
      </c>
      <c r="B4699" s="5" t="s">
        <v>16952</v>
      </c>
    </row>
    <row r="4700" ht="15.75" spans="1:2">
      <c r="A4700" s="9" t="s">
        <v>15606</v>
      </c>
      <c r="B4700" s="5" t="s">
        <v>16952</v>
      </c>
    </row>
    <row r="4701" ht="15.75" spans="1:2">
      <c r="A4701" s="9" t="s">
        <v>15609</v>
      </c>
      <c r="B4701" s="5" t="s">
        <v>16952</v>
      </c>
    </row>
    <row r="4702" ht="15.75" spans="1:2">
      <c r="A4702" s="9" t="s">
        <v>15612</v>
      </c>
      <c r="B4702" s="5" t="s">
        <v>16952</v>
      </c>
    </row>
    <row r="4703" ht="15.75" spans="1:2">
      <c r="A4703" s="9" t="s">
        <v>15615</v>
      </c>
      <c r="B4703" s="5" t="s">
        <v>16952</v>
      </c>
    </row>
    <row r="4704" ht="15.75" spans="1:2">
      <c r="A4704" s="9" t="s">
        <v>15618</v>
      </c>
      <c r="B4704" s="5" t="s">
        <v>16952</v>
      </c>
    </row>
    <row r="4705" ht="15.75" spans="1:2">
      <c r="A4705" s="9" t="s">
        <v>15621</v>
      </c>
      <c r="B4705" s="5" t="s">
        <v>16952</v>
      </c>
    </row>
    <row r="4706" ht="15.75" spans="1:2">
      <c r="A4706" s="9" t="s">
        <v>15624</v>
      </c>
      <c r="B4706" s="5" t="s">
        <v>16952</v>
      </c>
    </row>
    <row r="4707" ht="15.75" spans="1:2">
      <c r="A4707" s="9" t="s">
        <v>15627</v>
      </c>
      <c r="B4707" s="5" t="s">
        <v>16952</v>
      </c>
    </row>
    <row r="4708" ht="15.75" spans="1:2">
      <c r="A4708" s="9" t="s">
        <v>15630</v>
      </c>
      <c r="B4708" s="5" t="s">
        <v>16952</v>
      </c>
    </row>
    <row r="4709" ht="15.75" spans="1:2">
      <c r="A4709" s="9" t="s">
        <v>15633</v>
      </c>
      <c r="B4709" s="5" t="s">
        <v>16952</v>
      </c>
    </row>
    <row r="4710" ht="15.75" spans="1:2">
      <c r="A4710" s="9" t="s">
        <v>15636</v>
      </c>
      <c r="B4710" s="5" t="s">
        <v>16952</v>
      </c>
    </row>
    <row r="4711" ht="15.75" spans="1:2">
      <c r="A4711" s="9" t="s">
        <v>15639</v>
      </c>
      <c r="B4711" s="5" t="s">
        <v>16952</v>
      </c>
    </row>
    <row r="4712" ht="15.75" spans="1:2">
      <c r="A4712" s="9" t="s">
        <v>15642</v>
      </c>
      <c r="B4712" s="5" t="s">
        <v>16952</v>
      </c>
    </row>
    <row r="4713" ht="15.75" spans="1:2">
      <c r="A4713" s="9" t="s">
        <v>15645</v>
      </c>
      <c r="B4713" s="5" t="s">
        <v>16952</v>
      </c>
    </row>
    <row r="4714" ht="15.75" spans="1:2">
      <c r="A4714" s="9" t="s">
        <v>15648</v>
      </c>
      <c r="B4714" s="5" t="s">
        <v>16952</v>
      </c>
    </row>
    <row r="4715" ht="15.75" spans="1:2">
      <c r="A4715" s="9" t="s">
        <v>15651</v>
      </c>
      <c r="B4715" s="5" t="s">
        <v>16952</v>
      </c>
    </row>
    <row r="4716" ht="15.75" spans="1:2">
      <c r="A4716" s="9" t="s">
        <v>15654</v>
      </c>
      <c r="B4716" s="5" t="s">
        <v>16952</v>
      </c>
    </row>
    <row r="4717" ht="15.75" spans="1:2">
      <c r="A4717" s="9" t="s">
        <v>15657</v>
      </c>
      <c r="B4717" s="5" t="s">
        <v>16952</v>
      </c>
    </row>
    <row r="4718" ht="15.75" spans="1:2">
      <c r="A4718" s="9" t="s">
        <v>15660</v>
      </c>
      <c r="B4718" s="5" t="s">
        <v>16952</v>
      </c>
    </row>
    <row r="4719" ht="15.75" spans="1:2">
      <c r="A4719" s="9" t="s">
        <v>15664</v>
      </c>
      <c r="B4719" s="5" t="s">
        <v>16952</v>
      </c>
    </row>
    <row r="4720" ht="15.75" spans="1:2">
      <c r="A4720" s="9" t="s">
        <v>15668</v>
      </c>
      <c r="B4720" s="5" t="s">
        <v>16952</v>
      </c>
    </row>
    <row r="4721" ht="15.75" spans="1:2">
      <c r="A4721" s="9" t="s">
        <v>15671</v>
      </c>
      <c r="B4721" s="5" t="s">
        <v>16952</v>
      </c>
    </row>
    <row r="4722" ht="15.75" spans="1:2">
      <c r="A4722" s="9" t="s">
        <v>15674</v>
      </c>
      <c r="B4722" s="5" t="s">
        <v>16952</v>
      </c>
    </row>
    <row r="4723" ht="15.75" spans="1:2">
      <c r="A4723" s="9" t="s">
        <v>15677</v>
      </c>
      <c r="B4723" s="5" t="s">
        <v>16952</v>
      </c>
    </row>
    <row r="4724" ht="15.75" spans="1:2">
      <c r="A4724" s="9" t="s">
        <v>15680</v>
      </c>
      <c r="B4724" s="5" t="s">
        <v>16952</v>
      </c>
    </row>
    <row r="4725" ht="15.75" spans="1:2">
      <c r="A4725" s="9" t="s">
        <v>15683</v>
      </c>
      <c r="B4725" s="5" t="s">
        <v>16952</v>
      </c>
    </row>
    <row r="4726" ht="15.75" spans="1:2">
      <c r="A4726" s="9" t="s">
        <v>15687</v>
      </c>
      <c r="B4726" s="5" t="s">
        <v>16952</v>
      </c>
    </row>
    <row r="4727" ht="15.75" spans="1:2">
      <c r="A4727" s="9" t="s">
        <v>15690</v>
      </c>
      <c r="B4727" s="5" t="s">
        <v>16952</v>
      </c>
    </row>
    <row r="4728" ht="15.75" spans="1:2">
      <c r="A4728" s="9" t="s">
        <v>15693</v>
      </c>
      <c r="B4728" s="5" t="s">
        <v>16952</v>
      </c>
    </row>
    <row r="4729" ht="15.75" spans="1:2">
      <c r="A4729" s="9" t="s">
        <v>15697</v>
      </c>
      <c r="B4729" s="5" t="s">
        <v>16952</v>
      </c>
    </row>
    <row r="4730" ht="15.75" spans="1:2">
      <c r="A4730" s="9" t="s">
        <v>15701</v>
      </c>
      <c r="B4730" s="5" t="s">
        <v>16952</v>
      </c>
    </row>
    <row r="4731" ht="15.75" spans="1:2">
      <c r="A4731" s="9" t="s">
        <v>15704</v>
      </c>
      <c r="B4731" s="5" t="s">
        <v>16952</v>
      </c>
    </row>
    <row r="4732" ht="15.75" spans="1:2">
      <c r="A4732" s="9" t="s">
        <v>15708</v>
      </c>
      <c r="B4732" s="5" t="s">
        <v>16952</v>
      </c>
    </row>
    <row r="4733" ht="15.75" spans="1:2">
      <c r="A4733" s="9" t="s">
        <v>15711</v>
      </c>
      <c r="B4733" s="5" t="s">
        <v>16952</v>
      </c>
    </row>
    <row r="4734" ht="15.75" spans="1:2">
      <c r="A4734" s="9" t="s">
        <v>15714</v>
      </c>
      <c r="B4734" s="5" t="s">
        <v>16952</v>
      </c>
    </row>
    <row r="4735" ht="15.75" spans="1:2">
      <c r="A4735" s="9" t="s">
        <v>15718</v>
      </c>
      <c r="B4735" s="5" t="s">
        <v>16952</v>
      </c>
    </row>
    <row r="4736" ht="15.75" spans="1:2">
      <c r="A4736" s="9" t="s">
        <v>15722</v>
      </c>
      <c r="B4736" s="5" t="s">
        <v>16952</v>
      </c>
    </row>
    <row r="4737" ht="15.75" spans="1:2">
      <c r="A4737" s="9" t="s">
        <v>15726</v>
      </c>
      <c r="B4737" s="5" t="s">
        <v>16952</v>
      </c>
    </row>
    <row r="4738" ht="15.75" spans="1:2">
      <c r="A4738" s="9" t="s">
        <v>15730</v>
      </c>
      <c r="B4738" s="5" t="s">
        <v>16952</v>
      </c>
    </row>
    <row r="4739" ht="15.75" spans="1:2">
      <c r="A4739" s="9" t="s">
        <v>15734</v>
      </c>
      <c r="B4739" s="5" t="s">
        <v>16952</v>
      </c>
    </row>
    <row r="4740" ht="15.75" spans="1:2">
      <c r="A4740" s="9" t="s">
        <v>15737</v>
      </c>
      <c r="B4740" s="5" t="s">
        <v>16952</v>
      </c>
    </row>
    <row r="4741" ht="15.75" spans="1:2">
      <c r="A4741" s="9" t="s">
        <v>15740</v>
      </c>
      <c r="B4741" s="10" t="s">
        <v>16952</v>
      </c>
    </row>
    <row r="4742" ht="15.75" spans="1:2">
      <c r="A4742" s="9" t="s">
        <v>15740</v>
      </c>
      <c r="B4742" s="10" t="s">
        <v>16952</v>
      </c>
    </row>
    <row r="4743" ht="15.75" spans="1:2">
      <c r="A4743" s="9" t="s">
        <v>15744</v>
      </c>
      <c r="B4743" s="5" t="s">
        <v>16952</v>
      </c>
    </row>
    <row r="4744" ht="15.75" spans="1:2">
      <c r="A4744" s="9" t="s">
        <v>15748</v>
      </c>
      <c r="B4744" s="5" t="s">
        <v>16952</v>
      </c>
    </row>
    <row r="4745" ht="15.75" spans="1:2">
      <c r="A4745" s="9" t="s">
        <v>15751</v>
      </c>
      <c r="B4745" s="5" t="s">
        <v>16952</v>
      </c>
    </row>
    <row r="4746" ht="15.75" spans="1:2">
      <c r="A4746" s="9" t="s">
        <v>15754</v>
      </c>
      <c r="B4746" s="5" t="s">
        <v>16952</v>
      </c>
    </row>
    <row r="4747" ht="15.75" spans="1:2">
      <c r="A4747" s="9" t="s">
        <v>15757</v>
      </c>
      <c r="B4747" s="5" t="s">
        <v>16952</v>
      </c>
    </row>
    <row r="4748" ht="15.75" spans="1:2">
      <c r="A4748" s="9" t="s">
        <v>15762</v>
      </c>
      <c r="B4748" s="5" t="s">
        <v>16952</v>
      </c>
    </row>
    <row r="4749" ht="15.75" spans="1:2">
      <c r="A4749" s="9" t="s">
        <v>15765</v>
      </c>
      <c r="B4749" s="8"/>
    </row>
    <row r="4750" ht="15.75" spans="1:2">
      <c r="A4750" s="9" t="s">
        <v>15766</v>
      </c>
      <c r="B4750" s="5" t="s">
        <v>16952</v>
      </c>
    </row>
    <row r="4751" ht="15.75" spans="1:2">
      <c r="A4751" s="9" t="s">
        <v>15770</v>
      </c>
      <c r="B4751" s="5" t="s">
        <v>16952</v>
      </c>
    </row>
    <row r="4752" ht="15.75" spans="1:2">
      <c r="A4752" s="9" t="s">
        <v>15773</v>
      </c>
      <c r="B4752" s="5" t="s">
        <v>16952</v>
      </c>
    </row>
    <row r="4753" ht="15.75" spans="1:2">
      <c r="A4753" s="9" t="s">
        <v>15778</v>
      </c>
      <c r="B4753" s="5" t="s">
        <v>16952</v>
      </c>
    </row>
    <row r="4754" ht="15.75" spans="1:2">
      <c r="A4754" s="9" t="s">
        <v>15782</v>
      </c>
      <c r="B4754" s="13"/>
    </row>
    <row r="4755" ht="15.75" spans="1:2">
      <c r="A4755" s="9" t="s">
        <v>15786</v>
      </c>
      <c r="B4755" s="5" t="s">
        <v>16952</v>
      </c>
    </row>
    <row r="4756" ht="15.75" spans="1:2">
      <c r="A4756" s="9" t="s">
        <v>15789</v>
      </c>
      <c r="B4756" s="5" t="s">
        <v>16952</v>
      </c>
    </row>
    <row r="4757" ht="15.75" spans="1:2">
      <c r="A4757" s="9" t="s">
        <v>15792</v>
      </c>
      <c r="B4757" s="5" t="s">
        <v>16952</v>
      </c>
    </row>
    <row r="4758" ht="15.75" spans="1:2">
      <c r="A4758" s="9" t="s">
        <v>15795</v>
      </c>
      <c r="B4758" s="5" t="s">
        <v>16952</v>
      </c>
    </row>
    <row r="4759" ht="15.75" spans="1:2">
      <c r="A4759" s="9" t="s">
        <v>15798</v>
      </c>
      <c r="B4759" s="5" t="s">
        <v>16952</v>
      </c>
    </row>
    <row r="4760" ht="15.75" spans="1:2">
      <c r="A4760" s="9" t="s">
        <v>15802</v>
      </c>
      <c r="B4760" s="5" t="s">
        <v>16952</v>
      </c>
    </row>
    <row r="4761" ht="15.75" spans="1:2">
      <c r="A4761" s="9" t="s">
        <v>15806</v>
      </c>
      <c r="B4761" s="5" t="s">
        <v>16952</v>
      </c>
    </row>
    <row r="4762" ht="15.75" spans="1:2">
      <c r="A4762" s="9" t="s">
        <v>15809</v>
      </c>
      <c r="B4762" s="5" t="s">
        <v>16952</v>
      </c>
    </row>
    <row r="4763" ht="15.75" spans="1:2">
      <c r="A4763" s="9" t="s">
        <v>15812</v>
      </c>
      <c r="B4763" s="5" t="s">
        <v>16952</v>
      </c>
    </row>
    <row r="4764" ht="15.75" spans="1:2">
      <c r="A4764" s="9" t="s">
        <v>15816</v>
      </c>
      <c r="B4764" s="5" t="s">
        <v>16952</v>
      </c>
    </row>
    <row r="4765" ht="15.75" spans="1:2">
      <c r="A4765" s="9" t="s">
        <v>15819</v>
      </c>
      <c r="B4765" s="5" t="s">
        <v>16952</v>
      </c>
    </row>
    <row r="4766" ht="15.75" spans="1:2">
      <c r="A4766" s="9" t="s">
        <v>15822</v>
      </c>
      <c r="B4766" s="5" t="s">
        <v>16952</v>
      </c>
    </row>
    <row r="4767" ht="15.75" spans="1:2">
      <c r="A4767" s="9" t="s">
        <v>15826</v>
      </c>
      <c r="B4767" s="5" t="s">
        <v>16952</v>
      </c>
    </row>
    <row r="4768" ht="15.75" spans="1:2">
      <c r="A4768" s="9" t="s">
        <v>15829</v>
      </c>
      <c r="B4768" s="5" t="s">
        <v>16952</v>
      </c>
    </row>
    <row r="4769" ht="15.75" spans="1:2">
      <c r="A4769" s="9" t="s">
        <v>15832</v>
      </c>
      <c r="B4769" s="5" t="s">
        <v>16952</v>
      </c>
    </row>
    <row r="4770" ht="15.75" spans="1:2">
      <c r="A4770" s="9" t="s">
        <v>15836</v>
      </c>
      <c r="B4770" s="5" t="s">
        <v>16952</v>
      </c>
    </row>
    <row r="4771" ht="15.75" spans="1:2">
      <c r="A4771" s="9" t="s">
        <v>15841</v>
      </c>
      <c r="B4771" s="5" t="s">
        <v>16952</v>
      </c>
    </row>
    <row r="4772" ht="15.75" spans="1:2">
      <c r="A4772" s="9" t="s">
        <v>15844</v>
      </c>
      <c r="B4772" s="5" t="s">
        <v>16952</v>
      </c>
    </row>
    <row r="4773" ht="15.75" spans="1:2">
      <c r="A4773" s="9" t="s">
        <v>15848</v>
      </c>
      <c r="B4773" s="5" t="s">
        <v>16952</v>
      </c>
    </row>
    <row r="4774" ht="15.75" spans="1:2">
      <c r="A4774" s="9" t="s">
        <v>15851</v>
      </c>
      <c r="B4774" s="5" t="s">
        <v>16952</v>
      </c>
    </row>
    <row r="4775" ht="15.75" spans="1:2">
      <c r="A4775" s="9" t="s">
        <v>15855</v>
      </c>
      <c r="B4775" s="5" t="s">
        <v>16952</v>
      </c>
    </row>
    <row r="4776" ht="15.75" spans="1:2">
      <c r="A4776" s="9" t="s">
        <v>15859</v>
      </c>
      <c r="B4776" s="5" t="s">
        <v>16952</v>
      </c>
    </row>
    <row r="4777" ht="15.75" spans="1:2">
      <c r="A4777" s="9" t="s">
        <v>15862</v>
      </c>
      <c r="B4777" s="5" t="s">
        <v>16952</v>
      </c>
    </row>
    <row r="4778" ht="15.75" spans="1:2">
      <c r="A4778" s="9" t="s">
        <v>15865</v>
      </c>
      <c r="B4778" s="5" t="s">
        <v>16952</v>
      </c>
    </row>
    <row r="4779" ht="15.75" spans="1:2">
      <c r="A4779" s="9" t="s">
        <v>15868</v>
      </c>
      <c r="B4779" s="5" t="s">
        <v>16952</v>
      </c>
    </row>
    <row r="4780" ht="15.75" spans="1:2">
      <c r="A4780" s="9" t="s">
        <v>15871</v>
      </c>
      <c r="B4780" s="5" t="s">
        <v>16952</v>
      </c>
    </row>
    <row r="4781" ht="15.75" spans="1:2">
      <c r="A4781" s="9" t="s">
        <v>15875</v>
      </c>
      <c r="B4781" s="5" t="s">
        <v>16952</v>
      </c>
    </row>
    <row r="4782" ht="15.75" spans="1:2">
      <c r="A4782" s="9" t="s">
        <v>15878</v>
      </c>
      <c r="B4782" s="5" t="s">
        <v>16952</v>
      </c>
    </row>
    <row r="4783" ht="15.75" spans="1:2">
      <c r="A4783" s="9" t="s">
        <v>15881</v>
      </c>
      <c r="B4783" s="5" t="s">
        <v>16952</v>
      </c>
    </row>
    <row r="4784" ht="15.75" spans="1:2">
      <c r="A4784" s="9" t="s">
        <v>15884</v>
      </c>
      <c r="B4784" s="5" t="s">
        <v>16952</v>
      </c>
    </row>
    <row r="4785" ht="15.75" spans="1:2">
      <c r="A4785" s="9" t="s">
        <v>15887</v>
      </c>
      <c r="B4785" s="5" t="s">
        <v>16952</v>
      </c>
    </row>
    <row r="4786" ht="15.75" spans="1:2">
      <c r="A4786" s="9" t="s">
        <v>15890</v>
      </c>
      <c r="B4786" s="5" t="s">
        <v>16952</v>
      </c>
    </row>
    <row r="4787" ht="15.75" spans="1:2">
      <c r="A4787" s="9" t="s">
        <v>15893</v>
      </c>
      <c r="B4787" s="5" t="s">
        <v>16952</v>
      </c>
    </row>
    <row r="4788" ht="15.75" spans="1:2">
      <c r="A4788" s="9" t="s">
        <v>15896</v>
      </c>
      <c r="B4788" s="5" t="s">
        <v>16952</v>
      </c>
    </row>
    <row r="4789" ht="15.75" spans="1:2">
      <c r="A4789" s="9" t="s">
        <v>15899</v>
      </c>
      <c r="B4789" s="5" t="s">
        <v>16952</v>
      </c>
    </row>
    <row r="4790" ht="31.5" spans="1:2">
      <c r="A4790" s="9" t="s">
        <v>15903</v>
      </c>
      <c r="B4790" s="8" t="s">
        <v>17002</v>
      </c>
    </row>
    <row r="4791" ht="15.75" spans="1:2">
      <c r="A4791" s="9" t="s">
        <v>15904</v>
      </c>
      <c r="B4791" s="5" t="s">
        <v>16952</v>
      </c>
    </row>
    <row r="4792" ht="15.75" spans="1:2">
      <c r="A4792" s="9" t="s">
        <v>15908</v>
      </c>
      <c r="B4792" s="5" t="s">
        <v>16952</v>
      </c>
    </row>
    <row r="4793" ht="15.75" spans="1:2">
      <c r="A4793" s="9" t="s">
        <v>15912</v>
      </c>
      <c r="B4793" s="5" t="s">
        <v>16952</v>
      </c>
    </row>
    <row r="4794" ht="15.75" spans="1:2">
      <c r="A4794" s="9" t="s">
        <v>15916</v>
      </c>
      <c r="B4794" s="5" t="s">
        <v>16952</v>
      </c>
    </row>
    <row r="4795" ht="15.75" spans="1:2">
      <c r="A4795" s="9" t="s">
        <v>15919</v>
      </c>
      <c r="B4795" s="5" t="s">
        <v>16952</v>
      </c>
    </row>
    <row r="4796" ht="15.75" spans="1:2">
      <c r="A4796" s="9" t="s">
        <v>15923</v>
      </c>
      <c r="B4796" s="5" t="s">
        <v>16952</v>
      </c>
    </row>
    <row r="4797" ht="15.75" spans="1:2">
      <c r="A4797" s="9" t="s">
        <v>15927</v>
      </c>
      <c r="B4797" s="5" t="s">
        <v>16952</v>
      </c>
    </row>
    <row r="4798" ht="15.75" spans="1:2">
      <c r="A4798" s="9" t="s">
        <v>15931</v>
      </c>
      <c r="B4798" s="5" t="s">
        <v>16952</v>
      </c>
    </row>
    <row r="4799" ht="15.75" spans="1:2">
      <c r="A4799" s="9" t="s">
        <v>15934</v>
      </c>
      <c r="B4799" s="5" t="s">
        <v>16952</v>
      </c>
    </row>
    <row r="4800" ht="15.75" spans="1:2">
      <c r="A4800" s="9" t="s">
        <v>15938</v>
      </c>
      <c r="B4800" s="5" t="s">
        <v>16952</v>
      </c>
    </row>
    <row r="4801" ht="15.75" spans="1:2">
      <c r="A4801" s="9" t="s">
        <v>15943</v>
      </c>
      <c r="B4801" s="5" t="s">
        <v>16952</v>
      </c>
    </row>
    <row r="4802" ht="15.75" spans="1:2">
      <c r="A4802" s="9" t="s">
        <v>15946</v>
      </c>
      <c r="B4802" s="5" t="s">
        <v>16952</v>
      </c>
    </row>
    <row r="4803" ht="15.75" spans="1:2">
      <c r="A4803" s="9" t="s">
        <v>15949</v>
      </c>
      <c r="B4803" s="5" t="s">
        <v>16952</v>
      </c>
    </row>
    <row r="4804" ht="15.75" spans="1:2">
      <c r="A4804" s="9" t="s">
        <v>15952</v>
      </c>
      <c r="B4804" s="5" t="s">
        <v>16952</v>
      </c>
    </row>
    <row r="4805" ht="15.75" spans="1:2">
      <c r="A4805" s="9" t="s">
        <v>15956</v>
      </c>
      <c r="B4805" s="5" t="s">
        <v>16952</v>
      </c>
    </row>
    <row r="4806" ht="15.75" spans="1:2">
      <c r="A4806" s="9" t="s">
        <v>15959</v>
      </c>
      <c r="B4806" s="5" t="s">
        <v>16952</v>
      </c>
    </row>
    <row r="4807" ht="15.75" spans="1:2">
      <c r="A4807" s="9" t="s">
        <v>15964</v>
      </c>
      <c r="B4807" s="5" t="s">
        <v>16952</v>
      </c>
    </row>
    <row r="4808" ht="15.75" spans="1:2">
      <c r="A4808" s="9" t="s">
        <v>15968</v>
      </c>
      <c r="B4808" s="5" t="s">
        <v>16952</v>
      </c>
    </row>
    <row r="4809" ht="15.75" spans="1:2">
      <c r="A4809" s="9" t="s">
        <v>15971</v>
      </c>
      <c r="B4809" s="5" t="s">
        <v>16952</v>
      </c>
    </row>
    <row r="4810" ht="15.75" spans="1:2">
      <c r="A4810" s="9" t="s">
        <v>15974</v>
      </c>
      <c r="B4810" s="5" t="s">
        <v>16952</v>
      </c>
    </row>
    <row r="4811" ht="15.75" spans="1:2">
      <c r="A4811" s="9" t="s">
        <v>15977</v>
      </c>
      <c r="B4811" s="5" t="s">
        <v>16952</v>
      </c>
    </row>
    <row r="4812" ht="15.75" spans="1:2">
      <c r="A4812" s="9" t="s">
        <v>15980</v>
      </c>
      <c r="B4812" s="5" t="s">
        <v>16952</v>
      </c>
    </row>
    <row r="4813" ht="15.75" spans="1:2">
      <c r="A4813" s="9" t="s">
        <v>15983</v>
      </c>
      <c r="B4813" s="5" t="s">
        <v>16952</v>
      </c>
    </row>
    <row r="4814" ht="15.75" spans="1:2">
      <c r="A4814" s="9" t="s">
        <v>15986</v>
      </c>
      <c r="B4814" s="5" t="s">
        <v>16952</v>
      </c>
    </row>
    <row r="4815" ht="15.75" spans="1:2">
      <c r="A4815" s="9" t="s">
        <v>15989</v>
      </c>
      <c r="B4815" s="5" t="s">
        <v>16952</v>
      </c>
    </row>
    <row r="4816" ht="15.75" spans="1:2">
      <c r="A4816" s="9" t="s">
        <v>15992</v>
      </c>
      <c r="B4816" s="5" t="s">
        <v>16952</v>
      </c>
    </row>
    <row r="4817" ht="15.75" spans="1:2">
      <c r="A4817" s="9" t="s">
        <v>15995</v>
      </c>
      <c r="B4817" s="5" t="s">
        <v>16952</v>
      </c>
    </row>
    <row r="4818" ht="15.75" spans="1:2">
      <c r="A4818" s="9" t="s">
        <v>15998</v>
      </c>
      <c r="B4818" s="5" t="s">
        <v>16952</v>
      </c>
    </row>
    <row r="4819" ht="15.75" spans="1:2">
      <c r="A4819" s="9" t="s">
        <v>16001</v>
      </c>
      <c r="B4819" s="5" t="s">
        <v>16952</v>
      </c>
    </row>
    <row r="4820" ht="15.75" spans="1:2">
      <c r="A4820" s="9" t="s">
        <v>16005</v>
      </c>
      <c r="B4820" s="5" t="s">
        <v>16952</v>
      </c>
    </row>
    <row r="4821" ht="15.75" spans="1:2">
      <c r="A4821" s="9" t="s">
        <v>16008</v>
      </c>
      <c r="B4821" s="5" t="s">
        <v>16952</v>
      </c>
    </row>
    <row r="4822" ht="15.75" spans="1:2">
      <c r="A4822" s="9" t="s">
        <v>16011</v>
      </c>
      <c r="B4822" s="5" t="s">
        <v>16952</v>
      </c>
    </row>
    <row r="4823" ht="15.75" spans="1:2">
      <c r="A4823" s="9" t="s">
        <v>16016</v>
      </c>
      <c r="B4823" s="5" t="s">
        <v>16952</v>
      </c>
    </row>
    <row r="4824" ht="15.75" spans="1:2">
      <c r="A4824" s="9" t="s">
        <v>16019</v>
      </c>
      <c r="B4824" s="5" t="s">
        <v>16952</v>
      </c>
    </row>
    <row r="4825" ht="15.75" spans="1:2">
      <c r="A4825" s="9" t="s">
        <v>16022</v>
      </c>
      <c r="B4825" s="5" t="s">
        <v>16952</v>
      </c>
    </row>
    <row r="4826" ht="15.75" spans="1:2">
      <c r="A4826" s="9" t="s">
        <v>16026</v>
      </c>
      <c r="B4826" s="5" t="s">
        <v>16952</v>
      </c>
    </row>
    <row r="4827" ht="15.75" spans="1:2">
      <c r="A4827" s="9" t="s">
        <v>16029</v>
      </c>
      <c r="B4827" s="5" t="s">
        <v>16952</v>
      </c>
    </row>
    <row r="4828" ht="15.75" spans="1:2">
      <c r="A4828" s="9" t="s">
        <v>16033</v>
      </c>
      <c r="B4828" s="5" t="s">
        <v>16952</v>
      </c>
    </row>
    <row r="4829" ht="15.75" spans="1:2">
      <c r="A4829" s="9" t="s">
        <v>16036</v>
      </c>
      <c r="B4829" s="5" t="s">
        <v>16952</v>
      </c>
    </row>
    <row r="4830" ht="15.75" spans="1:2">
      <c r="A4830" s="9" t="s">
        <v>16039</v>
      </c>
      <c r="B4830" s="5" t="s">
        <v>16952</v>
      </c>
    </row>
    <row r="4831" ht="15.75" spans="1:2">
      <c r="A4831" s="9" t="s">
        <v>16043</v>
      </c>
      <c r="B4831" s="5" t="s">
        <v>16952</v>
      </c>
    </row>
    <row r="4832" ht="15.75" spans="1:2">
      <c r="A4832" s="9" t="s">
        <v>16046</v>
      </c>
      <c r="B4832" s="5" t="s">
        <v>16952</v>
      </c>
    </row>
    <row r="4833" ht="15.75" spans="1:2">
      <c r="A4833" s="9" t="s">
        <v>16049</v>
      </c>
      <c r="B4833" s="5" t="s">
        <v>16952</v>
      </c>
    </row>
    <row r="4834" ht="15.75" spans="1:2">
      <c r="A4834" s="9" t="s">
        <v>16052</v>
      </c>
      <c r="B4834" s="5" t="s">
        <v>16952</v>
      </c>
    </row>
    <row r="4835" ht="15.75" spans="1:2">
      <c r="A4835" s="9" t="s">
        <v>16055</v>
      </c>
      <c r="B4835" s="5" t="s">
        <v>16952</v>
      </c>
    </row>
    <row r="4836" ht="15.75" spans="1:2">
      <c r="A4836" s="9" t="s">
        <v>16058</v>
      </c>
      <c r="B4836" s="5" t="s">
        <v>16952</v>
      </c>
    </row>
    <row r="4837" ht="15.75" spans="1:2">
      <c r="A4837" s="9" t="s">
        <v>16061</v>
      </c>
      <c r="B4837" s="5" t="s">
        <v>16952</v>
      </c>
    </row>
    <row r="4838" ht="15.75" spans="1:2">
      <c r="A4838" s="9" t="s">
        <v>16065</v>
      </c>
      <c r="B4838" s="5" t="s">
        <v>16952</v>
      </c>
    </row>
    <row r="4839" ht="15.75" spans="1:2">
      <c r="A4839" s="9" t="s">
        <v>16069</v>
      </c>
      <c r="B4839" s="5" t="s">
        <v>16952</v>
      </c>
    </row>
    <row r="4840" ht="15.75" spans="1:2">
      <c r="A4840" s="9" t="s">
        <v>16073</v>
      </c>
      <c r="B4840" s="5" t="s">
        <v>16952</v>
      </c>
    </row>
    <row r="4841" ht="15.75" spans="1:2">
      <c r="A4841" s="9" t="s">
        <v>16076</v>
      </c>
      <c r="B4841" s="5" t="s">
        <v>16952</v>
      </c>
    </row>
    <row r="4842" ht="15.75" spans="1:2">
      <c r="A4842" s="9" t="s">
        <v>16079</v>
      </c>
      <c r="B4842" s="5" t="s">
        <v>16952</v>
      </c>
    </row>
    <row r="4843" ht="15.75" spans="1:2">
      <c r="A4843" s="9" t="s">
        <v>16082</v>
      </c>
      <c r="B4843" s="5" t="s">
        <v>16952</v>
      </c>
    </row>
    <row r="4844" ht="15.75" spans="1:2">
      <c r="A4844" s="9" t="s">
        <v>16086</v>
      </c>
      <c r="B4844" s="5" t="s">
        <v>16952</v>
      </c>
    </row>
    <row r="4845" ht="15.75" spans="1:2">
      <c r="A4845" s="9" t="s">
        <v>16090</v>
      </c>
      <c r="B4845" s="5" t="s">
        <v>16952</v>
      </c>
    </row>
    <row r="4846" ht="15.75" spans="1:2">
      <c r="A4846" s="9" t="s">
        <v>16093</v>
      </c>
      <c r="B4846" s="5" t="s">
        <v>16952</v>
      </c>
    </row>
    <row r="4847" ht="15.75" spans="1:2">
      <c r="A4847" s="9" t="s">
        <v>16096</v>
      </c>
      <c r="B4847" s="5" t="s">
        <v>16952</v>
      </c>
    </row>
    <row r="4848" ht="15.75" spans="1:2">
      <c r="A4848" s="9" t="s">
        <v>16099</v>
      </c>
      <c r="B4848" s="5" t="s">
        <v>16952</v>
      </c>
    </row>
    <row r="4849" ht="15.75" spans="1:2">
      <c r="A4849" s="9" t="s">
        <v>16102</v>
      </c>
      <c r="B4849" s="5" t="s">
        <v>16952</v>
      </c>
    </row>
    <row r="4850" ht="15.75" spans="1:2">
      <c r="A4850" s="9" t="s">
        <v>16106</v>
      </c>
      <c r="B4850" s="8"/>
    </row>
    <row r="4851" ht="15.75" spans="1:2">
      <c r="A4851" s="9" t="s">
        <v>16107</v>
      </c>
      <c r="B4851" s="5" t="s">
        <v>16952</v>
      </c>
    </row>
    <row r="4852" ht="15.75" spans="1:2">
      <c r="A4852" s="9" t="s">
        <v>16111</v>
      </c>
      <c r="B4852" s="5" t="s">
        <v>16952</v>
      </c>
    </row>
    <row r="4853" ht="15.75" spans="1:2">
      <c r="A4853" s="9" t="s">
        <v>16114</v>
      </c>
      <c r="B4853" s="5" t="s">
        <v>16952</v>
      </c>
    </row>
    <row r="4854" ht="15.75" spans="1:2">
      <c r="A4854" s="9" t="s">
        <v>16117</v>
      </c>
      <c r="B4854" s="5" t="s">
        <v>16952</v>
      </c>
    </row>
    <row r="4855" ht="15.75" spans="1:2">
      <c r="A4855" s="9" t="s">
        <v>16120</v>
      </c>
      <c r="B4855" s="5" t="s">
        <v>16952</v>
      </c>
    </row>
    <row r="4856" ht="15.75" spans="1:2">
      <c r="A4856" s="9" t="s">
        <v>16124</v>
      </c>
      <c r="B4856" s="5" t="s">
        <v>16952</v>
      </c>
    </row>
    <row r="4857" ht="15.75" spans="1:2">
      <c r="A4857" s="9" t="s">
        <v>16127</v>
      </c>
      <c r="B4857" s="5" t="s">
        <v>16952</v>
      </c>
    </row>
    <row r="4858" ht="15.75" spans="1:2">
      <c r="A4858" s="9" t="s">
        <v>16130</v>
      </c>
      <c r="B4858" s="5" t="s">
        <v>16952</v>
      </c>
    </row>
    <row r="4859" ht="15.75" spans="1:2">
      <c r="A4859" s="9" t="s">
        <v>16133</v>
      </c>
      <c r="B4859" s="5" t="s">
        <v>16952</v>
      </c>
    </row>
    <row r="4860" ht="15.75" spans="1:2">
      <c r="A4860" s="9" t="s">
        <v>16136</v>
      </c>
      <c r="B4860" s="5" t="s">
        <v>16952</v>
      </c>
    </row>
    <row r="4861" ht="15.75" spans="1:2">
      <c r="A4861" s="9" t="s">
        <v>16139</v>
      </c>
      <c r="B4861" s="5" t="s">
        <v>16952</v>
      </c>
    </row>
    <row r="4862" ht="15.75" spans="1:2">
      <c r="A4862" s="9" t="s">
        <v>16142</v>
      </c>
      <c r="B4862" s="11"/>
    </row>
    <row r="4863" ht="15.75" spans="1:2">
      <c r="A4863" s="9" t="s">
        <v>16143</v>
      </c>
      <c r="B4863" s="5" t="s">
        <v>16952</v>
      </c>
    </row>
    <row r="4864" ht="15.75" spans="1:2">
      <c r="A4864" s="9" t="s">
        <v>16146</v>
      </c>
      <c r="B4864" s="5" t="s">
        <v>16952</v>
      </c>
    </row>
    <row r="4865" ht="15.75" spans="1:2">
      <c r="A4865" s="9" t="s">
        <v>16149</v>
      </c>
      <c r="B4865" s="5" t="s">
        <v>16952</v>
      </c>
    </row>
    <row r="4866" ht="15.75" spans="1:2">
      <c r="A4866" s="9" t="s">
        <v>16152</v>
      </c>
      <c r="B4866" s="5" t="s">
        <v>16952</v>
      </c>
    </row>
    <row r="4867" ht="15.75" spans="1:2">
      <c r="A4867" s="9" t="s">
        <v>16155</v>
      </c>
      <c r="B4867" s="5" t="s">
        <v>16952</v>
      </c>
    </row>
    <row r="4868" ht="15.75" spans="1:2">
      <c r="A4868" s="9" t="s">
        <v>16158</v>
      </c>
      <c r="B4868" s="5" t="s">
        <v>16952</v>
      </c>
    </row>
    <row r="4869" ht="15.75" spans="1:2">
      <c r="A4869" s="9" t="s">
        <v>16161</v>
      </c>
      <c r="B4869" s="13"/>
    </row>
    <row r="4870" ht="15.75" spans="1:2">
      <c r="A4870" s="9" t="s">
        <v>16165</v>
      </c>
      <c r="B4870" s="5" t="s">
        <v>16952</v>
      </c>
    </row>
    <row r="4871" ht="15.75" spans="1:2">
      <c r="A4871" s="9" t="s">
        <v>16169</v>
      </c>
      <c r="B4871" s="5" t="s">
        <v>16952</v>
      </c>
    </row>
    <row r="4872" ht="15.75" spans="1:2">
      <c r="A4872" s="9" t="s">
        <v>16174</v>
      </c>
      <c r="B4872" s="5" t="s">
        <v>16952</v>
      </c>
    </row>
    <row r="4873" ht="15.75" spans="1:2">
      <c r="A4873" s="9" t="s">
        <v>16177</v>
      </c>
      <c r="B4873" s="8"/>
    </row>
    <row r="4874" ht="15.75" spans="1:2">
      <c r="A4874" s="9" t="s">
        <v>16178</v>
      </c>
      <c r="B4874" s="5" t="s">
        <v>16952</v>
      </c>
    </row>
    <row r="4875" ht="31.5" spans="1:2">
      <c r="A4875" s="9" t="s">
        <v>16181</v>
      </c>
      <c r="B4875" s="8" t="s">
        <v>17003</v>
      </c>
    </row>
    <row r="4876" ht="15.75" spans="1:2">
      <c r="A4876" s="9" t="s">
        <v>16182</v>
      </c>
      <c r="B4876" s="5" t="s">
        <v>16952</v>
      </c>
    </row>
    <row r="4877" ht="15.75" spans="1:2">
      <c r="A4877" s="9" t="s">
        <v>16187</v>
      </c>
      <c r="B4877" s="5" t="s">
        <v>16952</v>
      </c>
    </row>
    <row r="4878" ht="15.75" spans="1:2">
      <c r="A4878" s="9" t="s">
        <v>16190</v>
      </c>
      <c r="B4878" s="5" t="s">
        <v>16952</v>
      </c>
    </row>
    <row r="4879" ht="15.75" spans="1:2">
      <c r="A4879" s="9" t="s">
        <v>16194</v>
      </c>
      <c r="B4879" s="5" t="s">
        <v>16952</v>
      </c>
    </row>
    <row r="4880" ht="15.75" spans="1:2">
      <c r="A4880" s="9" t="s">
        <v>16199</v>
      </c>
      <c r="B4880" s="5" t="s">
        <v>16952</v>
      </c>
    </row>
    <row r="4881" ht="15.75" spans="1:2">
      <c r="A4881" s="9" t="s">
        <v>16202</v>
      </c>
      <c r="B4881" s="5" t="s">
        <v>16952</v>
      </c>
    </row>
    <row r="4882" ht="15.75" spans="1:2">
      <c r="A4882" s="9" t="s">
        <v>16205</v>
      </c>
      <c r="B4882" s="5" t="s">
        <v>16952</v>
      </c>
    </row>
    <row r="4883" ht="15.75" spans="1:2">
      <c r="A4883" s="9" t="s">
        <v>16208</v>
      </c>
      <c r="B4883" s="5" t="s">
        <v>16952</v>
      </c>
    </row>
    <row r="4884" ht="15.75" spans="1:2">
      <c r="A4884" s="9" t="s">
        <v>16211</v>
      </c>
      <c r="B4884" s="5" t="s">
        <v>16952</v>
      </c>
    </row>
    <row r="4885" ht="15.75" spans="1:2">
      <c r="A4885" s="9" t="s">
        <v>16215</v>
      </c>
      <c r="B4885" s="5" t="s">
        <v>16952</v>
      </c>
    </row>
    <row r="4886" ht="15.75" spans="1:2">
      <c r="A4886" s="9" t="s">
        <v>16218</v>
      </c>
      <c r="B4886" s="5" t="s">
        <v>16952</v>
      </c>
    </row>
    <row r="4887" ht="15.75" spans="1:2">
      <c r="A4887" s="9" t="s">
        <v>16222</v>
      </c>
      <c r="B4887" s="5" t="s">
        <v>16952</v>
      </c>
    </row>
    <row r="4888" ht="15.75" spans="1:2">
      <c r="A4888" s="9" t="s">
        <v>16227</v>
      </c>
      <c r="B4888" s="5" t="s">
        <v>16952</v>
      </c>
    </row>
    <row r="4889" ht="15.75" spans="1:2">
      <c r="A4889" s="9" t="s">
        <v>16230</v>
      </c>
      <c r="B4889" s="5" t="s">
        <v>16952</v>
      </c>
    </row>
    <row r="4890" ht="15.75" spans="1:2">
      <c r="A4890" s="9" t="s">
        <v>16233</v>
      </c>
      <c r="B4890" s="5" t="s">
        <v>16952</v>
      </c>
    </row>
    <row r="4891" ht="15.75" spans="1:2">
      <c r="A4891" s="9" t="s">
        <v>16237</v>
      </c>
      <c r="B4891" s="5" t="s">
        <v>16952</v>
      </c>
    </row>
    <row r="4892" ht="15.75" spans="1:2">
      <c r="A4892" s="9" t="s">
        <v>16241</v>
      </c>
      <c r="B4892" s="5" t="s">
        <v>16952</v>
      </c>
    </row>
    <row r="4893" ht="15.75" spans="1:2">
      <c r="A4893" s="9" t="s">
        <v>16244</v>
      </c>
      <c r="B4893" s="5" t="s">
        <v>16952</v>
      </c>
    </row>
    <row r="4894" ht="15.75" spans="1:2">
      <c r="A4894" s="9" t="s">
        <v>16248</v>
      </c>
      <c r="B4894" s="5" t="s">
        <v>16952</v>
      </c>
    </row>
    <row r="4895" ht="15.75" spans="1:2">
      <c r="A4895" s="9" t="s">
        <v>16253</v>
      </c>
      <c r="B4895" s="5" t="s">
        <v>16952</v>
      </c>
    </row>
    <row r="4896" ht="15.75" spans="1:2">
      <c r="A4896" s="9" t="s">
        <v>16257</v>
      </c>
      <c r="B4896" s="10" t="s">
        <v>16952</v>
      </c>
    </row>
    <row r="4897" ht="15.75" spans="1:2">
      <c r="A4897" s="9" t="s">
        <v>16257</v>
      </c>
      <c r="B4897" s="10" t="s">
        <v>16952</v>
      </c>
    </row>
    <row r="4898" ht="15.75" spans="1:2">
      <c r="A4898" s="9" t="s">
        <v>16262</v>
      </c>
      <c r="B4898" s="5" t="s">
        <v>16952</v>
      </c>
    </row>
    <row r="4899" ht="15.75" spans="1:2">
      <c r="A4899" s="9" t="s">
        <v>16265</v>
      </c>
      <c r="B4899" s="5" t="s">
        <v>16952</v>
      </c>
    </row>
    <row r="4900" ht="15.75" spans="1:2">
      <c r="A4900" s="9" t="s">
        <v>16268</v>
      </c>
      <c r="B4900" s="5" t="s">
        <v>16952</v>
      </c>
    </row>
    <row r="4901" ht="15.75" spans="1:2">
      <c r="A4901" s="9" t="s">
        <v>16272</v>
      </c>
      <c r="B4901" s="5" t="s">
        <v>16952</v>
      </c>
    </row>
    <row r="4902" ht="15.75" spans="1:2">
      <c r="A4902" s="9" t="s">
        <v>16276</v>
      </c>
      <c r="B4902" s="5" t="s">
        <v>16952</v>
      </c>
    </row>
    <row r="4903" ht="15.75" spans="1:2">
      <c r="A4903" s="9" t="s">
        <v>16281</v>
      </c>
      <c r="B4903" s="5" t="s">
        <v>16952</v>
      </c>
    </row>
    <row r="4904" ht="15.75" spans="1:2">
      <c r="A4904" s="9" t="s">
        <v>16285</v>
      </c>
      <c r="B4904" s="5" t="s">
        <v>16952</v>
      </c>
    </row>
    <row r="4905" ht="15.75" spans="1:2">
      <c r="A4905" s="9" t="s">
        <v>16288</v>
      </c>
      <c r="B4905" s="5" t="s">
        <v>16952</v>
      </c>
    </row>
    <row r="4906" ht="15.75" spans="1:2">
      <c r="A4906" s="9" t="s">
        <v>16291</v>
      </c>
      <c r="B4906" s="5" t="s">
        <v>16952</v>
      </c>
    </row>
    <row r="4907" ht="15.75" spans="1:2">
      <c r="A4907" s="9" t="s">
        <v>16294</v>
      </c>
      <c r="B4907" s="5" t="s">
        <v>16952</v>
      </c>
    </row>
    <row r="4908" ht="15.75" spans="1:2">
      <c r="A4908" s="9" t="s">
        <v>16297</v>
      </c>
      <c r="B4908" s="5" t="s">
        <v>16952</v>
      </c>
    </row>
    <row r="4909" ht="15.75" spans="1:2">
      <c r="A4909" s="9" t="s">
        <v>16301</v>
      </c>
      <c r="B4909" s="5" t="s">
        <v>16952</v>
      </c>
    </row>
    <row r="4910" ht="15.75" spans="1:2">
      <c r="A4910" s="9" t="s">
        <v>16305</v>
      </c>
      <c r="B4910" s="5" t="s">
        <v>16952</v>
      </c>
    </row>
    <row r="4911" ht="15.75" spans="1:2">
      <c r="A4911" s="9" t="s">
        <v>16308</v>
      </c>
      <c r="B4911" s="5" t="s">
        <v>16952</v>
      </c>
    </row>
    <row r="4912" ht="15.75" spans="1:2">
      <c r="A4912" s="9" t="s">
        <v>16313</v>
      </c>
      <c r="B4912" s="5" t="s">
        <v>16952</v>
      </c>
    </row>
    <row r="4913" ht="15.75" spans="1:2">
      <c r="A4913" s="9" t="s">
        <v>16317</v>
      </c>
      <c r="B4913" s="5" t="s">
        <v>16952</v>
      </c>
    </row>
    <row r="4914" ht="15.75" spans="1:2">
      <c r="A4914" s="9" t="s">
        <v>16321</v>
      </c>
      <c r="B4914" s="5" t="s">
        <v>16952</v>
      </c>
    </row>
    <row r="4915" ht="15.75" spans="1:2">
      <c r="A4915" s="9" t="s">
        <v>16325</v>
      </c>
      <c r="B4915" s="5" t="s">
        <v>16952</v>
      </c>
    </row>
    <row r="4916" ht="15.75" spans="1:2">
      <c r="A4916" s="9" t="s">
        <v>16329</v>
      </c>
      <c r="B4916" s="5" t="s">
        <v>16952</v>
      </c>
    </row>
    <row r="4917" ht="15.75" spans="1:2">
      <c r="A4917" s="9" t="s">
        <v>16333</v>
      </c>
      <c r="B4917" s="5" t="s">
        <v>16952</v>
      </c>
    </row>
    <row r="4918" ht="15.75" spans="1:2">
      <c r="A4918" s="9" t="s">
        <v>16337</v>
      </c>
      <c r="B4918" s="5" t="s">
        <v>16952</v>
      </c>
    </row>
    <row r="4919" ht="15.75" spans="1:2">
      <c r="A4919" s="9" t="s">
        <v>16341</v>
      </c>
      <c r="B4919" s="5" t="s">
        <v>16952</v>
      </c>
    </row>
    <row r="4920" ht="15.75" spans="1:2">
      <c r="A4920" s="9" t="s">
        <v>16344</v>
      </c>
      <c r="B4920" s="5" t="s">
        <v>16952</v>
      </c>
    </row>
    <row r="4921" ht="15.75" spans="1:2">
      <c r="A4921" s="9" t="s">
        <v>16349</v>
      </c>
      <c r="B4921" s="5" t="s">
        <v>16952</v>
      </c>
    </row>
    <row r="4922" ht="15.75" spans="1:2">
      <c r="A4922" s="9" t="s">
        <v>16352</v>
      </c>
      <c r="B4922" s="5" t="s">
        <v>16952</v>
      </c>
    </row>
    <row r="4923" ht="15.75" spans="1:2">
      <c r="A4923" s="9" t="s">
        <v>16356</v>
      </c>
      <c r="B4923" s="5" t="s">
        <v>16952</v>
      </c>
    </row>
    <row r="4924" ht="15.75" spans="1:2">
      <c r="A4924" s="9" t="s">
        <v>16359</v>
      </c>
      <c r="B4924" s="5" t="s">
        <v>16952</v>
      </c>
    </row>
    <row r="4925" ht="15.75" spans="1:2">
      <c r="A4925" s="9" t="s">
        <v>16362</v>
      </c>
      <c r="B4925" s="5" t="s">
        <v>16952</v>
      </c>
    </row>
    <row r="4926" ht="15.75" spans="1:2">
      <c r="A4926" s="9" t="s">
        <v>16365</v>
      </c>
      <c r="B4926" s="5" t="s">
        <v>16952</v>
      </c>
    </row>
    <row r="4927" ht="15.75" spans="1:2">
      <c r="A4927" s="9" t="s">
        <v>16369</v>
      </c>
      <c r="B4927" s="5" t="s">
        <v>16952</v>
      </c>
    </row>
    <row r="4928" ht="15.75" spans="1:2">
      <c r="A4928" s="9" t="s">
        <v>16372</v>
      </c>
      <c r="B4928" s="5" t="s">
        <v>16952</v>
      </c>
    </row>
    <row r="4929" ht="15.75" spans="1:2">
      <c r="A4929" s="9" t="s">
        <v>16376</v>
      </c>
      <c r="B4929" s="5" t="s">
        <v>16952</v>
      </c>
    </row>
    <row r="4930" ht="15.75" spans="1:2">
      <c r="A4930" s="9" t="s">
        <v>16379</v>
      </c>
      <c r="B4930" s="8"/>
    </row>
    <row r="4931" ht="15.75" spans="1:2">
      <c r="A4931" s="9" t="s">
        <v>16380</v>
      </c>
      <c r="B4931" s="5" t="s">
        <v>16952</v>
      </c>
    </row>
    <row r="4932" ht="15.75" spans="1:2">
      <c r="A4932" s="9" t="s">
        <v>16383</v>
      </c>
      <c r="B4932" s="8"/>
    </row>
    <row r="4933" ht="15.75" spans="1:2">
      <c r="A4933" s="9" t="s">
        <v>16384</v>
      </c>
      <c r="B4933" s="5" t="s">
        <v>16952</v>
      </c>
    </row>
    <row r="4934" ht="15.75" spans="1:2">
      <c r="A4934" s="9" t="s">
        <v>16387</v>
      </c>
      <c r="B4934" s="5" t="s">
        <v>16952</v>
      </c>
    </row>
    <row r="4935" ht="15.75" spans="1:2">
      <c r="A4935" s="9" t="s">
        <v>16390</v>
      </c>
      <c r="B4935" s="5" t="s">
        <v>16952</v>
      </c>
    </row>
    <row r="4936" ht="15.75" spans="1:2">
      <c r="A4936" s="9" t="s">
        <v>16394</v>
      </c>
      <c r="B4936" s="5" t="s">
        <v>16952</v>
      </c>
    </row>
    <row r="4937" ht="15.75" spans="1:2">
      <c r="A4937" s="9" t="s">
        <v>16397</v>
      </c>
      <c r="B4937" s="8"/>
    </row>
    <row r="4938" ht="15.75" spans="1:2">
      <c r="A4938" s="9" t="s">
        <v>16398</v>
      </c>
      <c r="B4938" s="5" t="s">
        <v>16952</v>
      </c>
    </row>
    <row r="4939" ht="15.75" spans="1:2">
      <c r="A4939" s="9" t="s">
        <v>16401</v>
      </c>
      <c r="B4939" s="5" t="s">
        <v>16952</v>
      </c>
    </row>
    <row r="4940" ht="15.75" spans="1:2">
      <c r="A4940" s="9" t="s">
        <v>16405</v>
      </c>
      <c r="B4940" s="5"/>
    </row>
    <row r="4941" ht="15.75" spans="1:2">
      <c r="A4941" s="9" t="s">
        <v>16410</v>
      </c>
      <c r="B4941" s="5" t="s">
        <v>16952</v>
      </c>
    </row>
    <row r="4942" ht="15.75" spans="1:2">
      <c r="A4942" s="9" t="s">
        <v>16414</v>
      </c>
      <c r="B4942" s="5" t="s">
        <v>16952</v>
      </c>
    </row>
    <row r="4943" ht="15.75" spans="1:2">
      <c r="A4943" s="9" t="s">
        <v>16417</v>
      </c>
      <c r="B4943" s="5" t="s">
        <v>16952</v>
      </c>
    </row>
    <row r="4944" ht="15.75" spans="1:2">
      <c r="A4944" s="9" t="s">
        <v>16420</v>
      </c>
      <c r="B4944" s="5" t="s">
        <v>16952</v>
      </c>
    </row>
    <row r="4945" ht="15.75" spans="1:2">
      <c r="A4945" s="9" t="s">
        <v>16424</v>
      </c>
      <c r="B4945" s="8"/>
    </row>
    <row r="4946" ht="15.75" spans="1:2">
      <c r="A4946" s="9" t="s">
        <v>16425</v>
      </c>
      <c r="B4946" s="5" t="s">
        <v>16952</v>
      </c>
    </row>
    <row r="4947" ht="15.75" spans="1:2">
      <c r="A4947" s="9" t="s">
        <v>16429</v>
      </c>
      <c r="B4947" s="5" t="s">
        <v>16952</v>
      </c>
    </row>
    <row r="4948" ht="15.75" spans="1:2">
      <c r="A4948" s="9" t="s">
        <v>16433</v>
      </c>
      <c r="B4948" s="5" t="s">
        <v>16952</v>
      </c>
    </row>
    <row r="4949" ht="15.75" spans="1:2">
      <c r="A4949" s="9" t="s">
        <v>16437</v>
      </c>
      <c r="B4949" s="8" t="s">
        <v>17004</v>
      </c>
    </row>
    <row r="4950" ht="31.5" spans="1:2">
      <c r="A4950" s="9" t="s">
        <v>16438</v>
      </c>
      <c r="B4950" s="8" t="s">
        <v>17005</v>
      </c>
    </row>
    <row r="4951" ht="15.75" spans="1:2">
      <c r="A4951" s="9" t="s">
        <v>16439</v>
      </c>
      <c r="B4951" s="5" t="s">
        <v>16952</v>
      </c>
    </row>
    <row r="4952" ht="15.75" spans="1:2">
      <c r="A4952" s="9" t="s">
        <v>16443</v>
      </c>
      <c r="B4952" s="5" t="s">
        <v>16952</v>
      </c>
    </row>
    <row r="4953" ht="15.75" spans="1:2">
      <c r="A4953" s="9" t="s">
        <v>16446</v>
      </c>
      <c r="B4953" s="5" t="s">
        <v>16952</v>
      </c>
    </row>
    <row r="4954" ht="15.75" spans="1:2">
      <c r="A4954" s="9" t="s">
        <v>16450</v>
      </c>
      <c r="B4954" s="5" t="s">
        <v>16952</v>
      </c>
    </row>
    <row r="4955" ht="15.75" spans="1:2">
      <c r="A4955" s="9" t="s">
        <v>16454</v>
      </c>
      <c r="B4955" s="5" t="s">
        <v>16952</v>
      </c>
    </row>
    <row r="4956" ht="15.75" spans="1:2">
      <c r="A4956" s="9" t="s">
        <v>16458</v>
      </c>
      <c r="B4956" s="5" t="s">
        <v>16952</v>
      </c>
    </row>
    <row r="4957" ht="15.75" spans="1:2">
      <c r="A4957" s="9" t="s">
        <v>16462</v>
      </c>
      <c r="B4957" s="5" t="s">
        <v>16952</v>
      </c>
    </row>
    <row r="4958" ht="15.75" spans="1:2">
      <c r="A4958" s="9" t="s">
        <v>16465</v>
      </c>
      <c r="B4958" s="5" t="s">
        <v>16952</v>
      </c>
    </row>
    <row r="4959" ht="15.75" spans="1:2">
      <c r="A4959" s="9" t="s">
        <v>16469</v>
      </c>
      <c r="B4959" s="5" t="s">
        <v>16952</v>
      </c>
    </row>
    <row r="4960" ht="15.75" spans="1:2">
      <c r="A4960" s="9" t="s">
        <v>16472</v>
      </c>
      <c r="B4960" s="5" t="s">
        <v>16952</v>
      </c>
    </row>
    <row r="4961" ht="15.75" spans="1:2">
      <c r="A4961" s="9" t="s">
        <v>16475</v>
      </c>
      <c r="B4961" s="5" t="s">
        <v>16952</v>
      </c>
    </row>
    <row r="4962" ht="15.75" spans="1:2">
      <c r="A4962" s="9" t="s">
        <v>16478</v>
      </c>
      <c r="B4962" s="5" t="s">
        <v>16952</v>
      </c>
    </row>
    <row r="4963" ht="15.75" spans="1:2">
      <c r="A4963" s="9" t="s">
        <v>16481</v>
      </c>
      <c r="B4963" s="5" t="s">
        <v>16952</v>
      </c>
    </row>
    <row r="4964" ht="15.75" spans="1:2">
      <c r="A4964" s="9" t="s">
        <v>16484</v>
      </c>
      <c r="B4964" s="5" t="s">
        <v>16952</v>
      </c>
    </row>
    <row r="4965" ht="15.75" spans="1:2">
      <c r="A4965" s="9" t="s">
        <v>16487</v>
      </c>
      <c r="B4965" s="5" t="s">
        <v>16952</v>
      </c>
    </row>
    <row r="4966" ht="31.5" spans="1:2">
      <c r="A4966" s="9" t="s">
        <v>16491</v>
      </c>
      <c r="B4966" s="12" t="s">
        <v>17006</v>
      </c>
    </row>
    <row r="4967" ht="31.5" spans="1:2">
      <c r="A4967" s="9" t="s">
        <v>16491</v>
      </c>
      <c r="B4967" s="12" t="s">
        <v>17006</v>
      </c>
    </row>
    <row r="4968" ht="15.75" spans="1:2">
      <c r="A4968" s="9" t="s">
        <v>16492</v>
      </c>
      <c r="B4968" s="5" t="s">
        <v>16952</v>
      </c>
    </row>
    <row r="4969" ht="15.75" spans="1:2">
      <c r="A4969" s="9" t="s">
        <v>16496</v>
      </c>
      <c r="B4969" s="5" t="s">
        <v>16952</v>
      </c>
    </row>
    <row r="4970" ht="15.75" spans="1:2">
      <c r="A4970" s="9" t="s">
        <v>16499</v>
      </c>
      <c r="B4970" s="5" t="s">
        <v>16952</v>
      </c>
    </row>
    <row r="4971" ht="15.75" spans="1:2">
      <c r="A4971" s="9" t="s">
        <v>16503</v>
      </c>
      <c r="B4971" s="5" t="s">
        <v>16952</v>
      </c>
    </row>
    <row r="4972" ht="15.75" spans="1:2">
      <c r="A4972" s="9" t="s">
        <v>16506</v>
      </c>
      <c r="B4972" s="5" t="s">
        <v>16952</v>
      </c>
    </row>
    <row r="4973" ht="15.75" spans="1:2">
      <c r="A4973" s="9" t="s">
        <v>16509</v>
      </c>
      <c r="B4973" s="13"/>
    </row>
    <row r="4974" ht="15.75" spans="1:2">
      <c r="A4974" s="9" t="s">
        <v>16513</v>
      </c>
      <c r="B4974" s="5" t="s">
        <v>16952</v>
      </c>
    </row>
    <row r="4975" ht="15.75" spans="1:2">
      <c r="A4975" s="9" t="s">
        <v>16518</v>
      </c>
      <c r="B4975" s="5" t="s">
        <v>16952</v>
      </c>
    </row>
    <row r="4976" ht="15.75" spans="1:2">
      <c r="A4976" s="9" t="s">
        <v>16522</v>
      </c>
      <c r="B4976" s="5" t="s">
        <v>16952</v>
      </c>
    </row>
    <row r="4977" ht="15.75" spans="1:2">
      <c r="A4977" s="9" t="s">
        <v>16526</v>
      </c>
      <c r="B4977" s="5" t="s">
        <v>16952</v>
      </c>
    </row>
    <row r="4978" ht="15.75" spans="1:2">
      <c r="A4978" s="9" t="s">
        <v>16531</v>
      </c>
      <c r="B4978" s="5" t="s">
        <v>16952</v>
      </c>
    </row>
    <row r="4979" ht="15.75" spans="1:2">
      <c r="A4979" s="9" t="s">
        <v>16534</v>
      </c>
      <c r="B4979" s="8"/>
    </row>
    <row r="4980" ht="15.75" spans="1:2">
      <c r="A4980" s="9" t="s">
        <v>16535</v>
      </c>
      <c r="B4980" s="5" t="s">
        <v>16952</v>
      </c>
    </row>
    <row r="4981" ht="15.75" spans="1:2">
      <c r="A4981" s="9" t="s">
        <v>16539</v>
      </c>
      <c r="B4981" s="5" t="s">
        <v>16952</v>
      </c>
    </row>
    <row r="4982" ht="15.75" spans="1:2">
      <c r="A4982" s="9" t="s">
        <v>16543</v>
      </c>
      <c r="B4982" s="5" t="s">
        <v>16952</v>
      </c>
    </row>
    <row r="4983" ht="15.75" spans="1:2">
      <c r="A4983" s="9" t="s">
        <v>16546</v>
      </c>
      <c r="B4983" s="5" t="s">
        <v>16952</v>
      </c>
    </row>
    <row r="4984" ht="15.75" spans="1:2">
      <c r="A4984" s="9" t="s">
        <v>16549</v>
      </c>
      <c r="B4984" s="5" t="s">
        <v>16952</v>
      </c>
    </row>
    <row r="4985" ht="15.75" spans="1:2">
      <c r="A4985" s="9" t="s">
        <v>16552</v>
      </c>
      <c r="B4985" s="5" t="s">
        <v>16952</v>
      </c>
    </row>
    <row r="4986" ht="15.75" spans="1:2">
      <c r="A4986" s="9" t="s">
        <v>16555</v>
      </c>
      <c r="B4986" s="5" t="s">
        <v>16952</v>
      </c>
    </row>
    <row r="4987" ht="15.75" spans="1:2">
      <c r="A4987" s="9" t="s">
        <v>16558</v>
      </c>
      <c r="B4987" s="5" t="s">
        <v>16952</v>
      </c>
    </row>
    <row r="4988" ht="15.75" spans="1:2">
      <c r="A4988" s="9" t="s">
        <v>16561</v>
      </c>
      <c r="B4988" s="5" t="s">
        <v>16952</v>
      </c>
    </row>
    <row r="4989" ht="15.75" spans="1:2">
      <c r="A4989" s="9" t="s">
        <v>16564</v>
      </c>
      <c r="B4989" s="5" t="s">
        <v>16952</v>
      </c>
    </row>
    <row r="4990" ht="15.75" spans="1:2">
      <c r="A4990" s="9" t="s">
        <v>16568</v>
      </c>
      <c r="B4990" s="5" t="s">
        <v>16952</v>
      </c>
    </row>
    <row r="4991" ht="15.75" spans="1:2">
      <c r="A4991" s="9" t="s">
        <v>16571</v>
      </c>
      <c r="B4991" s="5" t="s">
        <v>16952</v>
      </c>
    </row>
    <row r="4992" ht="15.75" spans="1:2">
      <c r="A4992" s="9" t="s">
        <v>16574</v>
      </c>
      <c r="B4992" s="5" t="s">
        <v>16952</v>
      </c>
    </row>
    <row r="4993" ht="15.75" spans="1:2">
      <c r="A4993" s="9" t="s">
        <v>16578</v>
      </c>
      <c r="B4993" s="5" t="s">
        <v>16952</v>
      </c>
    </row>
    <row r="4994" ht="15.75" spans="1:2">
      <c r="A4994" s="9" t="s">
        <v>16580</v>
      </c>
      <c r="B4994" s="5" t="s">
        <v>16952</v>
      </c>
    </row>
    <row r="4995" ht="15.75" spans="1:2">
      <c r="A4995" s="9" t="s">
        <v>16583</v>
      </c>
      <c r="B4995" s="5" t="s">
        <v>16952</v>
      </c>
    </row>
    <row r="4996" ht="15.75" spans="1:2">
      <c r="A4996" s="9" t="s">
        <v>16586</v>
      </c>
      <c r="B4996" s="5" t="s">
        <v>16952</v>
      </c>
    </row>
    <row r="4997" ht="15.75" spans="1:2">
      <c r="A4997" s="9" t="s">
        <v>16590</v>
      </c>
      <c r="B4997" s="5" t="s">
        <v>16952</v>
      </c>
    </row>
    <row r="4998" ht="15.75" spans="1:2">
      <c r="A4998" s="9" t="s">
        <v>16593</v>
      </c>
      <c r="B4998" s="5" t="s">
        <v>16952</v>
      </c>
    </row>
    <row r="4999" ht="15.75" spans="1:2">
      <c r="A4999" s="9" t="s">
        <v>16596</v>
      </c>
      <c r="B4999" s="5" t="s">
        <v>16952</v>
      </c>
    </row>
    <row r="5000" ht="15.75" spans="1:2">
      <c r="A5000" s="9" t="s">
        <v>16600</v>
      </c>
      <c r="B5000" s="5" t="s">
        <v>16952</v>
      </c>
    </row>
    <row r="5001" ht="15.75" spans="1:2">
      <c r="A5001" s="9" t="s">
        <v>16604</v>
      </c>
      <c r="B5001" s="5" t="s">
        <v>16952</v>
      </c>
    </row>
    <row r="5002" ht="15.75" spans="1:2">
      <c r="A5002" s="9" t="s">
        <v>16607</v>
      </c>
      <c r="B5002" s="5" t="s">
        <v>16952</v>
      </c>
    </row>
    <row r="5003" ht="15.75" spans="1:2">
      <c r="A5003" s="9" t="s">
        <v>16610</v>
      </c>
      <c r="B5003" s="5" t="s">
        <v>16952</v>
      </c>
    </row>
    <row r="5004" ht="15.75" spans="1:2">
      <c r="A5004" s="9" t="s">
        <v>16613</v>
      </c>
      <c r="B5004" s="5" t="s">
        <v>16952</v>
      </c>
    </row>
    <row r="5005" ht="15.75" spans="1:2">
      <c r="A5005" s="9" t="s">
        <v>16616</v>
      </c>
      <c r="B5005" s="5" t="s">
        <v>16952</v>
      </c>
    </row>
    <row r="5006" ht="15.75" spans="1:2">
      <c r="A5006" s="9" t="s">
        <v>16620</v>
      </c>
      <c r="B5006" s="14"/>
    </row>
    <row r="5007" ht="15.75" spans="1:2">
      <c r="A5007" s="9" t="s">
        <v>16620</v>
      </c>
      <c r="B5007" s="1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shareholder</vt:lpstr>
      <vt:lpstr>shareInfo</vt:lpstr>
      <vt:lpstr>payment</vt:lpstr>
      <vt:lpstr>agent</vt:lpstr>
      <vt:lpstr>representative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HABTE</cp:lastModifiedBy>
  <dcterms:created xsi:type="dcterms:W3CDTF">2023-03-16T11:45:00Z</dcterms:created>
  <dcterms:modified xsi:type="dcterms:W3CDTF">2024-04-12T15:06:17Z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080C8DA5A814476D88ED13516F962E4B_12</vt:lpwstr>
  </property>
  <property fmtid="{D5CDD505-2E9C-101B-9397-08002B2CF9AE}" pid="3" name="KSOProductBuildVer">
    <vt:lpwstr>1033-12.2.0.16731</vt:lpwstr>
  </property>
</Properties>
</file>