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12abh\Downloads\Chrome\"/>
    </mc:Choice>
  </mc:AlternateContent>
  <xr:revisionPtr revIDLastSave="0" documentId="8_{B7DE7DA0-89EE-4BC6-B344-360CDB9D3183}" xr6:coauthVersionLast="47" xr6:coauthVersionMax="47" xr10:uidLastSave="{00000000-0000-0000-0000-000000000000}"/>
  <bookViews>
    <workbookView xWindow="-108" yWindow="-108" windowWidth="23256" windowHeight="12456" xr2:uid="{DC21C02B-9F67-4DAB-BB22-9F822E52F01D}"/>
  </bookViews>
  <sheets>
    <sheet name="Introduction" sheetId="9" r:id="rId1"/>
    <sheet name="Chemicals Testing" sheetId="3" r:id="rId2"/>
    <sheet name="Lab Trails summery" sheetId="7" r:id="rId3"/>
    <sheet name="Consumption Summer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8" l="1"/>
  <c r="E87" i="8"/>
  <c r="G87" i="8"/>
  <c r="I87" i="8"/>
  <c r="K87" i="8"/>
  <c r="M87" i="8"/>
  <c r="O87" i="8"/>
  <c r="Q87" i="8"/>
  <c r="S87" i="8"/>
  <c r="U87" i="8"/>
  <c r="W87" i="8"/>
  <c r="Y87" i="8"/>
  <c r="AA87" i="8"/>
  <c r="AC87" i="8"/>
  <c r="AE87" i="8"/>
  <c r="AG87" i="8"/>
  <c r="AI87" i="8"/>
  <c r="AK87" i="8"/>
  <c r="AM87" i="8"/>
  <c r="AO87" i="8"/>
  <c r="AQ87" i="8"/>
  <c r="AS87" i="8"/>
  <c r="AU87" i="8"/>
  <c r="AW87" i="8"/>
  <c r="AY87" i="8"/>
  <c r="BA87" i="8"/>
  <c r="BC87" i="8"/>
  <c r="BE87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AG42" i="8"/>
  <c r="AH42" i="8"/>
  <c r="AI42" i="8"/>
  <c r="H43" i="8"/>
  <c r="L43" i="8"/>
  <c r="M43" i="8"/>
  <c r="N43" i="8"/>
  <c r="O43" i="8"/>
  <c r="P43" i="8"/>
  <c r="Q43" i="8"/>
  <c r="U43" i="8"/>
  <c r="V43" i="8"/>
  <c r="W43" i="8"/>
  <c r="AJ43" i="8"/>
  <c r="AK43" i="8"/>
  <c r="AL43" i="8"/>
  <c r="H44" i="8"/>
  <c r="I44" i="8"/>
  <c r="J44" i="8"/>
  <c r="K44" i="8"/>
  <c r="O44" i="8"/>
  <c r="P44" i="8"/>
  <c r="Q44" i="8"/>
  <c r="U44" i="8"/>
  <c r="V44" i="8"/>
  <c r="W44" i="8"/>
  <c r="BH44" i="8"/>
  <c r="BH69" i="8" s="1"/>
  <c r="BI44" i="8"/>
  <c r="BI69" i="8" s="1"/>
  <c r="BJ44" i="8"/>
  <c r="BJ69" i="8" s="1"/>
  <c r="BK44" i="8"/>
  <c r="BK69" i="8" s="1"/>
  <c r="BL44" i="8"/>
  <c r="BL69" i="8" s="1"/>
  <c r="BM44" i="8"/>
  <c r="BM69" i="8" s="1"/>
  <c r="BN44" i="8"/>
  <c r="BO44" i="8"/>
  <c r="BP44" i="8"/>
  <c r="H45" i="8"/>
  <c r="AG45" i="8"/>
  <c r="AH45" i="8"/>
  <c r="AI45" i="8"/>
  <c r="AJ45" i="8"/>
  <c r="AK45" i="8"/>
  <c r="AL45" i="8"/>
  <c r="BN45" i="8"/>
  <c r="BO45" i="8"/>
  <c r="BP45" i="8"/>
  <c r="BQ45" i="8"/>
  <c r="BQ69" i="8" s="1"/>
  <c r="BR45" i="8"/>
  <c r="BR69" i="8" s="1"/>
  <c r="BS45" i="8"/>
  <c r="H46" i="8"/>
  <c r="L46" i="8"/>
  <c r="M46" i="8"/>
  <c r="N46" i="8"/>
  <c r="AG46" i="8"/>
  <c r="AH46" i="8"/>
  <c r="AI46" i="8"/>
  <c r="AJ46" i="8"/>
  <c r="AK46" i="8"/>
  <c r="AL46" i="8"/>
  <c r="AS46" i="8"/>
  <c r="AT46" i="8"/>
  <c r="AU46" i="8"/>
  <c r="BT46" i="8"/>
  <c r="BU46" i="8"/>
  <c r="BV46" i="8"/>
  <c r="BW46" i="8"/>
  <c r="BX46" i="8"/>
  <c r="BY46" i="8"/>
  <c r="H47" i="8"/>
  <c r="L47" i="8"/>
  <c r="M47" i="8"/>
  <c r="N47" i="8"/>
  <c r="AG47" i="8"/>
  <c r="AH47" i="8"/>
  <c r="AI47" i="8"/>
  <c r="AJ47" i="8"/>
  <c r="AK47" i="8"/>
  <c r="AL47" i="8"/>
  <c r="AS47" i="8"/>
  <c r="AT47" i="8"/>
  <c r="AU47" i="8"/>
  <c r="BT47" i="8"/>
  <c r="BU47" i="8"/>
  <c r="BV47" i="8"/>
  <c r="BW47" i="8"/>
  <c r="BX47" i="8"/>
  <c r="BY47" i="8"/>
  <c r="H48" i="8"/>
  <c r="L48" i="8"/>
  <c r="M48" i="8"/>
  <c r="N48" i="8"/>
  <c r="AG48" i="8"/>
  <c r="AH48" i="8"/>
  <c r="AI48" i="8"/>
  <c r="AM48" i="8"/>
  <c r="AN48" i="8"/>
  <c r="AO48" i="8"/>
  <c r="AV48" i="8"/>
  <c r="AW48" i="8"/>
  <c r="AX48" i="8"/>
  <c r="CC48" i="8"/>
  <c r="CC69" i="8" s="1"/>
  <c r="CD48" i="8"/>
  <c r="CD69" i="8" s="1"/>
  <c r="CE48" i="8"/>
  <c r="CE69" i="8" s="1"/>
  <c r="CF48" i="8"/>
  <c r="CF69" i="8" s="1"/>
  <c r="CG48" i="8"/>
  <c r="CH48" i="8"/>
  <c r="H49" i="8"/>
  <c r="L49" i="8"/>
  <c r="M49" i="8"/>
  <c r="N49" i="8"/>
  <c r="AG49" i="8"/>
  <c r="AH49" i="8"/>
  <c r="AI49" i="8"/>
  <c r="AJ49" i="8"/>
  <c r="AK49" i="8"/>
  <c r="AL49" i="8"/>
  <c r="AS49" i="8"/>
  <c r="AT49" i="8"/>
  <c r="AU49" i="8"/>
  <c r="BT49" i="8"/>
  <c r="BU49" i="8"/>
  <c r="BV49" i="8"/>
  <c r="BW49" i="8"/>
  <c r="BX49" i="8"/>
  <c r="BY49" i="8"/>
  <c r="H50" i="8"/>
  <c r="L50" i="8"/>
  <c r="M50" i="8"/>
  <c r="N50" i="8"/>
  <c r="AG50" i="8"/>
  <c r="AH50" i="8"/>
  <c r="AI50" i="8"/>
  <c r="AJ50" i="8"/>
  <c r="AK50" i="8"/>
  <c r="AL50" i="8"/>
  <c r="AS50" i="8"/>
  <c r="AT50" i="8"/>
  <c r="AU50" i="8"/>
  <c r="BT50" i="8"/>
  <c r="BU50" i="8"/>
  <c r="BV50" i="8"/>
  <c r="BW50" i="8"/>
  <c r="BX50" i="8"/>
  <c r="BY50" i="8"/>
  <c r="H51" i="8"/>
  <c r="I51" i="8"/>
  <c r="J51" i="8"/>
  <c r="K51" i="8"/>
  <c r="O51" i="8"/>
  <c r="P51" i="8"/>
  <c r="Q51" i="8"/>
  <c r="U51" i="8"/>
  <c r="V51" i="8"/>
  <c r="W51" i="8"/>
  <c r="AD51" i="8"/>
  <c r="AE51" i="8"/>
  <c r="AF51" i="8"/>
  <c r="AG51" i="8"/>
  <c r="AH51" i="8"/>
  <c r="AI51" i="8"/>
  <c r="AY51" i="8"/>
  <c r="AZ51" i="8"/>
  <c r="BA51" i="8"/>
  <c r="H52" i="8"/>
  <c r="AG52" i="8"/>
  <c r="AH52" i="8"/>
  <c r="AI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Z52" i="8"/>
  <c r="CA52" i="8"/>
  <c r="CB52" i="8"/>
  <c r="CB69" i="8" s="1"/>
  <c r="H53" i="8"/>
  <c r="AG53" i="8"/>
  <c r="AH53" i="8"/>
  <c r="AI53" i="8"/>
  <c r="AS53" i="8"/>
  <c r="AT53" i="8"/>
  <c r="AU53" i="8"/>
  <c r="AV53" i="8"/>
  <c r="AV69" i="8" s="1"/>
  <c r="AW53" i="8"/>
  <c r="AX53" i="8"/>
  <c r="AY53" i="8"/>
  <c r="AZ53" i="8"/>
  <c r="BA53" i="8"/>
  <c r="BB53" i="8"/>
  <c r="BC53" i="8"/>
  <c r="BD53" i="8"/>
  <c r="BD69" i="8" s="1"/>
  <c r="BZ53" i="8"/>
  <c r="CA53" i="8"/>
  <c r="CB53" i="8"/>
  <c r="H54" i="8"/>
  <c r="AG54" i="8"/>
  <c r="AH54" i="8"/>
  <c r="AI54" i="8"/>
  <c r="AM54" i="8"/>
  <c r="AN54" i="8"/>
  <c r="AO54" i="8"/>
  <c r="AV54" i="8"/>
  <c r="AW54" i="8"/>
  <c r="AX54" i="8"/>
  <c r="AY54" i="8"/>
  <c r="AZ54" i="8"/>
  <c r="BA54" i="8"/>
  <c r="H55" i="8"/>
  <c r="L55" i="8"/>
  <c r="M55" i="8"/>
  <c r="N55" i="8"/>
  <c r="AG55" i="8"/>
  <c r="AH55" i="8"/>
  <c r="AI55" i="8"/>
  <c r="AJ55" i="8"/>
  <c r="AK55" i="8"/>
  <c r="AL55" i="8"/>
  <c r="AS55" i="8"/>
  <c r="AT55" i="8"/>
  <c r="AU55" i="8"/>
  <c r="BT55" i="8"/>
  <c r="BU55" i="8"/>
  <c r="BV55" i="8"/>
  <c r="BW55" i="8"/>
  <c r="BX55" i="8"/>
  <c r="BY55" i="8"/>
  <c r="H56" i="8"/>
  <c r="L56" i="8"/>
  <c r="M56" i="8"/>
  <c r="N56" i="8"/>
  <c r="AG56" i="8"/>
  <c r="AH56" i="8"/>
  <c r="AI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H58" i="8"/>
  <c r="I58" i="8"/>
  <c r="J58" i="8"/>
  <c r="K58" i="8"/>
  <c r="L58" i="8"/>
  <c r="M58" i="8"/>
  <c r="N58" i="8"/>
  <c r="O58" i="8"/>
  <c r="P58" i="8"/>
  <c r="Q58" i="8"/>
  <c r="U58" i="8"/>
  <c r="V58" i="8"/>
  <c r="W58" i="8"/>
  <c r="H59" i="8"/>
  <c r="I59" i="8"/>
  <c r="J59" i="8"/>
  <c r="K59" i="8"/>
  <c r="L59" i="8"/>
  <c r="M59" i="8"/>
  <c r="N59" i="8"/>
  <c r="O59" i="8"/>
  <c r="P59" i="8"/>
  <c r="Q59" i="8"/>
  <c r="U59" i="8"/>
  <c r="V59" i="8"/>
  <c r="W59" i="8"/>
  <c r="H60" i="8"/>
  <c r="L60" i="8"/>
  <c r="M60" i="8"/>
  <c r="N60" i="8"/>
  <c r="O60" i="8"/>
  <c r="P60" i="8"/>
  <c r="Q60" i="8"/>
  <c r="U60" i="8"/>
  <c r="V60" i="8"/>
  <c r="W60" i="8"/>
  <c r="X60" i="8"/>
  <c r="X69" i="8" s="1"/>
  <c r="Y60" i="8"/>
  <c r="Y69" i="8" s="1"/>
  <c r="Z60" i="8"/>
  <c r="Z69" i="8" s="1"/>
  <c r="AA60" i="8"/>
  <c r="AA69" i="8" s="1"/>
  <c r="AB60" i="8"/>
  <c r="AB69" i="8" s="1"/>
  <c r="AC60" i="8"/>
  <c r="AC69" i="8" s="1"/>
  <c r="AD60" i="8"/>
  <c r="AE60" i="8"/>
  <c r="AF60" i="8"/>
  <c r="AG60" i="8"/>
  <c r="AH60" i="8"/>
  <c r="AI60" i="8"/>
  <c r="H61" i="8"/>
  <c r="L61" i="8"/>
  <c r="M61" i="8"/>
  <c r="N61" i="8"/>
  <c r="O61" i="8"/>
  <c r="P61" i="8"/>
  <c r="Q61" i="8"/>
  <c r="U61" i="8"/>
  <c r="V61" i="8"/>
  <c r="W61" i="8"/>
  <c r="AJ61" i="8"/>
  <c r="AK61" i="8"/>
  <c r="AL61" i="8"/>
  <c r="AM61" i="8"/>
  <c r="AN61" i="8"/>
  <c r="AO61" i="8"/>
  <c r="AP61" i="8"/>
  <c r="AP69" i="8" s="1"/>
  <c r="AQ61" i="8"/>
  <c r="AQ69" i="8" s="1"/>
  <c r="AR61" i="8"/>
  <c r="AR69" i="8" s="1"/>
  <c r="AS61" i="8"/>
  <c r="AT61" i="8"/>
  <c r="AU61" i="8"/>
  <c r="H62" i="8"/>
  <c r="L62" i="8"/>
  <c r="M62" i="8"/>
  <c r="N62" i="8"/>
  <c r="O62" i="8"/>
  <c r="P62" i="8"/>
  <c r="Q62" i="8"/>
  <c r="U62" i="8"/>
  <c r="V62" i="8"/>
  <c r="W62" i="8"/>
  <c r="AJ62" i="8"/>
  <c r="AK62" i="8"/>
  <c r="AL62" i="8"/>
  <c r="H63" i="8"/>
  <c r="L63" i="8"/>
  <c r="M63" i="8"/>
  <c r="N63" i="8"/>
  <c r="AG63" i="8"/>
  <c r="AH63" i="8"/>
  <c r="AI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H64" i="8"/>
  <c r="L64" i="8"/>
  <c r="M64" i="8"/>
  <c r="N64" i="8"/>
  <c r="AV64" i="8"/>
  <c r="AW64" i="8"/>
  <c r="AX64" i="8"/>
  <c r="H65" i="8"/>
  <c r="I65" i="8"/>
  <c r="J65" i="8"/>
  <c r="K65" i="8"/>
  <c r="O65" i="8"/>
  <c r="P65" i="8"/>
  <c r="Q65" i="8"/>
  <c r="U65" i="8"/>
  <c r="V65" i="8"/>
  <c r="W65" i="8"/>
  <c r="AG65" i="8"/>
  <c r="AH65" i="8"/>
  <c r="AI65" i="8"/>
  <c r="AM65" i="8"/>
  <c r="AN65" i="8"/>
  <c r="AO65" i="8"/>
  <c r="H66" i="8"/>
  <c r="AG66" i="8"/>
  <c r="AH66" i="8"/>
  <c r="AI66" i="8"/>
  <c r="AS66" i="8"/>
  <c r="AT66" i="8"/>
  <c r="AU66" i="8"/>
  <c r="AY66" i="8"/>
  <c r="AZ66" i="8"/>
  <c r="BA66" i="8"/>
  <c r="BZ66" i="8"/>
  <c r="CA66" i="8"/>
  <c r="CB66" i="8"/>
  <c r="H67" i="8"/>
  <c r="L67" i="8"/>
  <c r="M67" i="8"/>
  <c r="N67" i="8"/>
  <c r="AG67" i="8"/>
  <c r="AH67" i="8"/>
  <c r="AI67" i="8"/>
  <c r="AJ67" i="8"/>
  <c r="AK67" i="8"/>
  <c r="AL67" i="8"/>
  <c r="AS67" i="8"/>
  <c r="AT67" i="8"/>
  <c r="AU67" i="8"/>
  <c r="H68" i="8"/>
  <c r="L68" i="8"/>
  <c r="M68" i="8"/>
  <c r="N68" i="8"/>
  <c r="O68" i="8"/>
  <c r="P68" i="8"/>
  <c r="Q68" i="8"/>
  <c r="U68" i="8"/>
  <c r="V68" i="8"/>
  <c r="W68" i="8"/>
  <c r="AG68" i="8"/>
  <c r="AH68" i="8"/>
  <c r="AI68" i="8"/>
  <c r="AJ68" i="8"/>
  <c r="AK68" i="8"/>
  <c r="AL68" i="8"/>
  <c r="E69" i="8"/>
  <c r="F69" i="8"/>
  <c r="G69" i="8"/>
  <c r="BS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AP27" i="8"/>
  <c r="AQ27" i="8"/>
  <c r="AR27" i="8"/>
  <c r="AS27" i="8"/>
  <c r="AT27" i="8"/>
  <c r="AU27" i="8"/>
  <c r="AT28" i="8" s="1"/>
  <c r="AV27" i="8"/>
  <c r="AW27" i="8"/>
  <c r="AX27" i="8"/>
  <c r="AY27" i="8"/>
  <c r="AZ27" i="8"/>
  <c r="BA27" i="8"/>
  <c r="BB27" i="8"/>
  <c r="BC27" i="8"/>
  <c r="BB28" i="8" s="1"/>
  <c r="BD27" i="8"/>
  <c r="BE27" i="8"/>
  <c r="BF27" i="8"/>
  <c r="BG27" i="8"/>
  <c r="BH27" i="8"/>
  <c r="BI27" i="8"/>
  <c r="BJ27" i="8"/>
  <c r="BK27" i="8"/>
  <c r="BJ28" i="8" s="1"/>
  <c r="BL27" i="8"/>
  <c r="BM27" i="8"/>
  <c r="BN27" i="8"/>
  <c r="BO27" i="8"/>
  <c r="BP27" i="8"/>
  <c r="BQ27" i="8"/>
  <c r="BR27" i="8"/>
  <c r="BS27" i="8"/>
  <c r="BR28" i="8" s="1"/>
  <c r="BT27" i="8"/>
  <c r="BU27" i="8"/>
  <c r="BV27" i="8"/>
  <c r="BW27" i="8"/>
  <c r="BX27" i="8"/>
  <c r="BY27" i="8"/>
  <c r="BZ27" i="8"/>
  <c r="CA27" i="8"/>
  <c r="BZ28" i="8" s="1"/>
  <c r="P17" i="8"/>
  <c r="P27" i="8" s="1"/>
  <c r="H21" i="8"/>
  <c r="H23" i="8"/>
  <c r="D25" i="8"/>
  <c r="D27" i="8" s="1"/>
  <c r="H25" i="8"/>
  <c r="C27" i="8"/>
  <c r="E27" i="8"/>
  <c r="F27" i="8"/>
  <c r="G27" i="8"/>
  <c r="I27" i="8"/>
  <c r="J27" i="8"/>
  <c r="K27" i="8"/>
  <c r="L27" i="8"/>
  <c r="M27" i="8"/>
  <c r="N27" i="8"/>
  <c r="O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W69" i="8" l="1"/>
  <c r="BC69" i="8"/>
  <c r="CA69" i="8"/>
  <c r="BT69" i="8"/>
  <c r="BU69" i="8"/>
  <c r="AI28" i="8"/>
  <c r="AA28" i="8"/>
  <c r="S28" i="8"/>
  <c r="P69" i="8"/>
  <c r="AF69" i="8"/>
  <c r="H69" i="8"/>
  <c r="C28" i="8"/>
  <c r="I28" i="8"/>
  <c r="AN69" i="8"/>
  <c r="R69" i="8"/>
  <c r="AU69" i="8"/>
  <c r="AG28" i="8"/>
  <c r="Y28" i="8"/>
  <c r="Q28" i="8"/>
  <c r="BT28" i="8"/>
  <c r="BL28" i="8"/>
  <c r="BD28" i="8"/>
  <c r="AV28" i="8"/>
  <c r="K69" i="8"/>
  <c r="AT69" i="8"/>
  <c r="AX69" i="8"/>
  <c r="BY69" i="8"/>
  <c r="U69" i="8"/>
  <c r="BF69" i="8"/>
  <c r="BA69" i="8"/>
  <c r="AD69" i="8"/>
  <c r="AW69" i="8"/>
  <c r="BX69" i="8"/>
  <c r="AL69" i="8"/>
  <c r="BO69" i="8"/>
  <c r="I69" i="8"/>
  <c r="Q69" i="8"/>
  <c r="AH69" i="8"/>
  <c r="N69" i="8"/>
  <c r="S69" i="8"/>
  <c r="AM69" i="8"/>
  <c r="V69" i="8"/>
  <c r="BG69" i="8"/>
  <c r="BB69" i="8"/>
  <c r="AE69" i="8"/>
  <c r="BP69" i="8"/>
  <c r="J69" i="8"/>
  <c r="O69" i="8"/>
  <c r="BE69" i="8"/>
  <c r="AZ69" i="8"/>
  <c r="BW69" i="8"/>
  <c r="AK69" i="8"/>
  <c r="BN69" i="8"/>
  <c r="AG69" i="8"/>
  <c r="M69" i="8"/>
  <c r="BZ69" i="8"/>
  <c r="AS69" i="8"/>
  <c r="AI69" i="8"/>
  <c r="H27" i="8"/>
  <c r="G28" i="8" s="1"/>
  <c r="AY69" i="8"/>
  <c r="AO69" i="8"/>
  <c r="BV69" i="8"/>
  <c r="AJ69" i="8"/>
  <c r="T69" i="8"/>
  <c r="L69" i="8"/>
  <c r="BP28" i="8"/>
  <c r="AR28" i="8"/>
  <c r="BX28" i="8"/>
  <c r="BH28" i="8"/>
  <c r="AZ28" i="8"/>
  <c r="BV28" i="8"/>
  <c r="AP28" i="8"/>
  <c r="AE28" i="8"/>
  <c r="E28" i="8"/>
  <c r="BN28" i="8"/>
  <c r="AX28" i="8"/>
  <c r="BF28" i="8"/>
  <c r="K28" i="8"/>
  <c r="M28" i="8"/>
  <c r="AC28" i="8"/>
  <c r="U28" i="8"/>
  <c r="W28" i="8"/>
  <c r="O28" i="8"/>
</calcChain>
</file>

<file path=xl/sharedStrings.xml><?xml version="1.0" encoding="utf-8"?>
<sst xmlns="http://schemas.openxmlformats.org/spreadsheetml/2006/main" count="604" uniqueCount="257">
  <si>
    <t>Chemicals Testing</t>
  </si>
  <si>
    <t>Sl no</t>
  </si>
  <si>
    <t>Chemical Name</t>
  </si>
  <si>
    <t>type</t>
  </si>
  <si>
    <t>% solid</t>
  </si>
  <si>
    <t>State at room temp</t>
  </si>
  <si>
    <t>Use</t>
  </si>
  <si>
    <t>Remarks</t>
  </si>
  <si>
    <t>Flamex 351</t>
  </si>
  <si>
    <t>FR</t>
  </si>
  <si>
    <t>Solid</t>
  </si>
  <si>
    <t>Can be used as a alternate of FG D053</t>
  </si>
  <si>
    <t>Provide good amount of FR compare to FG D053</t>
  </si>
  <si>
    <t>Bless Guard</t>
  </si>
  <si>
    <t>Fire Resistance is Good</t>
  </si>
  <si>
    <t>Cost is low compare to FG D053</t>
  </si>
  <si>
    <t>FI1271</t>
  </si>
  <si>
    <t>FR Binder</t>
  </si>
  <si>
    <t>White Liquid</t>
  </si>
  <si>
    <t>FR binder</t>
  </si>
  <si>
    <t>Fire Resistiance is mediocre</t>
  </si>
  <si>
    <t>Power is formed in the coating surface after coating is done</t>
  </si>
  <si>
    <t>WB Coat</t>
  </si>
  <si>
    <t>WR Binder</t>
  </si>
  <si>
    <t>Can be used in case of Nuva</t>
  </si>
  <si>
    <t>provide Good WR but need to use more amount Compare to Nuva</t>
  </si>
  <si>
    <t>Price is very affortable</t>
  </si>
  <si>
    <t>WR drcreses if we deep coated sample for long period of time</t>
  </si>
  <si>
    <t>Grey Base</t>
  </si>
  <si>
    <t>Colour</t>
  </si>
  <si>
    <t>Grey paste</t>
  </si>
  <si>
    <t>Can Be used as grey colour</t>
  </si>
  <si>
    <t xml:space="preserve">Imparts green colour to the solution </t>
  </si>
  <si>
    <t>BYK-LP D23470N</t>
  </si>
  <si>
    <t>Antifoam</t>
  </si>
  <si>
    <t>Can be used as a antifoam</t>
  </si>
  <si>
    <t>Good in removing foam in solution</t>
  </si>
  <si>
    <t>REFRACOAT</t>
  </si>
  <si>
    <t>Ceramic</t>
  </si>
  <si>
    <t>White liquid</t>
  </si>
  <si>
    <t>Temperature resistant</t>
  </si>
  <si>
    <t>It provides high temperature resistance to the fabric for a longer period of time</t>
  </si>
  <si>
    <t>LOI Decreases</t>
  </si>
  <si>
    <t>MV50</t>
  </si>
  <si>
    <t>SPL BLACK</t>
  </si>
  <si>
    <t>D579</t>
  </si>
  <si>
    <t>PC3699</t>
  </si>
  <si>
    <t>PC3640H</t>
  </si>
  <si>
    <t>FG</t>
  </si>
  <si>
    <t>HH/LFC</t>
  </si>
  <si>
    <t>CR</t>
  </si>
  <si>
    <t>CPW</t>
  </si>
  <si>
    <t>ANTIFOAM</t>
  </si>
  <si>
    <t>SANITIZE</t>
  </si>
  <si>
    <t>NANO-SILICA</t>
  </si>
  <si>
    <t>NUVA</t>
  </si>
  <si>
    <t>BANAXOL</t>
  </si>
  <si>
    <t>AMINO SILANE</t>
  </si>
  <si>
    <t>EVA</t>
  </si>
  <si>
    <t>BENZIL</t>
  </si>
  <si>
    <t>MONO PEG</t>
  </si>
  <si>
    <t>MEGASIL</t>
  </si>
  <si>
    <t>A.ACID</t>
  </si>
  <si>
    <t>PC6500</t>
  </si>
  <si>
    <t>DPS</t>
  </si>
  <si>
    <t>ORITEX GREEN M</t>
  </si>
  <si>
    <t>Asian Paint</t>
  </si>
  <si>
    <t>Aqua Lock</t>
  </si>
  <si>
    <t>Orion BLUE SBG</t>
  </si>
  <si>
    <t>TRACTOR EMULSION 7358</t>
  </si>
  <si>
    <t>ORION GREEN SBG</t>
  </si>
  <si>
    <t>Calculated</t>
  </si>
  <si>
    <t>Reported</t>
  </si>
  <si>
    <t>LITEL2</t>
  </si>
  <si>
    <t>YAMUNA</t>
  </si>
  <si>
    <t>LITEL 1</t>
  </si>
  <si>
    <t>OLD TOWER</t>
  </si>
  <si>
    <t>Difference</t>
  </si>
  <si>
    <t>June</t>
  </si>
  <si>
    <t>Chemical Consumption Summery</t>
  </si>
  <si>
    <t>SANITIZED</t>
  </si>
  <si>
    <t>JB44</t>
  </si>
  <si>
    <t>VOAA</t>
  </si>
  <si>
    <t>PRINTOFIX</t>
  </si>
  <si>
    <t>Banaxol</t>
  </si>
  <si>
    <t xml:space="preserve">Amino Silon </t>
  </si>
  <si>
    <t>Printofix Green</t>
  </si>
  <si>
    <t>Orion Green M</t>
  </si>
  <si>
    <t>Orien Red 912</t>
  </si>
  <si>
    <t>LFC</t>
  </si>
  <si>
    <t>Nano-Silica</t>
  </si>
  <si>
    <t>HH</t>
  </si>
  <si>
    <t>Monopeg</t>
  </si>
  <si>
    <t>Zebond</t>
  </si>
  <si>
    <t>Acetic Acid</t>
  </si>
  <si>
    <t>MEGASIL1744</t>
  </si>
  <si>
    <t>Knittex</t>
  </si>
  <si>
    <t>Quality</t>
  </si>
  <si>
    <t>Customer</t>
  </si>
  <si>
    <t>Coating Area in squre MTR</t>
  </si>
  <si>
    <t>Total no. of calculated batch</t>
  </si>
  <si>
    <t>Total no. of Practical batch</t>
  </si>
  <si>
    <t>Total Excess</t>
  </si>
  <si>
    <t>% Excess</t>
  </si>
  <si>
    <t>Theoretical</t>
  </si>
  <si>
    <t>Used</t>
  </si>
  <si>
    <t>Excess</t>
  </si>
  <si>
    <t>148 GSM BLACK  X 1200 MM BC, FR</t>
  </si>
  <si>
    <t>AFFICO</t>
  </si>
  <si>
    <t>Style7628 x 1005mm Black Coated,FR</t>
  </si>
  <si>
    <t>ARMACELL</t>
  </si>
  <si>
    <t>Style7628 x 1005mm Green Coated,FR</t>
  </si>
  <si>
    <t>Style7628 x 1040mm Red Coated</t>
  </si>
  <si>
    <t>Style7628 x 1270mm Black Coated</t>
  </si>
  <si>
    <t>K-FLEX</t>
  </si>
  <si>
    <t>Style7628 x 1005mm</t>
  </si>
  <si>
    <t>Style7628 x 1270mm Grey Coated</t>
  </si>
  <si>
    <t>Style7628 x 1040mm</t>
  </si>
  <si>
    <t>Style7628 x 1270mm</t>
  </si>
  <si>
    <t>208GSM x 1200mm White Coated FR</t>
  </si>
  <si>
    <t>HELTI</t>
  </si>
  <si>
    <t>Style7628 x 1320mm White Coated</t>
  </si>
  <si>
    <t>VISA- MANEX</t>
  </si>
  <si>
    <t>Style7628 x 1220mm White Coated</t>
  </si>
  <si>
    <t>VISA</t>
  </si>
  <si>
    <t>Style7628 x 1270mm White Coated</t>
  </si>
  <si>
    <t>OROTEX</t>
  </si>
  <si>
    <t>180GSM x 1220mm Black Coated</t>
  </si>
  <si>
    <t>91 gsm x 1215mm Black Coated</t>
  </si>
  <si>
    <t>SAINT GOBIN</t>
  </si>
  <si>
    <t>148 GSM BLACK  X 1200 MM 30 X 36</t>
  </si>
  <si>
    <t>105 GSM X 1230 MM 30X 40 FABRIC</t>
  </si>
  <si>
    <t>URSA</t>
  </si>
  <si>
    <t>BLACK FABRIC X 1200 MM (30*29)</t>
  </si>
  <si>
    <t>KUNAFF</t>
  </si>
  <si>
    <t>BLACK FABRIC X 1200 MM (30*29) (FR,UV)</t>
  </si>
  <si>
    <t>EUFIBER</t>
  </si>
  <si>
    <t>STYLE  1341 X 1270 MM 43 X 32</t>
  </si>
  <si>
    <t>THS</t>
  </si>
  <si>
    <t>STYLE 7628 BLACK X 1005 MM 43 X 25</t>
  </si>
  <si>
    <t>91 GSM X 1215 MM  (30 X 19)</t>
  </si>
  <si>
    <t xml:space="preserve"> SAINT GOBIN</t>
  </si>
  <si>
    <t>BLACK FABRIC X 1200 MM AND 27 X 22</t>
  </si>
  <si>
    <t>KIMCO</t>
  </si>
  <si>
    <t>WR 590 GSM X 1380 MM 12 AND 11</t>
  </si>
  <si>
    <t>MARBLE SCRIM 54 GSM X 1700 MM</t>
  </si>
  <si>
    <t>STYLE 7628 X 1040MM (43*30)</t>
  </si>
  <si>
    <t>ALP</t>
  </si>
  <si>
    <t>Total</t>
  </si>
  <si>
    <t>Tower</t>
  </si>
  <si>
    <t>Pidicryl 3640 H</t>
  </si>
  <si>
    <t>MEK 89</t>
  </si>
  <si>
    <t>HH LIQ/SAREX</t>
  </si>
  <si>
    <t>CR LIQ</t>
  </si>
  <si>
    <t>ZINK STEARATE</t>
  </si>
  <si>
    <t>ANTIFOAM 2290</t>
  </si>
  <si>
    <t>APCOTEX PT A800</t>
  </si>
  <si>
    <t>LAMBONE</t>
  </si>
  <si>
    <t>THICKNER</t>
  </si>
  <si>
    <t>ACETIC ACID</t>
  </si>
  <si>
    <t>ORANGE</t>
  </si>
  <si>
    <t>SPL Black</t>
  </si>
  <si>
    <t>ORION BLUE SBG</t>
  </si>
  <si>
    <t>RED TEX</t>
  </si>
  <si>
    <t>YELLOW</t>
  </si>
  <si>
    <t>RED 912</t>
  </si>
  <si>
    <t>CHOCOLATE 9582 COLOR</t>
  </si>
  <si>
    <t>Report</t>
  </si>
  <si>
    <t>1.2MTR</t>
  </si>
  <si>
    <t>1.5 DWT</t>
  </si>
  <si>
    <t>1.2DWT</t>
  </si>
  <si>
    <t>2.2.1 MTR</t>
  </si>
  <si>
    <t>2.2.2 MTR</t>
  </si>
  <si>
    <t>1.2 MTR</t>
  </si>
  <si>
    <t>Tower Name</t>
  </si>
  <si>
    <t>EVA/VINNAPASS</t>
  </si>
  <si>
    <t>3640H</t>
  </si>
  <si>
    <t>Zinc</t>
  </si>
  <si>
    <t>MEK-89</t>
  </si>
  <si>
    <t>Megasil</t>
  </si>
  <si>
    <t>Orange</t>
  </si>
  <si>
    <t>Blue</t>
  </si>
  <si>
    <t>Pink</t>
  </si>
  <si>
    <t>Yellow</t>
  </si>
  <si>
    <t>Red</t>
  </si>
  <si>
    <t>Thickner</t>
  </si>
  <si>
    <t>APCOTEX</t>
  </si>
  <si>
    <t>LAMBOND</t>
  </si>
  <si>
    <t>A. Acid</t>
  </si>
  <si>
    <t>1.5DWT</t>
  </si>
  <si>
    <t>2.2.1MTR</t>
  </si>
  <si>
    <t>2.2.2MTR</t>
  </si>
  <si>
    <t>1.2New MTR</t>
  </si>
  <si>
    <t>Lab Coating Trails</t>
  </si>
  <si>
    <t>Project Name</t>
  </si>
  <si>
    <t>Trail No</t>
  </si>
  <si>
    <t xml:space="preserve">GSM </t>
  </si>
  <si>
    <t>LS GSM</t>
  </si>
  <si>
    <t>Result</t>
  </si>
  <si>
    <t>Green Colour Coated Fabric</t>
  </si>
  <si>
    <t>#1</t>
  </si>
  <si>
    <t>-</t>
  </si>
  <si>
    <t>More dark Colour than sample</t>
  </si>
  <si>
    <t>#2</t>
  </si>
  <si>
    <t xml:space="preserve">Nearby </t>
  </si>
  <si>
    <t>#3</t>
  </si>
  <si>
    <t>+</t>
  </si>
  <si>
    <t>Nearby and Ready for plant trail</t>
  </si>
  <si>
    <t>Final Remarks:</t>
  </si>
  <si>
    <t>1000GSM Vermiculite Coating</t>
  </si>
  <si>
    <t>Nearby</t>
  </si>
  <si>
    <t>Harder than sample</t>
  </si>
  <si>
    <t>#4</t>
  </si>
  <si>
    <t>#5</t>
  </si>
  <si>
    <t>220 GSM AI/W2-class fabric with Printing</t>
  </si>
  <si>
    <t>Obex</t>
  </si>
  <si>
    <t>WR need to improve and Costing is High</t>
  </si>
  <si>
    <t>Nearby but Costing is very High</t>
  </si>
  <si>
    <t>WR is Weak</t>
  </si>
  <si>
    <t>Weak FR and costly</t>
  </si>
  <si>
    <t>#8</t>
  </si>
  <si>
    <t>Weak FR and WR</t>
  </si>
  <si>
    <t>#9</t>
  </si>
  <si>
    <t>Powder is formed After coating</t>
  </si>
  <si>
    <t>#10</t>
  </si>
  <si>
    <t>Weak FR</t>
  </si>
  <si>
    <t>#11</t>
  </si>
  <si>
    <t>Weak FR and solution Foam layers in bottom</t>
  </si>
  <si>
    <t>#12</t>
  </si>
  <si>
    <t>Nearby but solution foam Layers in bottom</t>
  </si>
  <si>
    <t>#13</t>
  </si>
  <si>
    <t>nearby and Ready for Plant trail</t>
  </si>
  <si>
    <t>Final Remarks :</t>
  </si>
  <si>
    <t>Plant Trail is in process For Both Project</t>
  </si>
  <si>
    <t>Silica Wash Grey Fabric</t>
  </si>
  <si>
    <t>very hard</t>
  </si>
  <si>
    <t>Colour and heat resistance issue</t>
  </si>
  <si>
    <t>Heat resistance issue</t>
  </si>
  <si>
    <t>Hard and Heat resistance issue</t>
  </si>
  <si>
    <t>#6</t>
  </si>
  <si>
    <t>Hardness issue</t>
  </si>
  <si>
    <t>#7</t>
  </si>
  <si>
    <t>Low heat resistance</t>
  </si>
  <si>
    <t>Not any notable change</t>
  </si>
  <si>
    <t>May</t>
  </si>
  <si>
    <t>Plant - 6</t>
  </si>
  <si>
    <t>Main Office</t>
  </si>
  <si>
    <t>1) In the trail in plant colour is matched as per customer request</t>
  </si>
  <si>
    <t>2) There are some contineous White dotted line in the fabric.</t>
  </si>
  <si>
    <t>Lab Trails</t>
  </si>
  <si>
    <t>Calculation of plant Chemical Consumption</t>
  </si>
  <si>
    <t>This is Prepared and Submitted By</t>
  </si>
  <si>
    <t>Abhijit Kalita (Intern)</t>
  </si>
  <si>
    <r>
      <t xml:space="preserve">Intern at Montex Under </t>
    </r>
    <r>
      <rPr>
        <sz val="11"/>
        <color rgb="FF002060"/>
        <rFont val="Rockwell"/>
        <family val="1"/>
        <scheme val="minor"/>
      </rPr>
      <t>Kanak Patowary (SR Manager ) and Rinmay Bishya (Executive)</t>
    </r>
  </si>
  <si>
    <t>Chemicals Testing'!A1</t>
  </si>
  <si>
    <t>Lab Trails summery'!A1</t>
  </si>
  <si>
    <t>Consumption Summery'!A1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</si>
</sst>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b/>
      <sz val="11"/>
      <color theme="0"/>
      <name val="Rockwell"/>
      <family val="2"/>
      <scheme val="minor"/>
    </font>
    <font>
      <sz val="11"/>
      <color theme="0"/>
      <name val="Rockwell"/>
      <family val="2"/>
      <scheme val="minor"/>
    </font>
    <font>
      <sz val="8"/>
      <color theme="0"/>
      <name val="Rockwell"/>
      <family val="2"/>
      <scheme val="minor"/>
    </font>
    <font>
      <b/>
      <sz val="11"/>
      <color theme="0"/>
      <name val="Courier New"/>
      <family val="3"/>
    </font>
    <font>
      <i/>
      <sz val="13"/>
      <color theme="1"/>
      <name val="Comic Sans MS"/>
      <family val="4"/>
    </font>
    <font>
      <b/>
      <sz val="11"/>
      <color theme="0" tint="-4.9989318521683403E-2"/>
      <name val="Arial"/>
      <family val="2"/>
    </font>
    <font>
      <b/>
      <sz val="13"/>
      <color theme="0" tint="-4.9989318521683403E-2"/>
      <name val="Arial"/>
      <family val="2"/>
    </font>
    <font>
      <sz val="14"/>
      <color theme="0"/>
      <name val="Arial Black"/>
      <family val="2"/>
    </font>
    <font>
      <b/>
      <sz val="14"/>
      <color theme="0"/>
      <name val="Arial Black"/>
      <family val="2"/>
    </font>
    <font>
      <sz val="11"/>
      <color theme="1"/>
      <name val="Courier New"/>
      <family val="3"/>
    </font>
    <font>
      <b/>
      <sz val="12"/>
      <color theme="0"/>
      <name val="Courier New"/>
      <family val="3"/>
    </font>
    <font>
      <b/>
      <sz val="11"/>
      <color theme="1"/>
      <name val="Arial"/>
      <family val="2"/>
    </font>
    <font>
      <sz val="18"/>
      <color theme="0" tint="-4.9989318521683403E-2"/>
      <name val="Arial Rounded MT Bold"/>
      <family val="2"/>
    </font>
    <font>
      <sz val="13"/>
      <color theme="0" tint="-4.9989318521683403E-2"/>
      <name val="Arial Rounded MT Bold"/>
      <family val="2"/>
    </font>
    <font>
      <sz val="11"/>
      <color theme="1" tint="4.9989318521683403E-2"/>
      <name val="Arial"/>
      <family val="2"/>
    </font>
    <font>
      <b/>
      <sz val="11"/>
      <color theme="0" tint="-4.9989318521683403E-2"/>
      <name val="Comic Sans MS"/>
      <family val="4"/>
    </font>
    <font>
      <sz val="11"/>
      <color theme="0"/>
      <name val="Arial Black"/>
      <family val="2"/>
    </font>
    <font>
      <sz val="11"/>
      <color theme="1"/>
      <name val="Comic Sans MS"/>
      <family val="4"/>
    </font>
    <font>
      <sz val="11"/>
      <color rgb="FF000000"/>
      <name val="Comic Sans MS"/>
      <family val="4"/>
    </font>
    <font>
      <b/>
      <sz val="11"/>
      <color rgb="FF000000"/>
      <name val="Arial"/>
      <family val="2"/>
    </font>
    <font>
      <sz val="16"/>
      <color theme="0"/>
      <name val="Rockwell"/>
      <family val="2"/>
      <scheme val="minor"/>
    </font>
    <font>
      <sz val="11"/>
      <color theme="5" tint="0.79998168889431442"/>
      <name val="Rockwell"/>
      <family val="2"/>
      <scheme val="minor"/>
    </font>
    <font>
      <sz val="15"/>
      <color theme="1"/>
      <name val="Rockwell"/>
      <family val="2"/>
      <scheme val="minor"/>
    </font>
    <font>
      <b/>
      <sz val="18"/>
      <color theme="0"/>
      <name val="Rockwell"/>
      <family val="1"/>
      <scheme val="minor"/>
    </font>
    <font>
      <b/>
      <sz val="12"/>
      <color theme="0" tint="-4.9989318521683403E-2"/>
      <name val="Arial Black"/>
      <family val="2"/>
    </font>
    <font>
      <u/>
      <sz val="11"/>
      <color theme="10"/>
      <name val="Rockwell"/>
      <family val="2"/>
      <scheme val="minor"/>
    </font>
    <font>
      <sz val="22"/>
      <color theme="0"/>
      <name val="Rockwell"/>
      <family val="2"/>
      <scheme val="minor"/>
    </font>
    <font>
      <sz val="11"/>
      <color theme="6" tint="0.79998168889431442"/>
      <name val="Rockwell"/>
      <family val="2"/>
      <scheme val="minor"/>
    </font>
    <font>
      <sz val="26"/>
      <color theme="0"/>
      <name val="Rockwell"/>
      <family val="2"/>
      <scheme val="minor"/>
    </font>
    <font>
      <sz val="28"/>
      <color theme="0"/>
      <name val="Rockwell"/>
      <family val="2"/>
      <scheme val="minor"/>
    </font>
    <font>
      <sz val="36"/>
      <color theme="0"/>
      <name val="Rockwell"/>
      <family val="2"/>
      <scheme val="minor"/>
    </font>
    <font>
      <sz val="11"/>
      <color rgb="FF002060"/>
      <name val="Rockwell"/>
      <family val="1"/>
      <scheme val="minor"/>
    </font>
    <font>
      <u/>
      <sz val="14"/>
      <color theme="0"/>
      <name val="Rockwell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6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 style="dashed">
        <color auto="1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ashed">
        <color auto="1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thin">
        <color indexed="64"/>
      </left>
      <right style="dott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7" fillId="9" borderId="27" applyNumberFormat="0">
      <alignment horizontal="center" vertical="center" wrapText="1"/>
    </xf>
    <xf numFmtId="0" fontId="9" fillId="10" borderId="10" applyNumberFormat="0">
      <alignment horizontal="center" vertical="center" wrapText="1"/>
    </xf>
    <xf numFmtId="0" fontId="18" fillId="10" borderId="26" applyNumberFormat="0">
      <alignment horizontal="center" vertical="center" wrapText="1"/>
    </xf>
    <xf numFmtId="0" fontId="3" fillId="20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50">
    <xf numFmtId="0" fontId="0" fillId="0" borderId="0" xfId="0"/>
    <xf numFmtId="0" fontId="2" fillId="0" borderId="9" xfId="1" applyFill="1" applyBorder="1"/>
    <xf numFmtId="0" fontId="2" fillId="0" borderId="10" xfId="1" applyFill="1" applyBorder="1"/>
    <xf numFmtId="0" fontId="2" fillId="0" borderId="11" xfId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6" borderId="9" xfId="1" applyFont="1" applyFill="1" applyBorder="1" applyAlignment="1">
      <alignment horizontal="center" vertical="center" wrapText="1"/>
    </xf>
    <xf numFmtId="0" fontId="5" fillId="6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26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16" fillId="11" borderId="23" xfId="0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6" fillId="11" borderId="15" xfId="0" applyFont="1" applyFill="1" applyBorder="1" applyAlignment="1">
      <alignment horizontal="center" vertical="center"/>
    </xf>
    <xf numFmtId="0" fontId="16" fillId="11" borderId="24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2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8" fillId="10" borderId="26" xfId="7">
      <alignment horizontal="center" vertical="center" wrapText="1"/>
    </xf>
    <xf numFmtId="0" fontId="19" fillId="0" borderId="38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0" borderId="40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20" fillId="0" borderId="10" xfId="0" applyFont="1" applyBorder="1" applyAlignment="1">
      <alignment horizontal="center" vertical="top"/>
    </xf>
    <xf numFmtId="0" fontId="20" fillId="0" borderId="11" xfId="0" applyFont="1" applyBorder="1" applyAlignment="1">
      <alignment horizontal="center" vertical="top"/>
    </xf>
    <xf numFmtId="0" fontId="3" fillId="5" borderId="9" xfId="4" applyBorder="1" applyAlignment="1">
      <alignment horizontal="center" vertical="top"/>
    </xf>
    <xf numFmtId="0" fontId="3" fillId="5" borderId="10" xfId="4" applyBorder="1" applyAlignment="1">
      <alignment horizontal="center" vertical="top"/>
    </xf>
    <xf numFmtId="0" fontId="3" fillId="5" borderId="11" xfId="4" applyBorder="1" applyAlignment="1">
      <alignment horizontal="center" vertical="top"/>
    </xf>
    <xf numFmtId="0" fontId="12" fillId="17" borderId="10" xfId="0" applyFont="1" applyFill="1" applyBorder="1" applyAlignment="1">
      <alignment horizontal="center" vertical="center"/>
    </xf>
    <xf numFmtId="2" fontId="5" fillId="18" borderId="10" xfId="0" applyNumberFormat="1" applyFont="1" applyFill="1" applyBorder="1"/>
    <xf numFmtId="0" fontId="5" fillId="18" borderId="10" xfId="0" applyFont="1" applyFill="1" applyBorder="1" applyAlignment="1">
      <alignment horizontal="center" vertical="center"/>
    </xf>
    <xf numFmtId="2" fontId="13" fillId="12" borderId="10" xfId="0" applyNumberFormat="1" applyFont="1" applyFill="1" applyBorder="1" applyAlignment="1">
      <alignment horizontal="center" vertical="center"/>
    </xf>
    <xf numFmtId="2" fontId="13" fillId="13" borderId="10" xfId="0" applyNumberFormat="1" applyFont="1" applyFill="1" applyBorder="1" applyAlignment="1">
      <alignment horizontal="center" vertical="center"/>
    </xf>
    <xf numFmtId="2" fontId="21" fillId="15" borderId="9" xfId="0" applyNumberFormat="1" applyFont="1" applyFill="1" applyBorder="1" applyAlignment="1">
      <alignment horizontal="center" vertical="center"/>
    </xf>
    <xf numFmtId="2" fontId="5" fillId="19" borderId="10" xfId="0" applyNumberFormat="1" applyFont="1" applyFill="1" applyBorder="1"/>
    <xf numFmtId="2" fontId="5" fillId="18" borderId="10" xfId="0" applyNumberFormat="1" applyFont="1" applyFill="1" applyBorder="1" applyAlignment="1">
      <alignment vertical="center"/>
    </xf>
    <xf numFmtId="164" fontId="13" fillId="11" borderId="10" xfId="0" applyNumberFormat="1" applyFont="1" applyFill="1" applyBorder="1"/>
    <xf numFmtId="164" fontId="21" fillId="14" borderId="9" xfId="0" applyNumberFormat="1" applyFont="1" applyFill="1" applyBorder="1"/>
    <xf numFmtId="164" fontId="13" fillId="11" borderId="10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3" fillId="21" borderId="2" xfId="0" applyFont="1" applyFill="1" applyBorder="1" applyAlignment="1">
      <alignment horizontal="center" vertical="center" wrapText="1"/>
    </xf>
    <xf numFmtId="0" fontId="23" fillId="21" borderId="2" xfId="0" applyFont="1" applyFill="1" applyBorder="1" applyAlignment="1">
      <alignment horizontal="center" vertical="center"/>
    </xf>
    <xf numFmtId="0" fontId="15" fillId="8" borderId="31" xfId="0" applyFont="1" applyFill="1" applyBorder="1" applyAlignment="1">
      <alignment horizontal="center" vertical="top" wrapText="1"/>
    </xf>
    <xf numFmtId="0" fontId="15" fillId="8" borderId="10" xfId="0" applyFont="1" applyFill="1" applyBorder="1" applyAlignment="1">
      <alignment horizontal="center" vertical="top" wrapText="1"/>
    </xf>
    <xf numFmtId="0" fontId="15" fillId="8" borderId="11" xfId="0" applyFont="1" applyFill="1" applyBorder="1" applyAlignment="1">
      <alignment horizontal="center" vertical="top" wrapText="1"/>
    </xf>
    <xf numFmtId="0" fontId="10" fillId="10" borderId="31" xfId="6" applyFont="1" applyBorder="1">
      <alignment horizontal="center" vertical="center" wrapText="1"/>
    </xf>
    <xf numFmtId="0" fontId="10" fillId="10" borderId="10" xfId="6" applyFont="1">
      <alignment horizontal="center" vertical="center" wrapText="1"/>
    </xf>
    <xf numFmtId="0" fontId="10" fillId="10" borderId="11" xfId="6" applyFont="1" applyBorder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7" xfId="0" applyBorder="1"/>
    <xf numFmtId="2" fontId="13" fillId="12" borderId="11" xfId="0" applyNumberFormat="1" applyFont="1" applyFill="1" applyBorder="1" applyAlignment="1">
      <alignment horizontal="center" vertical="center"/>
    </xf>
    <xf numFmtId="0" fontId="5" fillId="17" borderId="36" xfId="0" applyFont="1" applyFill="1" applyBorder="1" applyAlignment="1">
      <alignment horizontal="center" vertical="center"/>
    </xf>
    <xf numFmtId="0" fontId="12" fillId="17" borderId="18" xfId="0" applyFont="1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2" fontId="5" fillId="18" borderId="18" xfId="0" applyNumberFormat="1" applyFont="1" applyFill="1" applyBorder="1"/>
    <xf numFmtId="164" fontId="13" fillId="0" borderId="18" xfId="0" applyNumberFormat="1" applyFont="1" applyBorder="1"/>
    <xf numFmtId="2" fontId="13" fillId="0" borderId="18" xfId="0" applyNumberFormat="1" applyFont="1" applyBorder="1" applyAlignment="1">
      <alignment horizontal="center" vertical="center"/>
    </xf>
    <xf numFmtId="2" fontId="13" fillId="0" borderId="19" xfId="0" applyNumberFormat="1" applyFont="1" applyBorder="1" applyAlignment="1">
      <alignment horizontal="center" vertical="center"/>
    </xf>
    <xf numFmtId="0" fontId="3" fillId="5" borderId="37" xfId="4" applyBorder="1" applyAlignment="1">
      <alignment horizontal="center" vertical="center"/>
    </xf>
    <xf numFmtId="0" fontId="3" fillId="5" borderId="13" xfId="4" applyBorder="1" applyAlignment="1">
      <alignment horizontal="center" vertical="center"/>
    </xf>
    <xf numFmtId="0" fontId="3" fillId="5" borderId="16" xfId="4" applyBorder="1" applyAlignment="1">
      <alignment horizontal="center" vertical="center"/>
    </xf>
    <xf numFmtId="0" fontId="2" fillId="7" borderId="12" xfId="1" applyFill="1" applyBorder="1" applyAlignment="1">
      <alignment vertical="center"/>
    </xf>
    <xf numFmtId="0" fontId="2" fillId="7" borderId="13" xfId="1" applyFill="1" applyBorder="1" applyAlignment="1">
      <alignment vertical="center"/>
    </xf>
    <xf numFmtId="0" fontId="2" fillId="7" borderId="16" xfId="1" applyFill="1" applyBorder="1" applyAlignment="1">
      <alignment vertical="center"/>
    </xf>
    <xf numFmtId="0" fontId="2" fillId="8" borderId="20" xfId="1" applyFill="1" applyBorder="1" applyAlignment="1">
      <alignment vertical="center"/>
    </xf>
    <xf numFmtId="0" fontId="5" fillId="17" borderId="31" xfId="0" applyFont="1" applyFill="1" applyBorder="1" applyAlignment="1">
      <alignment horizontal="center" vertical="top" wrapText="1"/>
    </xf>
    <xf numFmtId="0" fontId="0" fillId="25" borderId="42" xfId="0" applyFill="1" applyBorder="1" applyAlignment="1">
      <alignment horizontal="center" vertical="center" wrapText="1"/>
    </xf>
    <xf numFmtId="0" fontId="0" fillId="25" borderId="38" xfId="0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7" xfId="0" applyFill="1" applyBorder="1" applyAlignment="1">
      <alignment horizontal="center" vertical="center"/>
    </xf>
    <xf numFmtId="0" fontId="0" fillId="26" borderId="47" xfId="0" applyFill="1" applyBorder="1"/>
    <xf numFmtId="0" fontId="0" fillId="26" borderId="0" xfId="0" applyFill="1"/>
    <xf numFmtId="0" fontId="29" fillId="23" borderId="48" xfId="0" applyFont="1" applyFill="1" applyBorder="1" applyAlignment="1">
      <alignment horizontal="center" vertical="center" wrapText="1"/>
    </xf>
    <xf numFmtId="0" fontId="29" fillId="23" borderId="42" xfId="0" applyFont="1" applyFill="1" applyBorder="1" applyAlignment="1">
      <alignment horizontal="center" vertical="center" wrapText="1"/>
    </xf>
    <xf numFmtId="0" fontId="29" fillId="23" borderId="38" xfId="0" applyFont="1" applyFill="1" applyBorder="1" applyAlignment="1">
      <alignment horizontal="center" vertical="center" wrapText="1"/>
    </xf>
    <xf numFmtId="0" fontId="29" fillId="27" borderId="0" xfId="0" applyFont="1" applyFill="1" applyAlignment="1">
      <alignment wrapText="1"/>
    </xf>
    <xf numFmtId="0" fontId="29" fillId="27" borderId="0" xfId="0" applyFont="1" applyFill="1" applyAlignment="1">
      <alignment horizontal="center" vertical="center"/>
    </xf>
    <xf numFmtId="0" fontId="29" fillId="27" borderId="0" xfId="0" applyFont="1" applyFill="1" applyAlignment="1">
      <alignment horizontal="center" vertical="center" wrapText="1"/>
    </xf>
    <xf numFmtId="0" fontId="29" fillId="23" borderId="0" xfId="0" applyFont="1" applyFill="1" applyAlignment="1">
      <alignment wrapText="1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2" borderId="0" xfId="0" applyFill="1"/>
    <xf numFmtId="0" fontId="0" fillId="13" borderId="0" xfId="0" applyFill="1" applyAlignment="1">
      <alignment horizontal="left" vertical="center"/>
    </xf>
    <xf numFmtId="0" fontId="0" fillId="12" borderId="49" xfId="0" applyFill="1" applyBorder="1"/>
    <xf numFmtId="0" fontId="0" fillId="13" borderId="49" xfId="0" applyFill="1" applyBorder="1" applyAlignment="1">
      <alignment horizontal="center"/>
    </xf>
    <xf numFmtId="0" fontId="0" fillId="13" borderId="49" xfId="0" applyFill="1" applyBorder="1"/>
    <xf numFmtId="0" fontId="0" fillId="12" borderId="50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12" borderId="51" xfId="0" applyFill="1" applyBorder="1"/>
    <xf numFmtId="0" fontId="0" fillId="13" borderId="50" xfId="0" applyFill="1" applyBorder="1"/>
    <xf numFmtId="0" fontId="0" fillId="13" borderId="51" xfId="0" applyFill="1" applyBorder="1"/>
    <xf numFmtId="0" fontId="0" fillId="12" borderId="50" xfId="0" applyFill="1" applyBorder="1"/>
    <xf numFmtId="0" fontId="0" fillId="13" borderId="49" xfId="0" applyFill="1" applyBorder="1" applyAlignment="1">
      <alignment horizontal="left" vertical="center"/>
    </xf>
    <xf numFmtId="0" fontId="3" fillId="4" borderId="23" xfId="3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4" fillId="4" borderId="0" xfId="3" applyFont="1" applyBorder="1" applyAlignment="1">
      <alignment horizontal="center" vertical="center" wrapText="1"/>
    </xf>
    <xf numFmtId="0" fontId="0" fillId="12" borderId="52" xfId="0" applyFill="1" applyBorder="1" applyAlignment="1">
      <alignment horizontal="center" vertical="center"/>
    </xf>
    <xf numFmtId="0" fontId="0" fillId="12" borderId="53" xfId="0" applyFill="1" applyBorder="1"/>
    <xf numFmtId="0" fontId="0" fillId="12" borderId="54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/>
    </xf>
    <xf numFmtId="0" fontId="0" fillId="13" borderId="54" xfId="0" applyFill="1" applyBorder="1"/>
    <xf numFmtId="0" fontId="1" fillId="13" borderId="53" xfId="3" applyFont="1" applyFill="1" applyBorder="1" applyAlignment="1">
      <alignment horizontal="left" vertical="center"/>
    </xf>
    <xf numFmtId="0" fontId="3" fillId="13" borderId="53" xfId="3" applyFill="1" applyBorder="1" applyAlignment="1">
      <alignment horizontal="left" vertical="center"/>
    </xf>
    <xf numFmtId="0" fontId="1" fillId="13" borderId="53" xfId="3" applyFont="1" applyFill="1" applyBorder="1" applyAlignment="1">
      <alignment vertical="center"/>
    </xf>
    <xf numFmtId="0" fontId="0" fillId="12" borderId="56" xfId="0" applyFill="1" applyBorder="1" applyAlignment="1">
      <alignment horizontal="center" vertical="center"/>
    </xf>
    <xf numFmtId="0" fontId="0" fillId="12" borderId="57" xfId="0" applyFill="1" applyBorder="1"/>
    <xf numFmtId="0" fontId="0" fillId="12" borderId="58" xfId="0" applyFill="1" applyBorder="1" applyAlignment="1">
      <alignment horizontal="center" vertical="center"/>
    </xf>
    <xf numFmtId="0" fontId="0" fillId="12" borderId="59" xfId="0" applyFill="1" applyBorder="1"/>
    <xf numFmtId="0" fontId="0" fillId="12" borderId="56" xfId="0" applyFill="1" applyBorder="1"/>
    <xf numFmtId="0" fontId="0" fillId="12" borderId="60" xfId="0" applyFill="1" applyBorder="1"/>
    <xf numFmtId="0" fontId="0" fillId="12" borderId="44" xfId="0" applyFill="1" applyBorder="1"/>
    <xf numFmtId="0" fontId="0" fillId="12" borderId="61" xfId="0" applyFill="1" applyBorder="1" applyAlignment="1">
      <alignment horizontal="center" vertical="center"/>
    </xf>
    <xf numFmtId="0" fontId="0" fillId="13" borderId="44" xfId="0" applyFill="1" applyBorder="1"/>
    <xf numFmtId="0" fontId="0" fillId="13" borderId="61" xfId="0" applyFill="1" applyBorder="1"/>
    <xf numFmtId="0" fontId="0" fillId="12" borderId="61" xfId="0" applyFill="1" applyBorder="1"/>
    <xf numFmtId="0" fontId="0" fillId="12" borderId="62" xfId="0" applyFill="1" applyBorder="1"/>
    <xf numFmtId="0" fontId="0" fillId="0" borderId="41" xfId="0" applyBorder="1"/>
    <xf numFmtId="0" fontId="0" fillId="0" borderId="42" xfId="0" applyBorder="1"/>
    <xf numFmtId="0" fontId="3" fillId="28" borderId="41" xfId="0" applyFont="1" applyFill="1" applyBorder="1" applyAlignment="1">
      <alignment vertical="top"/>
    </xf>
    <xf numFmtId="0" fontId="3" fillId="28" borderId="42" xfId="0" applyFont="1" applyFill="1" applyBorder="1" applyAlignment="1">
      <alignment vertical="top"/>
    </xf>
    <xf numFmtId="0" fontId="3" fillId="28" borderId="0" xfId="0" applyFont="1" applyFill="1" applyAlignment="1">
      <alignment vertical="top"/>
    </xf>
    <xf numFmtId="0" fontId="3" fillId="28" borderId="41" xfId="0" applyFont="1" applyFill="1" applyBorder="1"/>
    <xf numFmtId="0" fontId="3" fillId="28" borderId="0" xfId="0" applyFont="1" applyFill="1"/>
    <xf numFmtId="0" fontId="3" fillId="28" borderId="42" xfId="0" applyFont="1" applyFill="1" applyBorder="1"/>
    <xf numFmtId="0" fontId="31" fillId="22" borderId="41" xfId="0" applyFont="1" applyFill="1" applyBorder="1" applyAlignment="1">
      <alignment vertical="center" wrapText="1"/>
    </xf>
    <xf numFmtId="0" fontId="31" fillId="22" borderId="42" xfId="0" applyFont="1" applyFill="1" applyBorder="1" applyAlignment="1">
      <alignment vertical="center" wrapText="1"/>
    </xf>
    <xf numFmtId="0" fontId="31" fillId="22" borderId="43" xfId="0" applyFont="1" applyFill="1" applyBorder="1" applyAlignment="1">
      <alignment vertical="center" wrapText="1"/>
    </xf>
    <xf numFmtId="0" fontId="31" fillId="22" borderId="44" xfId="0" applyFont="1" applyFill="1" applyBorder="1" applyAlignment="1">
      <alignment vertical="center" wrapText="1"/>
    </xf>
    <xf numFmtId="0" fontId="31" fillId="22" borderId="38" xfId="0" applyFont="1" applyFill="1" applyBorder="1" applyAlignment="1">
      <alignment vertical="center" wrapText="1"/>
    </xf>
    <xf numFmtId="0" fontId="30" fillId="21" borderId="41" xfId="0" applyFont="1" applyFill="1" applyBorder="1" applyAlignment="1">
      <alignment vertical="center" wrapText="1"/>
    </xf>
    <xf numFmtId="0" fontId="30" fillId="21" borderId="42" xfId="0" applyFont="1" applyFill="1" applyBorder="1" applyAlignment="1">
      <alignment vertical="center" wrapText="1"/>
    </xf>
    <xf numFmtId="0" fontId="30" fillId="21" borderId="43" xfId="0" applyFont="1" applyFill="1" applyBorder="1" applyAlignment="1">
      <alignment vertical="center" wrapText="1"/>
    </xf>
    <xf numFmtId="0" fontId="30" fillId="21" borderId="44" xfId="0" applyFont="1" applyFill="1" applyBorder="1" applyAlignment="1">
      <alignment vertical="center" wrapText="1"/>
    </xf>
    <xf numFmtId="0" fontId="30" fillId="21" borderId="38" xfId="0" applyFont="1" applyFill="1" applyBorder="1" applyAlignment="1">
      <alignment vertical="center" wrapText="1"/>
    </xf>
    <xf numFmtId="0" fontId="32" fillId="29" borderId="41" xfId="0" applyFont="1" applyFill="1" applyBorder="1" applyAlignment="1">
      <alignment vertical="center"/>
    </xf>
    <xf numFmtId="0" fontId="32" fillId="29" borderId="42" xfId="0" applyFont="1" applyFill="1" applyBorder="1" applyAlignment="1">
      <alignment vertical="center"/>
    </xf>
    <xf numFmtId="0" fontId="32" fillId="29" borderId="43" xfId="0" applyFont="1" applyFill="1" applyBorder="1" applyAlignment="1">
      <alignment vertical="center"/>
    </xf>
    <xf numFmtId="0" fontId="32" fillId="29" borderId="44" xfId="0" applyFont="1" applyFill="1" applyBorder="1" applyAlignment="1">
      <alignment vertical="center"/>
    </xf>
    <xf numFmtId="0" fontId="32" fillId="29" borderId="38" xfId="0" applyFont="1" applyFill="1" applyBorder="1" applyAlignment="1">
      <alignment vertical="center"/>
    </xf>
    <xf numFmtId="0" fontId="34" fillId="22" borderId="0" xfId="9" quotePrefix="1" applyFont="1" applyFill="1" applyAlignment="1">
      <alignment horizontal="center" vertical="center"/>
    </xf>
    <xf numFmtId="0" fontId="32" fillId="29" borderId="46" xfId="0" applyFont="1" applyFill="1" applyBorder="1" applyAlignment="1">
      <alignment horizontal="center" vertical="center"/>
    </xf>
    <xf numFmtId="0" fontId="32" fillId="29" borderId="47" xfId="0" applyFont="1" applyFill="1" applyBorder="1" applyAlignment="1">
      <alignment horizontal="center" vertical="center"/>
    </xf>
    <xf numFmtId="0" fontId="32" fillId="29" borderId="48" xfId="0" applyFont="1" applyFill="1" applyBorder="1" applyAlignment="1">
      <alignment horizontal="center" vertical="center"/>
    </xf>
    <xf numFmtId="0" fontId="32" fillId="29" borderId="41" xfId="0" applyFont="1" applyFill="1" applyBorder="1" applyAlignment="1">
      <alignment horizontal="center" vertical="center"/>
    </xf>
    <xf numFmtId="0" fontId="32" fillId="29" borderId="0" xfId="0" applyFont="1" applyFill="1" applyAlignment="1">
      <alignment horizontal="center" vertical="center"/>
    </xf>
    <xf numFmtId="0" fontId="32" fillId="29" borderId="42" xfId="0" applyFont="1" applyFill="1" applyBorder="1" applyAlignment="1">
      <alignment horizontal="center" vertical="center"/>
    </xf>
    <xf numFmtId="0" fontId="34" fillId="29" borderId="0" xfId="9" quotePrefix="1" applyFont="1" applyFill="1" applyAlignment="1">
      <alignment horizontal="center" vertical="center"/>
    </xf>
    <xf numFmtId="0" fontId="30" fillId="21" borderId="46" xfId="0" applyFont="1" applyFill="1" applyBorder="1" applyAlignment="1">
      <alignment horizontal="center" vertical="center" wrapText="1"/>
    </xf>
    <xf numFmtId="0" fontId="30" fillId="21" borderId="47" xfId="0" applyFont="1" applyFill="1" applyBorder="1" applyAlignment="1">
      <alignment horizontal="center" vertical="center" wrapText="1"/>
    </xf>
    <xf numFmtId="0" fontId="30" fillId="21" borderId="48" xfId="0" applyFont="1" applyFill="1" applyBorder="1" applyAlignment="1">
      <alignment horizontal="center" vertical="center" wrapText="1"/>
    </xf>
    <xf numFmtId="0" fontId="30" fillId="21" borderId="41" xfId="0" applyFont="1" applyFill="1" applyBorder="1" applyAlignment="1">
      <alignment horizontal="center" vertical="center" wrapText="1"/>
    </xf>
    <xf numFmtId="0" fontId="30" fillId="21" borderId="0" xfId="0" applyFont="1" applyFill="1" applyAlignment="1">
      <alignment horizontal="center" vertical="center" wrapText="1"/>
    </xf>
    <xf numFmtId="0" fontId="30" fillId="21" borderId="42" xfId="0" applyFont="1" applyFill="1" applyBorder="1" applyAlignment="1">
      <alignment horizontal="center" vertical="center" wrapText="1"/>
    </xf>
    <xf numFmtId="0" fontId="34" fillId="21" borderId="0" xfId="9" quotePrefix="1" applyFont="1" applyFill="1" applyAlignment="1">
      <alignment horizontal="center" vertical="center"/>
    </xf>
    <xf numFmtId="0" fontId="3" fillId="28" borderId="46" xfId="0" applyFont="1" applyFill="1" applyBorder="1" applyAlignment="1">
      <alignment horizontal="center" vertical="top"/>
    </xf>
    <xf numFmtId="0" fontId="3" fillId="28" borderId="47" xfId="0" applyFont="1" applyFill="1" applyBorder="1" applyAlignment="1">
      <alignment horizontal="center" vertical="top"/>
    </xf>
    <xf numFmtId="0" fontId="3" fillId="28" borderId="48" xfId="0" applyFont="1" applyFill="1" applyBorder="1" applyAlignment="1">
      <alignment horizontal="center" vertical="top"/>
    </xf>
    <xf numFmtId="0" fontId="3" fillId="28" borderId="41" xfId="0" applyFont="1" applyFill="1" applyBorder="1" applyAlignment="1">
      <alignment horizontal="center" vertical="top"/>
    </xf>
    <xf numFmtId="0" fontId="3" fillId="28" borderId="0" xfId="0" applyFont="1" applyFill="1" applyAlignment="1">
      <alignment horizontal="center" vertical="top"/>
    </xf>
    <xf numFmtId="0" fontId="3" fillId="28" borderId="42" xfId="0" applyFont="1" applyFill="1" applyBorder="1" applyAlignment="1">
      <alignment horizontal="center" vertical="top"/>
    </xf>
    <xf numFmtId="0" fontId="3" fillId="28" borderId="0" xfId="0" applyFont="1" applyFill="1" applyAlignment="1">
      <alignment horizontal="center" vertical="top" wrapText="1"/>
    </xf>
    <xf numFmtId="0" fontId="31" fillId="22" borderId="46" xfId="0" applyFont="1" applyFill="1" applyBorder="1" applyAlignment="1">
      <alignment horizontal="center" vertical="center" wrapText="1"/>
    </xf>
    <xf numFmtId="0" fontId="31" fillId="22" borderId="47" xfId="0" applyFont="1" applyFill="1" applyBorder="1" applyAlignment="1">
      <alignment horizontal="center" vertical="center" wrapText="1"/>
    </xf>
    <xf numFmtId="0" fontId="31" fillId="22" borderId="48" xfId="0" applyFont="1" applyFill="1" applyBorder="1" applyAlignment="1">
      <alignment horizontal="center" vertical="center" wrapText="1"/>
    </xf>
    <xf numFmtId="0" fontId="31" fillId="22" borderId="41" xfId="0" applyFont="1" applyFill="1" applyBorder="1" applyAlignment="1">
      <alignment horizontal="center" vertical="center" wrapText="1"/>
    </xf>
    <xf numFmtId="0" fontId="31" fillId="22" borderId="0" xfId="0" applyFont="1" applyFill="1" applyAlignment="1">
      <alignment horizontal="center" vertical="center" wrapText="1"/>
    </xf>
    <xf numFmtId="0" fontId="31" fillId="22" borderId="42" xfId="0" applyFont="1" applyFill="1" applyBorder="1" applyAlignment="1">
      <alignment horizontal="center" vertical="center" wrapText="1"/>
    </xf>
    <xf numFmtId="0" fontId="0" fillId="12" borderId="50" xfId="0" applyFill="1" applyBorder="1" applyAlignment="1">
      <alignment horizontal="center"/>
    </xf>
    <xf numFmtId="0" fontId="0" fillId="12" borderId="59" xfId="0" applyFill="1" applyBorder="1" applyAlignment="1">
      <alignment horizontal="center"/>
    </xf>
    <xf numFmtId="0" fontId="0" fillId="13" borderId="49" xfId="0" applyFill="1" applyBorder="1" applyAlignment="1">
      <alignment horizontal="left" vertical="center"/>
    </xf>
    <xf numFmtId="0" fontId="0" fillId="12" borderId="50" xfId="0" applyFill="1" applyBorder="1" applyAlignment="1">
      <alignment horizontal="center" wrapText="1"/>
    </xf>
    <xf numFmtId="0" fontId="0" fillId="12" borderId="59" xfId="0" applyFill="1" applyBorder="1" applyAlignment="1">
      <alignment horizontal="center" wrapText="1"/>
    </xf>
    <xf numFmtId="0" fontId="3" fillId="3" borderId="0" xfId="2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1" fillId="12" borderId="54" xfId="3" applyFont="1" applyFill="1" applyBorder="1" applyAlignment="1">
      <alignment horizontal="center" vertical="center"/>
    </xf>
    <xf numFmtId="0" fontId="1" fillId="12" borderId="55" xfId="3" applyFont="1" applyFill="1" applyBorder="1" applyAlignment="1">
      <alignment horizontal="center" vertical="center"/>
    </xf>
    <xf numFmtId="0" fontId="1" fillId="13" borderId="49" xfId="3" applyFont="1" applyFill="1" applyBorder="1" applyAlignment="1">
      <alignment horizontal="left" vertical="center"/>
    </xf>
    <xf numFmtId="0" fontId="22" fillId="20" borderId="0" xfId="8" applyFont="1" applyBorder="1" applyAlignment="1">
      <alignment horizontal="center" vertical="center"/>
    </xf>
    <xf numFmtId="0" fontId="22" fillId="20" borderId="2" xfId="8" applyFont="1" applyBorder="1" applyAlignment="1">
      <alignment horizontal="center" vertical="center"/>
    </xf>
    <xf numFmtId="0" fontId="29" fillId="23" borderId="0" xfId="0" applyFont="1" applyFill="1" applyAlignment="1">
      <alignment horizontal="left" vertical="center"/>
    </xf>
    <xf numFmtId="0" fontId="29" fillId="25" borderId="41" xfId="0" applyFont="1" applyFill="1" applyBorder="1" applyAlignment="1">
      <alignment horizontal="center" vertical="center" wrapText="1"/>
    </xf>
    <xf numFmtId="0" fontId="29" fillId="25" borderId="43" xfId="0" applyFont="1" applyFill="1" applyBorder="1" applyAlignment="1">
      <alignment horizontal="center" vertical="center" wrapText="1"/>
    </xf>
    <xf numFmtId="0" fontId="29" fillId="23" borderId="46" xfId="0" applyFont="1" applyFill="1" applyBorder="1" applyAlignment="1">
      <alignment horizontal="center" vertical="center" wrapText="1"/>
    </xf>
    <xf numFmtId="0" fontId="29" fillId="23" borderId="41" xfId="0" applyFont="1" applyFill="1" applyBorder="1" applyAlignment="1">
      <alignment horizontal="center" vertical="center" wrapText="1"/>
    </xf>
    <xf numFmtId="0" fontId="29" fillId="23" borderId="43" xfId="0" applyFont="1" applyFill="1" applyBorder="1" applyAlignment="1">
      <alignment horizontal="center" vertical="center" wrapText="1"/>
    </xf>
    <xf numFmtId="0" fontId="0" fillId="26" borderId="47" xfId="0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0" fillId="26" borderId="44" xfId="0" applyFill="1" applyBorder="1" applyAlignment="1">
      <alignment horizontal="center" vertical="center" wrapText="1"/>
    </xf>
    <xf numFmtId="0" fontId="24" fillId="23" borderId="0" xfId="0" applyFont="1" applyFill="1" applyAlignment="1">
      <alignment horizontal="center" vertical="center"/>
    </xf>
    <xf numFmtId="0" fontId="24" fillId="23" borderId="2" xfId="0" applyFont="1" applyFill="1" applyBorder="1" applyAlignment="1">
      <alignment horizontal="center" vertical="center"/>
    </xf>
    <xf numFmtId="0" fontId="24" fillId="22" borderId="2" xfId="0" applyFont="1" applyFill="1" applyBorder="1" applyAlignment="1">
      <alignment horizontal="center" vertical="center"/>
    </xf>
    <xf numFmtId="0" fontId="3" fillId="5" borderId="18" xfId="4" applyBorder="1" applyAlignment="1">
      <alignment horizontal="center" vertical="top"/>
    </xf>
    <xf numFmtId="0" fontId="18" fillId="10" borderId="26" xfId="7">
      <alignment horizontal="center" vertical="center" wrapText="1"/>
    </xf>
    <xf numFmtId="0" fontId="8" fillId="9" borderId="29" xfId="5" applyFont="1" applyBorder="1">
      <alignment horizontal="center" vertical="center" wrapText="1"/>
    </xf>
    <xf numFmtId="0" fontId="28" fillId="24" borderId="0" xfId="0" applyFont="1" applyFill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5" borderId="17" xfId="4" applyBorder="1" applyAlignment="1">
      <alignment horizontal="center" vertical="top"/>
    </xf>
    <xf numFmtId="0" fontId="26" fillId="8" borderId="29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5" fillId="23" borderId="0" xfId="0" applyFont="1" applyFill="1" applyAlignment="1">
      <alignment horizontal="center" vertical="center"/>
    </xf>
    <xf numFmtId="0" fontId="25" fillId="23" borderId="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5" fillId="16" borderId="32" xfId="0" applyFont="1" applyFill="1" applyBorder="1" applyAlignment="1">
      <alignment horizontal="center" vertical="center"/>
    </xf>
    <xf numFmtId="0" fontId="15" fillId="16" borderId="33" xfId="0" applyFont="1" applyFill="1" applyBorder="1" applyAlignment="1">
      <alignment horizontal="center" vertical="center"/>
    </xf>
    <xf numFmtId="0" fontId="15" fillId="16" borderId="31" xfId="0" applyFont="1" applyFill="1" applyBorder="1" applyAlignment="1">
      <alignment horizontal="center" vertical="center"/>
    </xf>
    <xf numFmtId="0" fontId="15" fillId="16" borderId="11" xfId="0" applyFont="1" applyFill="1" applyBorder="1" applyAlignment="1">
      <alignment horizontal="center" vertical="center"/>
    </xf>
    <xf numFmtId="0" fontId="15" fillId="16" borderId="34" xfId="0" applyFont="1" applyFill="1" applyBorder="1" applyAlignment="1">
      <alignment horizontal="center" vertical="center"/>
    </xf>
    <xf numFmtId="0" fontId="15" fillId="16" borderId="35" xfId="0" applyFont="1" applyFill="1" applyBorder="1" applyAlignment="1">
      <alignment horizontal="center" vertical="center"/>
    </xf>
    <xf numFmtId="0" fontId="26" fillId="8" borderId="28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5" fillId="16" borderId="36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3" fillId="5" borderId="19" xfId="4" applyBorder="1" applyAlignment="1">
      <alignment horizontal="center" vertical="top"/>
    </xf>
    <xf numFmtId="0" fontId="8" fillId="9" borderId="7" xfId="5" applyFont="1" applyBorder="1">
      <alignment horizontal="center" vertical="center" wrapText="1"/>
    </xf>
    <xf numFmtId="0" fontId="5" fillId="6" borderId="4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5" xfId="1" applyFont="1" applyFill="1" applyBorder="1" applyAlignment="1">
      <alignment horizontal="center" wrapText="1"/>
    </xf>
    <xf numFmtId="0" fontId="5" fillId="6" borderId="6" xfId="1" applyFont="1" applyFill="1" applyBorder="1" applyAlignment="1">
      <alignment horizontal="center" wrapText="1"/>
    </xf>
    <xf numFmtId="0" fontId="2" fillId="8" borderId="21" xfId="1" applyFill="1" applyBorder="1" applyAlignment="1">
      <alignment horizontal="center"/>
    </xf>
    <xf numFmtId="0" fontId="5" fillId="6" borderId="7" xfId="1" applyFont="1" applyFill="1" applyBorder="1" applyAlignment="1">
      <alignment horizontal="center" wrapText="1"/>
    </xf>
    <xf numFmtId="0" fontId="3" fillId="21" borderId="0" xfId="0" applyFont="1" applyFill="1" applyAlignment="1">
      <alignment wrapText="1"/>
    </xf>
    <xf numFmtId="0" fontId="3" fillId="21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 wrapText="1"/>
    </xf>
    <xf numFmtId="0" fontId="3" fillId="21" borderId="0" xfId="0" applyFont="1" applyFill="1" applyAlignment="1">
      <alignment horizontal="center" vertical="center"/>
    </xf>
  </cellXfs>
  <cellStyles count="10">
    <cellStyle name="Accent1" xfId="8" builtinId="29"/>
    <cellStyle name="Accent2" xfId="2" builtinId="33"/>
    <cellStyle name="Accent3" xfId="3" builtinId="37"/>
    <cellStyle name="Accent5" xfId="4" builtinId="45"/>
    <cellStyle name="Check Cell" xfId="1" builtinId="23"/>
    <cellStyle name="Hyperlink" xfId="9" builtinId="8"/>
    <cellStyle name="Normal" xfId="0" builtinId="0"/>
    <cellStyle name="Style 1" xfId="6" xr:uid="{2C0B1897-8519-4768-80B6-B0082084D773}"/>
    <cellStyle name="Style 1 2" xfId="7" xr:uid="{DBCC029F-0658-468A-9FA0-7989F76F151C}"/>
    <cellStyle name="Style 2" xfId="5" xr:uid="{AD82FFE8-77FB-4AD6-89FB-B6EF666AE45E}"/>
  </cellStyles>
  <dxfs count="1">
    <dxf>
      <font>
        <b/>
        <i val="0"/>
        <color theme="0" tint="-4.9989318521683403E-2"/>
      </font>
      <fill>
        <patternFill patternType="solid">
          <fgColor theme="2" tint="-9.9948118533890809E-2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347049</xdr:colOff>
      <xdr:row>3</xdr:row>
      <xdr:rowOff>98079</xdr:rowOff>
    </xdr:from>
    <xdr:to>
      <xdr:col>2</xdr:col>
      <xdr:colOff>558297</xdr:colOff>
      <xdr:row>3</xdr:row>
      <xdr:rowOff>143798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41FBDCB-1550-4682-9AD5-39E9D71BBBEA}"/>
            </a:ext>
          </a:extLst>
        </xdr:cNvPr>
        <xdr:cNvSpPr/>
      </xdr:nvSpPr>
      <xdr:spPr>
        <a:xfrm>
          <a:off x="1689980" y="618653"/>
          <a:ext cx="211248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383459</xdr:colOff>
      <xdr:row>4</xdr:row>
      <xdr:rowOff>82990</xdr:rowOff>
    </xdr:from>
    <xdr:to>
      <xdr:col>2</xdr:col>
      <xdr:colOff>622869</xdr:colOff>
      <xdr:row>4</xdr:row>
      <xdr:rowOff>128709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8AABA35A-BDD1-4942-A127-05A4FE1428A3}"/>
            </a:ext>
          </a:extLst>
        </xdr:cNvPr>
        <xdr:cNvSpPr/>
      </xdr:nvSpPr>
      <xdr:spPr>
        <a:xfrm>
          <a:off x="1722358" y="786375"/>
          <a:ext cx="239410" cy="45719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482851</xdr:colOff>
      <xdr:row>23</xdr:row>
      <xdr:rowOff>67901</xdr:rowOff>
    </xdr:from>
    <xdr:to>
      <xdr:col>4</xdr:col>
      <xdr:colOff>301782</xdr:colOff>
      <xdr:row>27</xdr:row>
      <xdr:rowOff>105624</xdr:rowOff>
    </xdr:to>
    <xdr:sp macro="" textlink="">
      <xdr:nvSpPr>
        <xdr:cNvPr id="7" name="Arrow: Up-Down 6">
          <a:extLst>
            <a:ext uri="{FF2B5EF4-FFF2-40B4-BE49-F238E27FC236}">
              <a16:creationId xmlns:a16="http://schemas.microsoft.com/office/drawing/2014/main" id="{439AE4CA-8736-4271-BF41-2D97AB2C9FAC}"/>
            </a:ext>
          </a:extLst>
        </xdr:cNvPr>
        <xdr:cNvSpPr/>
      </xdr:nvSpPr>
      <xdr:spPr>
        <a:xfrm>
          <a:off x="2497247" y="4058970"/>
          <a:ext cx="490396" cy="73182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475307</xdr:colOff>
      <xdr:row>38</xdr:row>
      <xdr:rowOff>105624</xdr:rowOff>
    </xdr:from>
    <xdr:to>
      <xdr:col>4</xdr:col>
      <xdr:colOff>294238</xdr:colOff>
      <xdr:row>42</xdr:row>
      <xdr:rowOff>143347</xdr:rowOff>
    </xdr:to>
    <xdr:sp macro="" textlink="">
      <xdr:nvSpPr>
        <xdr:cNvPr id="8" name="Arrow: Up-Down 7">
          <a:extLst>
            <a:ext uri="{FF2B5EF4-FFF2-40B4-BE49-F238E27FC236}">
              <a16:creationId xmlns:a16="http://schemas.microsoft.com/office/drawing/2014/main" id="{F283CAF9-211E-4221-92FF-2DB827902DA0}"/>
            </a:ext>
          </a:extLst>
        </xdr:cNvPr>
        <xdr:cNvSpPr/>
      </xdr:nvSpPr>
      <xdr:spPr>
        <a:xfrm>
          <a:off x="2489703" y="6873089"/>
          <a:ext cx="490396" cy="73182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AC7A-37AE-4415-85D3-D4D475FB3F11}">
  <dimension ref="B2:G53"/>
  <sheetViews>
    <sheetView tabSelected="1" zoomScale="151" workbookViewId="0">
      <selection activeCell="D59" sqref="D59"/>
    </sheetView>
  </sheetViews>
  <sheetFormatPr defaultRowHeight="13.8" x14ac:dyDescent="0.25"/>
  <sheetData>
    <row r="2" spans="2:7" x14ac:dyDescent="0.25">
      <c r="B2" s="171" t="s">
        <v>251</v>
      </c>
      <c r="C2" s="172"/>
      <c r="D2" s="172"/>
      <c r="E2" s="172"/>
      <c r="F2" s="172"/>
      <c r="G2" s="173"/>
    </row>
    <row r="3" spans="2:7" x14ac:dyDescent="0.25">
      <c r="B3" s="174"/>
      <c r="C3" s="175"/>
      <c r="D3" s="175"/>
      <c r="E3" s="175"/>
      <c r="F3" s="175"/>
      <c r="G3" s="176"/>
    </row>
    <row r="4" spans="2:7" x14ac:dyDescent="0.25">
      <c r="B4" s="135"/>
      <c r="C4" s="175" t="s">
        <v>252</v>
      </c>
      <c r="D4" s="175"/>
      <c r="E4" s="175"/>
      <c r="F4" s="175"/>
      <c r="G4" s="136"/>
    </row>
    <row r="5" spans="2:7" ht="13.8" customHeight="1" x14ac:dyDescent="0.25">
      <c r="B5" s="135"/>
      <c r="C5" s="137"/>
      <c r="D5" s="177" t="s">
        <v>253</v>
      </c>
      <c r="E5" s="177"/>
      <c r="F5" s="177"/>
      <c r="G5" s="136"/>
    </row>
    <row r="6" spans="2:7" x14ac:dyDescent="0.25">
      <c r="B6" s="135"/>
      <c r="C6" s="137"/>
      <c r="D6" s="177"/>
      <c r="E6" s="177"/>
      <c r="F6" s="177"/>
      <c r="G6" s="136"/>
    </row>
    <row r="7" spans="2:7" x14ac:dyDescent="0.25">
      <c r="B7" s="135"/>
      <c r="C7" s="137"/>
      <c r="D7" s="177"/>
      <c r="E7" s="177"/>
      <c r="F7" s="177"/>
      <c r="G7" s="136"/>
    </row>
    <row r="8" spans="2:7" x14ac:dyDescent="0.25">
      <c r="B8" s="135"/>
      <c r="C8" s="137"/>
      <c r="D8" s="177"/>
      <c r="E8" s="177"/>
      <c r="F8" s="177"/>
      <c r="G8" s="136"/>
    </row>
    <row r="9" spans="2:7" x14ac:dyDescent="0.25">
      <c r="B9" s="135"/>
      <c r="C9" s="137"/>
      <c r="D9" s="177"/>
      <c r="E9" s="177"/>
      <c r="F9" s="177"/>
      <c r="G9" s="136"/>
    </row>
    <row r="10" spans="2:7" x14ac:dyDescent="0.25">
      <c r="B10" s="138"/>
      <c r="C10" s="139"/>
      <c r="D10" s="139"/>
      <c r="E10" s="139"/>
      <c r="F10" s="139"/>
      <c r="G10" s="140"/>
    </row>
    <row r="11" spans="2:7" x14ac:dyDescent="0.25">
      <c r="B11" s="133"/>
      <c r="G11" s="134"/>
    </row>
    <row r="12" spans="2:7" x14ac:dyDescent="0.25">
      <c r="B12" s="133"/>
      <c r="G12" s="134"/>
    </row>
    <row r="13" spans="2:7" x14ac:dyDescent="0.25">
      <c r="B13" s="133"/>
      <c r="G13" s="134"/>
    </row>
    <row r="14" spans="2:7" ht="13.8" customHeight="1" x14ac:dyDescent="0.25">
      <c r="B14" s="178" t="s">
        <v>0</v>
      </c>
      <c r="C14" s="179"/>
      <c r="D14" s="179"/>
      <c r="E14" s="179"/>
      <c r="F14" s="179"/>
      <c r="G14" s="180"/>
    </row>
    <row r="15" spans="2:7" ht="13.8" customHeight="1" x14ac:dyDescent="0.25">
      <c r="B15" s="181"/>
      <c r="C15" s="182"/>
      <c r="D15" s="182"/>
      <c r="E15" s="182"/>
      <c r="F15" s="182"/>
      <c r="G15" s="183"/>
    </row>
    <row r="16" spans="2:7" ht="13.8" customHeight="1" x14ac:dyDescent="0.25">
      <c r="B16" s="181"/>
      <c r="C16" s="182"/>
      <c r="D16" s="182"/>
      <c r="E16" s="182"/>
      <c r="F16" s="182"/>
      <c r="G16" s="183"/>
    </row>
    <row r="17" spans="2:7" ht="13.8" customHeight="1" x14ac:dyDescent="0.25">
      <c r="B17" s="181"/>
      <c r="C17" s="182"/>
      <c r="D17" s="182"/>
      <c r="E17" s="182"/>
      <c r="F17" s="182"/>
      <c r="G17" s="183"/>
    </row>
    <row r="18" spans="2:7" ht="13.8" customHeight="1" x14ac:dyDescent="0.25">
      <c r="B18" s="181"/>
      <c r="C18" s="182"/>
      <c r="D18" s="182"/>
      <c r="E18" s="182"/>
      <c r="F18" s="182"/>
      <c r="G18" s="183"/>
    </row>
    <row r="19" spans="2:7" ht="13.8" customHeight="1" x14ac:dyDescent="0.25">
      <c r="B19" s="181"/>
      <c r="C19" s="182"/>
      <c r="D19" s="182"/>
      <c r="E19" s="182"/>
      <c r="F19" s="182"/>
      <c r="G19" s="183"/>
    </row>
    <row r="20" spans="2:7" ht="13.8" customHeight="1" x14ac:dyDescent="0.25">
      <c r="B20" s="181"/>
      <c r="C20" s="182"/>
      <c r="D20" s="182"/>
      <c r="E20" s="182"/>
      <c r="F20" s="182"/>
      <c r="G20" s="183"/>
    </row>
    <row r="21" spans="2:7" ht="13.8" customHeight="1" x14ac:dyDescent="0.25">
      <c r="B21" s="141"/>
      <c r="C21" s="156" t="s">
        <v>254</v>
      </c>
      <c r="D21" s="156"/>
      <c r="E21" s="156"/>
      <c r="F21" s="156"/>
      <c r="G21" s="142"/>
    </row>
    <row r="22" spans="2:7" ht="13.8" customHeight="1" x14ac:dyDescent="0.25">
      <c r="B22" s="141"/>
      <c r="C22" s="156"/>
      <c r="D22" s="156"/>
      <c r="E22" s="156"/>
      <c r="F22" s="156"/>
      <c r="G22" s="142"/>
    </row>
    <row r="23" spans="2:7" ht="13.8" customHeight="1" x14ac:dyDescent="0.25">
      <c r="B23" s="143"/>
      <c r="C23" s="144"/>
      <c r="D23" s="144"/>
      <c r="E23" s="144"/>
      <c r="F23" s="144"/>
      <c r="G23" s="145"/>
    </row>
    <row r="24" spans="2:7" x14ac:dyDescent="0.25">
      <c r="B24" s="133"/>
      <c r="G24" s="134"/>
    </row>
    <row r="25" spans="2:7" x14ac:dyDescent="0.25">
      <c r="B25" s="133"/>
      <c r="G25" s="134"/>
    </row>
    <row r="26" spans="2:7" x14ac:dyDescent="0.25">
      <c r="B26" s="133"/>
      <c r="G26" s="134"/>
    </row>
    <row r="27" spans="2:7" x14ac:dyDescent="0.25">
      <c r="B27" s="133"/>
      <c r="G27" s="134"/>
    </row>
    <row r="28" spans="2:7" x14ac:dyDescent="0.25">
      <c r="B28" s="133"/>
      <c r="G28" s="134"/>
    </row>
    <row r="29" spans="2:7" ht="13.8" customHeight="1" x14ac:dyDescent="0.25">
      <c r="B29" s="157" t="s">
        <v>249</v>
      </c>
      <c r="C29" s="158"/>
      <c r="D29" s="158"/>
      <c r="E29" s="158"/>
      <c r="F29" s="158"/>
      <c r="G29" s="159"/>
    </row>
    <row r="30" spans="2:7" ht="13.8" customHeight="1" x14ac:dyDescent="0.25">
      <c r="B30" s="160"/>
      <c r="C30" s="161"/>
      <c r="D30" s="161"/>
      <c r="E30" s="161"/>
      <c r="F30" s="161"/>
      <c r="G30" s="162"/>
    </row>
    <row r="31" spans="2:7" ht="13.8" customHeight="1" x14ac:dyDescent="0.25">
      <c r="B31" s="160"/>
      <c r="C31" s="161"/>
      <c r="D31" s="161"/>
      <c r="E31" s="161"/>
      <c r="F31" s="161"/>
      <c r="G31" s="162"/>
    </row>
    <row r="32" spans="2:7" ht="13.8" customHeight="1" x14ac:dyDescent="0.25">
      <c r="B32" s="160"/>
      <c r="C32" s="161"/>
      <c r="D32" s="161"/>
      <c r="E32" s="161"/>
      <c r="F32" s="161"/>
      <c r="G32" s="162"/>
    </row>
    <row r="33" spans="2:7" ht="13.8" customHeight="1" x14ac:dyDescent="0.25">
      <c r="B33" s="160"/>
      <c r="C33" s="161"/>
      <c r="D33" s="161"/>
      <c r="E33" s="161"/>
      <c r="F33" s="161"/>
      <c r="G33" s="162"/>
    </row>
    <row r="34" spans="2:7" ht="13.8" customHeight="1" x14ac:dyDescent="0.25">
      <c r="B34" s="160"/>
      <c r="C34" s="161"/>
      <c r="D34" s="161"/>
      <c r="E34" s="161"/>
      <c r="F34" s="161"/>
      <c r="G34" s="162"/>
    </row>
    <row r="35" spans="2:7" ht="13.8" customHeight="1" x14ac:dyDescent="0.25">
      <c r="B35" s="160"/>
      <c r="C35" s="161"/>
      <c r="D35" s="161"/>
      <c r="E35" s="161"/>
      <c r="F35" s="161"/>
      <c r="G35" s="162"/>
    </row>
    <row r="36" spans="2:7" ht="13.8" customHeight="1" x14ac:dyDescent="0.25">
      <c r="B36" s="151"/>
      <c r="C36" s="163" t="s">
        <v>255</v>
      </c>
      <c r="D36" s="163"/>
      <c r="E36" s="163"/>
      <c r="F36" s="163"/>
      <c r="G36" s="152"/>
    </row>
    <row r="37" spans="2:7" ht="13.8" customHeight="1" x14ac:dyDescent="0.25">
      <c r="B37" s="151"/>
      <c r="C37" s="163"/>
      <c r="D37" s="163"/>
      <c r="E37" s="163"/>
      <c r="F37" s="163"/>
      <c r="G37" s="152"/>
    </row>
    <row r="38" spans="2:7" ht="13.8" customHeight="1" x14ac:dyDescent="0.25">
      <c r="B38" s="153"/>
      <c r="C38" s="154"/>
      <c r="D38" s="154"/>
      <c r="E38" s="154"/>
      <c r="F38" s="154"/>
      <c r="G38" s="155"/>
    </row>
    <row r="39" spans="2:7" x14ac:dyDescent="0.25">
      <c r="B39" s="133"/>
      <c r="G39" s="134"/>
    </row>
    <row r="40" spans="2:7" x14ac:dyDescent="0.25">
      <c r="B40" s="133"/>
      <c r="G40" s="134"/>
    </row>
    <row r="41" spans="2:7" x14ac:dyDescent="0.25">
      <c r="B41" s="133"/>
      <c r="G41" s="134"/>
    </row>
    <row r="42" spans="2:7" x14ac:dyDescent="0.25">
      <c r="B42" s="133"/>
      <c r="G42" s="134"/>
    </row>
    <row r="43" spans="2:7" x14ac:dyDescent="0.25">
      <c r="B43" s="133"/>
      <c r="G43" s="134"/>
    </row>
    <row r="44" spans="2:7" ht="13.8" customHeight="1" x14ac:dyDescent="0.25">
      <c r="B44" s="164" t="s">
        <v>250</v>
      </c>
      <c r="C44" s="165"/>
      <c r="D44" s="165"/>
      <c r="E44" s="165"/>
      <c r="F44" s="165"/>
      <c r="G44" s="166"/>
    </row>
    <row r="45" spans="2:7" ht="13.8" customHeight="1" x14ac:dyDescent="0.25">
      <c r="B45" s="167"/>
      <c r="C45" s="168"/>
      <c r="D45" s="168"/>
      <c r="E45" s="168"/>
      <c r="F45" s="168"/>
      <c r="G45" s="169"/>
    </row>
    <row r="46" spans="2:7" ht="13.8" customHeight="1" x14ac:dyDescent="0.25">
      <c r="B46" s="167"/>
      <c r="C46" s="168"/>
      <c r="D46" s="168"/>
      <c r="E46" s="168"/>
      <c r="F46" s="168"/>
      <c r="G46" s="169"/>
    </row>
    <row r="47" spans="2:7" ht="13.8" customHeight="1" x14ac:dyDescent="0.25">
      <c r="B47" s="167"/>
      <c r="C47" s="168"/>
      <c r="D47" s="168"/>
      <c r="E47" s="168"/>
      <c r="F47" s="168"/>
      <c r="G47" s="169"/>
    </row>
    <row r="48" spans="2:7" ht="13.8" customHeight="1" x14ac:dyDescent="0.25">
      <c r="B48" s="167"/>
      <c r="C48" s="168"/>
      <c r="D48" s="168"/>
      <c r="E48" s="168"/>
      <c r="F48" s="168"/>
      <c r="G48" s="169"/>
    </row>
    <row r="49" spans="2:7" ht="13.8" customHeight="1" x14ac:dyDescent="0.25">
      <c r="B49" s="167"/>
      <c r="C49" s="168"/>
      <c r="D49" s="168"/>
      <c r="E49" s="168"/>
      <c r="F49" s="168"/>
      <c r="G49" s="169"/>
    </row>
    <row r="50" spans="2:7" ht="13.8" customHeight="1" x14ac:dyDescent="0.25">
      <c r="B50" s="167"/>
      <c r="C50" s="168"/>
      <c r="D50" s="168"/>
      <c r="E50" s="168"/>
      <c r="F50" s="168"/>
      <c r="G50" s="169"/>
    </row>
    <row r="51" spans="2:7" ht="13.8" customHeight="1" x14ac:dyDescent="0.25">
      <c r="B51" s="146"/>
      <c r="C51" s="170" t="s">
        <v>256</v>
      </c>
      <c r="D51" s="170"/>
      <c r="E51" s="170"/>
      <c r="F51" s="170"/>
      <c r="G51" s="147"/>
    </row>
    <row r="52" spans="2:7" ht="13.8" customHeight="1" x14ac:dyDescent="0.25">
      <c r="B52" s="146"/>
      <c r="C52" s="170"/>
      <c r="D52" s="170"/>
      <c r="E52" s="170"/>
      <c r="F52" s="170"/>
      <c r="G52" s="147"/>
    </row>
    <row r="53" spans="2:7" ht="13.8" customHeight="1" x14ac:dyDescent="0.25">
      <c r="B53" s="148"/>
      <c r="C53" s="149"/>
      <c r="D53" s="149"/>
      <c r="E53" s="149"/>
      <c r="F53" s="149"/>
      <c r="G53" s="150"/>
    </row>
  </sheetData>
  <mergeCells count="9">
    <mergeCell ref="B2:G3"/>
    <mergeCell ref="C4:F4"/>
    <mergeCell ref="D5:F9"/>
    <mergeCell ref="B14:G20"/>
    <mergeCell ref="C21:F22"/>
    <mergeCell ref="B29:G35"/>
    <mergeCell ref="C36:F37"/>
    <mergeCell ref="B44:G50"/>
    <mergeCell ref="C51:F52"/>
  </mergeCells>
  <hyperlinks>
    <hyperlink ref="C21" location="'Chemicals Testing'!A1" display="'Chemicals Testing'!A1" xr:uid="{28A7AF04-3AC4-4A84-9DF3-04AE2B784656}"/>
    <hyperlink ref="C36" location="'Lab Trails summery'!A1" display="'Lab Trails summery'!A1" xr:uid="{3BF67148-402F-4FA3-91AC-E42CBCFB79EC}"/>
    <hyperlink ref="C51" location="'Consumption Summery'!A1" display="'Consumption Summery'!A1" xr:uid="{46985EB9-3648-4E90-A150-25EED3DB3F11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3614-F8D1-4A3C-886B-8F14E1FAD6A6}">
  <dimension ref="B3:Q35"/>
  <sheetViews>
    <sheetView zoomScale="87" workbookViewId="0"/>
  </sheetViews>
  <sheetFormatPr defaultRowHeight="13.8" x14ac:dyDescent="0.25"/>
  <cols>
    <col min="3" max="3" width="15.296875" bestFit="1" customWidth="1"/>
  </cols>
  <sheetData>
    <row r="3" spans="2:17" x14ac:dyDescent="0.25">
      <c r="B3" s="17"/>
      <c r="E3" s="14"/>
    </row>
    <row r="4" spans="2:17" x14ac:dyDescent="0.25">
      <c r="B4" s="17"/>
      <c r="E4" s="14"/>
    </row>
    <row r="5" spans="2:17" x14ac:dyDescent="0.25">
      <c r="B5" s="17"/>
      <c r="E5" s="14"/>
      <c r="G5" s="189" t="s">
        <v>0</v>
      </c>
      <c r="H5" s="189"/>
      <c r="I5" s="189"/>
      <c r="J5" s="189"/>
    </row>
    <row r="6" spans="2:17" ht="14.4" thickBot="1" x14ac:dyDescent="0.3">
      <c r="B6" s="17"/>
      <c r="E6" s="14"/>
      <c r="G6" s="190"/>
      <c r="H6" s="190"/>
      <c r="I6" s="190"/>
      <c r="J6" s="190"/>
    </row>
    <row r="7" spans="2:17" x14ac:dyDescent="0.25">
      <c r="B7" s="17"/>
      <c r="E7" s="14"/>
    </row>
    <row r="8" spans="2:17" x14ac:dyDescent="0.25">
      <c r="B8" s="17"/>
      <c r="E8" s="14"/>
    </row>
    <row r="9" spans="2:17" ht="20.399999999999999" x14ac:dyDescent="0.25">
      <c r="B9" s="110" t="s">
        <v>1</v>
      </c>
      <c r="C9" s="111" t="s">
        <v>2</v>
      </c>
      <c r="D9" s="111" t="s">
        <v>3</v>
      </c>
      <c r="E9" s="111" t="s">
        <v>4</v>
      </c>
      <c r="F9" s="112" t="s">
        <v>5</v>
      </c>
      <c r="G9" s="191" t="s">
        <v>6</v>
      </c>
      <c r="H9" s="191"/>
      <c r="I9" s="191"/>
      <c r="J9" s="191"/>
      <c r="K9" s="191" t="s">
        <v>7</v>
      </c>
      <c r="L9" s="191"/>
      <c r="M9" s="191"/>
      <c r="N9" s="191"/>
      <c r="O9" s="191"/>
      <c r="P9" s="191"/>
      <c r="Q9" s="192"/>
    </row>
    <row r="10" spans="2:17" x14ac:dyDescent="0.25">
      <c r="B10" s="113">
        <v>1</v>
      </c>
      <c r="C10" s="114" t="s">
        <v>8</v>
      </c>
      <c r="D10" s="115" t="s">
        <v>9</v>
      </c>
      <c r="E10" s="116">
        <v>100</v>
      </c>
      <c r="F10" s="117" t="s">
        <v>10</v>
      </c>
      <c r="G10" s="118" t="s">
        <v>11</v>
      </c>
      <c r="H10" s="118"/>
      <c r="I10" s="119"/>
      <c r="J10" s="119"/>
      <c r="K10" s="120">
        <v>1</v>
      </c>
      <c r="L10" s="193" t="s">
        <v>12</v>
      </c>
      <c r="M10" s="193"/>
      <c r="N10" s="193"/>
      <c r="O10" s="193"/>
      <c r="P10" s="193"/>
      <c r="Q10" s="194"/>
    </row>
    <row r="11" spans="2:17" x14ac:dyDescent="0.25">
      <c r="B11" s="121"/>
      <c r="C11" s="98"/>
      <c r="D11" s="104"/>
      <c r="E11" s="96"/>
      <c r="F11" s="107"/>
      <c r="G11" s="99"/>
      <c r="H11" s="99"/>
      <c r="I11" s="99"/>
      <c r="J11" s="99"/>
      <c r="K11" s="97"/>
      <c r="L11" s="105"/>
      <c r="M11" s="105"/>
      <c r="N11" s="105"/>
      <c r="O11" s="105"/>
      <c r="P11" s="105"/>
      <c r="Q11" s="122"/>
    </row>
    <row r="12" spans="2:17" x14ac:dyDescent="0.25">
      <c r="B12" s="123">
        <v>2</v>
      </c>
      <c r="C12" s="100" t="s">
        <v>13</v>
      </c>
      <c r="D12" s="103" t="s">
        <v>9</v>
      </c>
      <c r="E12" s="101">
        <v>100</v>
      </c>
      <c r="F12" s="106" t="s">
        <v>10</v>
      </c>
      <c r="G12" s="195" t="s">
        <v>11</v>
      </c>
      <c r="H12" s="195"/>
      <c r="I12" s="195"/>
      <c r="J12" s="195"/>
      <c r="K12" s="102">
        <v>1</v>
      </c>
      <c r="L12" s="184" t="s">
        <v>14</v>
      </c>
      <c r="M12" s="184"/>
      <c r="N12" s="184"/>
      <c r="O12" s="184"/>
      <c r="P12" s="184"/>
      <c r="Q12" s="185"/>
    </row>
    <row r="13" spans="2:17" x14ac:dyDescent="0.25">
      <c r="B13" s="123"/>
      <c r="C13" s="100"/>
      <c r="D13" s="103"/>
      <c r="E13" s="101"/>
      <c r="F13" s="106"/>
      <c r="G13" s="109"/>
      <c r="H13" s="109"/>
      <c r="I13" s="109"/>
      <c r="J13" s="109"/>
      <c r="K13" s="102">
        <v>2</v>
      </c>
      <c r="L13" s="184" t="s">
        <v>15</v>
      </c>
      <c r="M13" s="184"/>
      <c r="N13" s="184"/>
      <c r="O13" s="184"/>
      <c r="P13" s="184"/>
      <c r="Q13" s="185"/>
    </row>
    <row r="14" spans="2:17" x14ac:dyDescent="0.25">
      <c r="B14" s="121"/>
      <c r="C14" s="98"/>
      <c r="D14" s="104"/>
      <c r="E14" s="96"/>
      <c r="F14" s="107"/>
      <c r="G14" s="99"/>
      <c r="H14" s="99"/>
      <c r="I14" s="99"/>
      <c r="J14" s="99"/>
      <c r="K14" s="97"/>
      <c r="L14" s="105"/>
      <c r="M14" s="105"/>
      <c r="N14" s="105"/>
      <c r="O14" s="105"/>
      <c r="P14" s="105"/>
      <c r="Q14" s="122"/>
    </row>
    <row r="15" spans="2:17" x14ac:dyDescent="0.25">
      <c r="B15" s="123">
        <v>3</v>
      </c>
      <c r="C15" s="100" t="s">
        <v>16</v>
      </c>
      <c r="D15" s="103" t="s">
        <v>17</v>
      </c>
      <c r="E15" s="101">
        <v>28</v>
      </c>
      <c r="F15" s="106" t="s">
        <v>18</v>
      </c>
      <c r="G15" s="186" t="s">
        <v>19</v>
      </c>
      <c r="H15" s="186"/>
      <c r="I15" s="186"/>
      <c r="J15" s="186"/>
      <c r="K15" s="102">
        <v>1</v>
      </c>
      <c r="L15" s="184" t="s">
        <v>20</v>
      </c>
      <c r="M15" s="184"/>
      <c r="N15" s="184"/>
      <c r="O15" s="184"/>
      <c r="P15" s="184"/>
      <c r="Q15" s="185"/>
    </row>
    <row r="16" spans="2:17" x14ac:dyDescent="0.25">
      <c r="B16" s="123"/>
      <c r="C16" s="100"/>
      <c r="D16" s="103"/>
      <c r="E16" s="101"/>
      <c r="F16" s="106"/>
      <c r="G16" s="109"/>
      <c r="H16" s="109"/>
      <c r="I16" s="109"/>
      <c r="J16" s="109"/>
      <c r="K16" s="102">
        <v>2</v>
      </c>
      <c r="L16" s="184" t="s">
        <v>21</v>
      </c>
      <c r="M16" s="184"/>
      <c r="N16" s="184"/>
      <c r="O16" s="184"/>
      <c r="P16" s="184"/>
      <c r="Q16" s="185"/>
    </row>
    <row r="17" spans="2:17" x14ac:dyDescent="0.25">
      <c r="B17" s="121"/>
      <c r="C17" s="98"/>
      <c r="D17" s="104"/>
      <c r="E17" s="96"/>
      <c r="F17" s="107"/>
      <c r="G17" s="99"/>
      <c r="H17" s="99"/>
      <c r="I17" s="99"/>
      <c r="J17" s="99"/>
      <c r="K17" s="97"/>
      <c r="L17" s="105"/>
      <c r="M17" s="105"/>
      <c r="N17" s="105"/>
      <c r="O17" s="105"/>
      <c r="P17" s="105"/>
      <c r="Q17" s="122"/>
    </row>
    <row r="18" spans="2:17" x14ac:dyDescent="0.25">
      <c r="B18" s="123">
        <v>4</v>
      </c>
      <c r="C18" s="100" t="s">
        <v>22</v>
      </c>
      <c r="D18" s="103" t="s">
        <v>23</v>
      </c>
      <c r="E18" s="101">
        <v>50</v>
      </c>
      <c r="F18" s="106" t="s">
        <v>18</v>
      </c>
      <c r="G18" s="186" t="s">
        <v>24</v>
      </c>
      <c r="H18" s="186"/>
      <c r="I18" s="186"/>
      <c r="J18" s="186"/>
      <c r="K18" s="102">
        <v>1</v>
      </c>
      <c r="L18" s="187" t="s">
        <v>25</v>
      </c>
      <c r="M18" s="187"/>
      <c r="N18" s="187"/>
      <c r="O18" s="187"/>
      <c r="P18" s="187"/>
      <c r="Q18" s="188"/>
    </row>
    <row r="19" spans="2:17" x14ac:dyDescent="0.25">
      <c r="B19" s="123"/>
      <c r="C19" s="100"/>
      <c r="D19" s="103"/>
      <c r="E19" s="101"/>
      <c r="F19" s="106"/>
      <c r="G19" s="109"/>
      <c r="H19" s="109"/>
      <c r="I19" s="109"/>
      <c r="J19" s="109"/>
      <c r="K19" s="102"/>
      <c r="L19" s="187"/>
      <c r="M19" s="187"/>
      <c r="N19" s="187"/>
      <c r="O19" s="187"/>
      <c r="P19" s="187"/>
      <c r="Q19" s="188"/>
    </row>
    <row r="20" spans="2:17" x14ac:dyDescent="0.25">
      <c r="B20" s="123"/>
      <c r="C20" s="100"/>
      <c r="D20" s="103"/>
      <c r="E20" s="101"/>
      <c r="F20" s="106"/>
      <c r="G20" s="109"/>
      <c r="H20" s="109"/>
      <c r="I20" s="109"/>
      <c r="J20" s="109"/>
      <c r="K20" s="102">
        <v>2</v>
      </c>
      <c r="L20" s="184" t="s">
        <v>26</v>
      </c>
      <c r="M20" s="184"/>
      <c r="N20" s="184"/>
      <c r="O20" s="184"/>
      <c r="P20" s="184"/>
      <c r="Q20" s="185"/>
    </row>
    <row r="21" spans="2:17" x14ac:dyDescent="0.25">
      <c r="B21" s="123"/>
      <c r="C21" s="100"/>
      <c r="D21" s="103"/>
      <c r="E21" s="101"/>
      <c r="F21" s="106"/>
      <c r="G21" s="109"/>
      <c r="H21" s="109"/>
      <c r="I21" s="109"/>
      <c r="J21" s="109"/>
      <c r="K21" s="102">
        <v>3</v>
      </c>
      <c r="L21" s="108" t="s">
        <v>27</v>
      </c>
      <c r="M21" s="108"/>
      <c r="N21" s="108"/>
      <c r="O21" s="108"/>
      <c r="P21" s="108"/>
      <c r="Q21" s="124"/>
    </row>
    <row r="22" spans="2:17" x14ac:dyDescent="0.25">
      <c r="B22" s="121"/>
      <c r="C22" s="98"/>
      <c r="D22" s="104"/>
      <c r="E22" s="96"/>
      <c r="F22" s="107"/>
      <c r="G22" s="99"/>
      <c r="H22" s="99"/>
      <c r="I22" s="99"/>
      <c r="J22" s="99"/>
      <c r="K22" s="97"/>
      <c r="L22" s="105"/>
      <c r="M22" s="105"/>
      <c r="N22" s="105"/>
      <c r="O22" s="105"/>
      <c r="P22" s="105"/>
      <c r="Q22" s="122"/>
    </row>
    <row r="23" spans="2:17" x14ac:dyDescent="0.25">
      <c r="B23" s="123">
        <v>5</v>
      </c>
      <c r="C23" s="100" t="s">
        <v>28</v>
      </c>
      <c r="D23" s="103" t="s">
        <v>29</v>
      </c>
      <c r="E23" s="101">
        <v>75</v>
      </c>
      <c r="F23" s="106" t="s">
        <v>30</v>
      </c>
      <c r="G23" s="186" t="s">
        <v>31</v>
      </c>
      <c r="H23" s="186"/>
      <c r="I23" s="186"/>
      <c r="J23" s="186"/>
      <c r="K23" s="102">
        <v>1</v>
      </c>
      <c r="L23" s="184" t="s">
        <v>32</v>
      </c>
      <c r="M23" s="184"/>
      <c r="N23" s="184"/>
      <c r="O23" s="184"/>
      <c r="P23" s="184"/>
      <c r="Q23" s="185"/>
    </row>
    <row r="24" spans="2:17" x14ac:dyDescent="0.25">
      <c r="B24" s="121"/>
      <c r="C24" s="98"/>
      <c r="D24" s="104"/>
      <c r="E24" s="96"/>
      <c r="F24" s="107"/>
      <c r="G24" s="99"/>
      <c r="H24" s="99"/>
      <c r="I24" s="99"/>
      <c r="J24" s="99"/>
      <c r="K24" s="97"/>
      <c r="L24" s="105"/>
      <c r="M24" s="105"/>
      <c r="N24" s="105"/>
      <c r="O24" s="105"/>
      <c r="P24" s="105"/>
      <c r="Q24" s="122"/>
    </row>
    <row r="25" spans="2:17" x14ac:dyDescent="0.25">
      <c r="B25" s="123">
        <v>6</v>
      </c>
      <c r="C25" s="100" t="s">
        <v>33</v>
      </c>
      <c r="D25" s="103" t="s">
        <v>34</v>
      </c>
      <c r="E25" s="101">
        <v>90</v>
      </c>
      <c r="F25" s="106" t="s">
        <v>34</v>
      </c>
      <c r="G25" s="186" t="s">
        <v>35</v>
      </c>
      <c r="H25" s="186"/>
      <c r="I25" s="186"/>
      <c r="J25" s="186"/>
      <c r="K25" s="102">
        <v>1</v>
      </c>
      <c r="L25" s="184" t="s">
        <v>36</v>
      </c>
      <c r="M25" s="184"/>
      <c r="N25" s="184"/>
      <c r="O25" s="184"/>
      <c r="P25" s="184"/>
      <c r="Q25" s="185"/>
    </row>
    <row r="26" spans="2:17" x14ac:dyDescent="0.25">
      <c r="B26" s="121"/>
      <c r="C26" s="98"/>
      <c r="D26" s="104"/>
      <c r="E26" s="96"/>
      <c r="F26" s="107"/>
      <c r="G26" s="99"/>
      <c r="H26" s="99"/>
      <c r="I26" s="99"/>
      <c r="J26" s="99"/>
      <c r="K26" s="97"/>
      <c r="L26" s="105"/>
      <c r="M26" s="105"/>
      <c r="N26" s="105"/>
      <c r="O26" s="105"/>
      <c r="P26" s="105"/>
      <c r="Q26" s="122"/>
    </row>
    <row r="27" spans="2:17" x14ac:dyDescent="0.25">
      <c r="B27" s="123">
        <v>7</v>
      </c>
      <c r="C27" s="100" t="s">
        <v>37</v>
      </c>
      <c r="D27" s="103" t="s">
        <v>38</v>
      </c>
      <c r="E27" s="101">
        <v>48</v>
      </c>
      <c r="F27" s="106" t="s">
        <v>39</v>
      </c>
      <c r="G27" s="186" t="s">
        <v>40</v>
      </c>
      <c r="H27" s="186"/>
      <c r="I27" s="186"/>
      <c r="J27" s="186"/>
      <c r="K27" s="102">
        <v>1</v>
      </c>
      <c r="L27" s="187" t="s">
        <v>41</v>
      </c>
      <c r="M27" s="187"/>
      <c r="N27" s="187"/>
      <c r="O27" s="187"/>
      <c r="P27" s="187"/>
      <c r="Q27" s="188"/>
    </row>
    <row r="28" spans="2:17" x14ac:dyDescent="0.25">
      <c r="B28" s="123"/>
      <c r="C28" s="100"/>
      <c r="D28" s="103"/>
      <c r="E28" s="101"/>
      <c r="F28" s="106"/>
      <c r="G28" s="109"/>
      <c r="H28" s="109"/>
      <c r="I28" s="109"/>
      <c r="J28" s="109"/>
      <c r="K28" s="102"/>
      <c r="L28" s="187"/>
      <c r="M28" s="187"/>
      <c r="N28" s="187"/>
      <c r="O28" s="187"/>
      <c r="P28" s="187"/>
      <c r="Q28" s="188"/>
    </row>
    <row r="29" spans="2:17" x14ac:dyDescent="0.25">
      <c r="B29" s="123"/>
      <c r="C29" s="100"/>
      <c r="D29" s="103"/>
      <c r="E29" s="101"/>
      <c r="F29" s="106"/>
      <c r="G29" s="109"/>
      <c r="H29" s="109"/>
      <c r="I29" s="109"/>
      <c r="J29" s="109"/>
      <c r="K29" s="102">
        <v>2</v>
      </c>
      <c r="L29" s="184" t="s">
        <v>42</v>
      </c>
      <c r="M29" s="184"/>
      <c r="N29" s="184"/>
      <c r="O29" s="184"/>
      <c r="P29" s="184"/>
      <c r="Q29" s="185"/>
    </row>
    <row r="30" spans="2:17" x14ac:dyDescent="0.25">
      <c r="B30" s="125"/>
      <c r="C30" s="98"/>
      <c r="D30" s="104"/>
      <c r="E30" s="97"/>
      <c r="F30" s="107"/>
      <c r="G30" s="97"/>
      <c r="H30" s="97"/>
      <c r="I30" s="97"/>
      <c r="J30" s="97"/>
      <c r="K30" s="97"/>
      <c r="L30" s="105"/>
      <c r="M30" s="105"/>
      <c r="N30" s="105"/>
      <c r="O30" s="105"/>
      <c r="P30" s="105"/>
      <c r="Q30" s="122"/>
    </row>
    <row r="31" spans="2:17" x14ac:dyDescent="0.25">
      <c r="B31" s="126"/>
      <c r="C31" s="127"/>
      <c r="D31" s="128"/>
      <c r="E31" s="129"/>
      <c r="F31" s="130"/>
      <c r="G31" s="129"/>
      <c r="H31" s="129"/>
      <c r="I31" s="129"/>
      <c r="J31" s="129"/>
      <c r="K31" s="129"/>
      <c r="L31" s="131"/>
      <c r="M31" s="131"/>
      <c r="N31" s="131"/>
      <c r="O31" s="131"/>
      <c r="P31" s="131"/>
      <c r="Q31" s="132"/>
    </row>
    <row r="34" ht="13.8" customHeight="1" x14ac:dyDescent="0.25"/>
    <row r="35" ht="13.8" customHeight="1" x14ac:dyDescent="0.25"/>
  </sheetData>
  <mergeCells count="20">
    <mergeCell ref="G5:J6"/>
    <mergeCell ref="G9:J9"/>
    <mergeCell ref="K9:Q9"/>
    <mergeCell ref="L10:Q10"/>
    <mergeCell ref="G12:J12"/>
    <mergeCell ref="L12:Q12"/>
    <mergeCell ref="L29:Q29"/>
    <mergeCell ref="L20:Q20"/>
    <mergeCell ref="G23:J23"/>
    <mergeCell ref="L13:Q13"/>
    <mergeCell ref="G15:J15"/>
    <mergeCell ref="L15:Q15"/>
    <mergeCell ref="L16:Q16"/>
    <mergeCell ref="G18:J18"/>
    <mergeCell ref="L18:Q19"/>
    <mergeCell ref="L23:Q23"/>
    <mergeCell ref="G25:J25"/>
    <mergeCell ref="L25:Q25"/>
    <mergeCell ref="G27:J27"/>
    <mergeCell ref="L27:Q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51C7-6213-4724-8F14-937BE4B07217}">
  <dimension ref="B2:S83"/>
  <sheetViews>
    <sheetView topLeftCell="A7" zoomScale="85" zoomScaleNormal="85" workbookViewId="0">
      <selection activeCell="C86" sqref="C86"/>
    </sheetView>
  </sheetViews>
  <sheetFormatPr defaultRowHeight="13.8" x14ac:dyDescent="0.25"/>
  <cols>
    <col min="2" max="2" width="28.5" style="51" bestFit="1" customWidth="1"/>
    <col min="3" max="7" width="8.796875" style="17"/>
    <col min="8" max="8" width="34.8984375" style="52" customWidth="1"/>
  </cols>
  <sheetData>
    <row r="2" spans="2:8" ht="13.8" customHeight="1" x14ac:dyDescent="0.25">
      <c r="C2" s="196" t="s">
        <v>193</v>
      </c>
      <c r="D2" s="196"/>
      <c r="E2" s="196"/>
      <c r="F2" s="196"/>
      <c r="G2" s="196"/>
    </row>
    <row r="3" spans="2:8" ht="14.4" customHeight="1" thickBot="1" x14ac:dyDescent="0.3">
      <c r="C3" s="197"/>
      <c r="D3" s="197"/>
      <c r="E3" s="197"/>
      <c r="F3" s="197"/>
      <c r="G3" s="197"/>
    </row>
    <row r="6" spans="2:8" ht="14.4" thickBot="1" x14ac:dyDescent="0.3">
      <c r="B6" s="53" t="s">
        <v>194</v>
      </c>
      <c r="C6" s="54" t="s">
        <v>195</v>
      </c>
      <c r="D6" s="54" t="s">
        <v>98</v>
      </c>
      <c r="E6" s="54" t="s">
        <v>196</v>
      </c>
      <c r="F6" s="54" t="s">
        <v>197</v>
      </c>
      <c r="G6" s="54" t="s">
        <v>198</v>
      </c>
      <c r="H6" s="53" t="s">
        <v>7</v>
      </c>
    </row>
    <row r="7" spans="2:8" x14ac:dyDescent="0.25">
      <c r="B7" s="201" t="s">
        <v>199</v>
      </c>
      <c r="C7" s="86" t="s">
        <v>200</v>
      </c>
      <c r="D7" s="204" t="s">
        <v>147</v>
      </c>
      <c r="E7" s="86">
        <v>197</v>
      </c>
      <c r="F7" s="86">
        <v>220</v>
      </c>
      <c r="G7" s="86" t="s">
        <v>201</v>
      </c>
      <c r="H7" s="89" t="s">
        <v>202</v>
      </c>
    </row>
    <row r="8" spans="2:8" x14ac:dyDescent="0.25">
      <c r="B8" s="202"/>
      <c r="C8" s="84"/>
      <c r="D8" s="205"/>
      <c r="E8" s="84"/>
      <c r="F8" s="84"/>
      <c r="G8" s="84"/>
      <c r="H8" s="90"/>
    </row>
    <row r="9" spans="2:8" x14ac:dyDescent="0.25">
      <c r="B9" s="202"/>
      <c r="C9" s="84" t="s">
        <v>203</v>
      </c>
      <c r="D9" s="205"/>
      <c r="E9" s="84">
        <v>196</v>
      </c>
      <c r="F9" s="84">
        <v>222</v>
      </c>
      <c r="G9" s="84" t="s">
        <v>201</v>
      </c>
      <c r="H9" s="90" t="s">
        <v>204</v>
      </c>
    </row>
    <row r="10" spans="2:8" x14ac:dyDescent="0.25">
      <c r="B10" s="202"/>
      <c r="C10" s="84"/>
      <c r="D10" s="205"/>
      <c r="E10" s="84"/>
      <c r="F10" s="84"/>
      <c r="G10" s="84"/>
      <c r="H10" s="90"/>
    </row>
    <row r="11" spans="2:8" x14ac:dyDescent="0.25">
      <c r="B11" s="202"/>
      <c r="C11" s="84" t="s">
        <v>205</v>
      </c>
      <c r="D11" s="205"/>
      <c r="E11" s="84">
        <v>196</v>
      </c>
      <c r="F11" s="84">
        <v>218</v>
      </c>
      <c r="G11" s="84" t="s">
        <v>206</v>
      </c>
      <c r="H11" s="90" t="s">
        <v>207</v>
      </c>
    </row>
    <row r="12" spans="2:8" x14ac:dyDescent="0.25">
      <c r="B12" s="203"/>
      <c r="C12" s="85"/>
      <c r="D12" s="206"/>
      <c r="E12" s="85"/>
      <c r="F12" s="85"/>
      <c r="G12" s="85"/>
      <c r="H12" s="91"/>
    </row>
    <row r="15" spans="2:8" x14ac:dyDescent="0.25">
      <c r="B15" s="92" t="s">
        <v>208</v>
      </c>
      <c r="C15" s="93"/>
      <c r="D15" s="93"/>
      <c r="E15" s="93"/>
      <c r="F15" s="93"/>
      <c r="G15" s="93"/>
      <c r="H15" s="94"/>
    </row>
    <row r="16" spans="2:8" x14ac:dyDescent="0.25">
      <c r="B16" s="95"/>
      <c r="C16" s="198" t="s">
        <v>247</v>
      </c>
      <c r="D16" s="198"/>
      <c r="E16" s="198"/>
      <c r="F16" s="198"/>
      <c r="G16" s="198"/>
      <c r="H16" s="198"/>
    </row>
    <row r="17" spans="2:8" x14ac:dyDescent="0.25">
      <c r="B17" s="95"/>
      <c r="C17" s="198" t="s">
        <v>248</v>
      </c>
      <c r="D17" s="198"/>
      <c r="E17" s="198"/>
      <c r="F17" s="198"/>
      <c r="G17" s="198"/>
      <c r="H17" s="198"/>
    </row>
    <row r="21" spans="2:8" ht="14.4" thickBot="1" x14ac:dyDescent="0.3">
      <c r="B21" s="53" t="s">
        <v>194</v>
      </c>
      <c r="C21" s="54" t="s">
        <v>195</v>
      </c>
      <c r="D21" s="54" t="s">
        <v>98</v>
      </c>
      <c r="E21" s="54" t="s">
        <v>196</v>
      </c>
      <c r="F21" s="54" t="s">
        <v>197</v>
      </c>
      <c r="G21" s="54" t="s">
        <v>198</v>
      </c>
      <c r="H21" s="53" t="s">
        <v>7</v>
      </c>
    </row>
    <row r="22" spans="2:8" x14ac:dyDescent="0.25">
      <c r="B22" s="199" t="s">
        <v>209</v>
      </c>
      <c r="C22" s="84" t="s">
        <v>200</v>
      </c>
      <c r="D22" s="205" t="s">
        <v>138</v>
      </c>
      <c r="E22" s="84"/>
      <c r="F22" s="84"/>
      <c r="G22" s="84" t="s">
        <v>201</v>
      </c>
      <c r="H22" s="82" t="s">
        <v>210</v>
      </c>
    </row>
    <row r="23" spans="2:8" x14ac:dyDescent="0.25">
      <c r="B23" s="199"/>
      <c r="C23" s="84"/>
      <c r="D23" s="205"/>
      <c r="E23" s="84"/>
      <c r="F23" s="84"/>
      <c r="G23" s="84"/>
      <c r="H23" s="82"/>
    </row>
    <row r="24" spans="2:8" x14ac:dyDescent="0.25">
      <c r="B24" s="199"/>
      <c r="C24" s="84" t="s">
        <v>203</v>
      </c>
      <c r="D24" s="205"/>
      <c r="E24" s="84">
        <v>1000</v>
      </c>
      <c r="F24" s="84">
        <v>1048</v>
      </c>
      <c r="G24" s="84" t="s">
        <v>201</v>
      </c>
      <c r="H24" s="82" t="s">
        <v>211</v>
      </c>
    </row>
    <row r="25" spans="2:8" x14ac:dyDescent="0.25">
      <c r="B25" s="199"/>
      <c r="C25" s="84"/>
      <c r="D25" s="205"/>
      <c r="E25" s="84"/>
      <c r="F25" s="84"/>
      <c r="G25" s="84"/>
      <c r="H25" s="82"/>
    </row>
    <row r="26" spans="2:8" x14ac:dyDescent="0.25">
      <c r="B26" s="199"/>
      <c r="C26" s="84" t="s">
        <v>205</v>
      </c>
      <c r="D26" s="205"/>
      <c r="E26" s="84">
        <v>1000</v>
      </c>
      <c r="F26" s="84">
        <v>1075</v>
      </c>
      <c r="G26" s="84" t="s">
        <v>201</v>
      </c>
      <c r="H26" s="82" t="s">
        <v>211</v>
      </c>
    </row>
    <row r="27" spans="2:8" x14ac:dyDescent="0.25">
      <c r="B27" s="199"/>
      <c r="C27" s="84"/>
      <c r="D27" s="205"/>
      <c r="E27" s="84"/>
      <c r="F27" s="84"/>
      <c r="G27" s="84"/>
      <c r="H27" s="82"/>
    </row>
    <row r="28" spans="2:8" x14ac:dyDescent="0.25">
      <c r="B28" s="199"/>
      <c r="C28" s="84" t="s">
        <v>212</v>
      </c>
      <c r="D28" s="205"/>
      <c r="E28" s="84">
        <v>1000</v>
      </c>
      <c r="F28" s="84">
        <v>1058</v>
      </c>
      <c r="G28" s="84" t="s">
        <v>206</v>
      </c>
      <c r="H28" s="82" t="s">
        <v>210</v>
      </c>
    </row>
    <row r="29" spans="2:8" x14ac:dyDescent="0.25">
      <c r="B29" s="199"/>
      <c r="C29" s="84"/>
      <c r="D29" s="205"/>
      <c r="E29" s="84"/>
      <c r="F29" s="84"/>
      <c r="G29" s="84"/>
      <c r="H29" s="82"/>
    </row>
    <row r="30" spans="2:8" x14ac:dyDescent="0.25">
      <c r="B30" s="199"/>
      <c r="C30" s="84" t="s">
        <v>213</v>
      </c>
      <c r="D30" s="205"/>
      <c r="E30" s="84">
        <v>1000</v>
      </c>
      <c r="F30" s="84">
        <v>1048</v>
      </c>
      <c r="G30" s="84" t="s">
        <v>206</v>
      </c>
      <c r="H30" s="82" t="s">
        <v>210</v>
      </c>
    </row>
    <row r="31" spans="2:8" x14ac:dyDescent="0.25">
      <c r="B31" s="200"/>
      <c r="C31" s="85"/>
      <c r="D31" s="206"/>
      <c r="E31" s="85"/>
      <c r="F31" s="85"/>
      <c r="G31" s="85"/>
      <c r="H31" s="83"/>
    </row>
    <row r="33" spans="2:8" ht="14.4" thickBot="1" x14ac:dyDescent="0.3">
      <c r="B33" s="53" t="s">
        <v>194</v>
      </c>
      <c r="C33" s="54" t="s">
        <v>195</v>
      </c>
      <c r="D33" s="54" t="s">
        <v>98</v>
      </c>
      <c r="E33" s="54" t="s">
        <v>196</v>
      </c>
      <c r="F33" s="54" t="s">
        <v>197</v>
      </c>
      <c r="G33" s="54" t="s">
        <v>198</v>
      </c>
      <c r="H33" s="53" t="s">
        <v>7</v>
      </c>
    </row>
    <row r="34" spans="2:8" ht="27.6" x14ac:dyDescent="0.25">
      <c r="B34" s="201" t="s">
        <v>214</v>
      </c>
      <c r="C34" s="86" t="s">
        <v>200</v>
      </c>
      <c r="D34" s="204" t="s">
        <v>215</v>
      </c>
      <c r="E34" s="86"/>
      <c r="F34" s="86"/>
      <c r="G34" s="86" t="s">
        <v>201</v>
      </c>
      <c r="H34" s="89" t="s">
        <v>216</v>
      </c>
    </row>
    <row r="35" spans="2:8" ht="25.2" customHeight="1" x14ac:dyDescent="0.25">
      <c r="B35" s="202"/>
      <c r="C35" s="84"/>
      <c r="D35" s="205"/>
      <c r="E35" s="84"/>
      <c r="F35" s="84"/>
      <c r="G35" s="84"/>
      <c r="H35" s="90"/>
    </row>
    <row r="36" spans="2:8" ht="25.2" customHeight="1" x14ac:dyDescent="0.25">
      <c r="B36" s="202"/>
      <c r="C36" s="84" t="s">
        <v>203</v>
      </c>
      <c r="D36" s="205"/>
      <c r="E36" s="84"/>
      <c r="F36" s="84"/>
      <c r="G36" s="84" t="s">
        <v>206</v>
      </c>
      <c r="H36" s="90" t="s">
        <v>217</v>
      </c>
    </row>
    <row r="37" spans="2:8" ht="25.2" customHeight="1" x14ac:dyDescent="0.25">
      <c r="B37" s="202"/>
      <c r="C37" s="84"/>
      <c r="D37" s="205"/>
      <c r="E37" s="84"/>
      <c r="F37" s="84"/>
      <c r="G37" s="84"/>
      <c r="H37" s="90"/>
    </row>
    <row r="38" spans="2:8" ht="25.2" customHeight="1" x14ac:dyDescent="0.25">
      <c r="B38" s="202"/>
      <c r="C38" s="84" t="s">
        <v>205</v>
      </c>
      <c r="D38" s="205"/>
      <c r="E38" s="84"/>
      <c r="F38" s="84"/>
      <c r="G38" s="84" t="s">
        <v>201</v>
      </c>
      <c r="H38" s="90" t="s">
        <v>218</v>
      </c>
    </row>
    <row r="39" spans="2:8" ht="25.2" customHeight="1" x14ac:dyDescent="0.25">
      <c r="B39" s="202"/>
      <c r="C39" s="84"/>
      <c r="D39" s="205"/>
      <c r="E39" s="84"/>
      <c r="F39" s="84"/>
      <c r="G39" s="84"/>
      <c r="H39" s="90"/>
    </row>
    <row r="40" spans="2:8" ht="25.2" customHeight="1" x14ac:dyDescent="0.25">
      <c r="B40" s="202"/>
      <c r="C40" s="84" t="s">
        <v>212</v>
      </c>
      <c r="D40" s="205"/>
      <c r="E40" s="84"/>
      <c r="F40" s="84"/>
      <c r="G40" s="84" t="s">
        <v>201</v>
      </c>
      <c r="H40" s="90" t="s">
        <v>218</v>
      </c>
    </row>
    <row r="41" spans="2:8" ht="25.2" customHeight="1" x14ac:dyDescent="0.25">
      <c r="B41" s="202"/>
      <c r="C41" s="84"/>
      <c r="D41" s="205"/>
      <c r="E41" s="84"/>
      <c r="F41" s="84"/>
      <c r="G41" s="84" t="s">
        <v>201</v>
      </c>
      <c r="H41" s="90"/>
    </row>
    <row r="42" spans="2:8" ht="25.2" customHeight="1" x14ac:dyDescent="0.25">
      <c r="B42" s="202"/>
      <c r="C42" s="84" t="s">
        <v>213</v>
      </c>
      <c r="D42" s="205"/>
      <c r="E42" s="84"/>
      <c r="F42" s="84"/>
      <c r="G42" s="84" t="s">
        <v>201</v>
      </c>
      <c r="H42" s="90" t="s">
        <v>219</v>
      </c>
    </row>
    <row r="43" spans="2:8" ht="25.2" customHeight="1" x14ac:dyDescent="0.25">
      <c r="B43" s="202"/>
      <c r="C43" s="84"/>
      <c r="D43" s="205"/>
      <c r="E43" s="84"/>
      <c r="F43" s="84"/>
      <c r="G43" s="84" t="s">
        <v>201</v>
      </c>
      <c r="H43" s="90"/>
    </row>
    <row r="44" spans="2:8" ht="25.2" customHeight="1" x14ac:dyDescent="0.25">
      <c r="B44" s="202"/>
      <c r="C44" s="84" t="s">
        <v>220</v>
      </c>
      <c r="D44" s="205"/>
      <c r="E44" s="84"/>
      <c r="F44" s="84"/>
      <c r="G44" s="84" t="s">
        <v>201</v>
      </c>
      <c r="H44" s="90" t="s">
        <v>221</v>
      </c>
    </row>
    <row r="45" spans="2:8" ht="25.2" customHeight="1" x14ac:dyDescent="0.25">
      <c r="B45" s="202"/>
      <c r="C45" s="84"/>
      <c r="D45" s="205"/>
      <c r="E45" s="84"/>
      <c r="F45" s="84"/>
      <c r="G45" s="84" t="s">
        <v>201</v>
      </c>
      <c r="H45" s="90"/>
    </row>
    <row r="46" spans="2:8" ht="25.2" customHeight="1" x14ac:dyDescent="0.25">
      <c r="B46" s="202"/>
      <c r="C46" s="84" t="s">
        <v>222</v>
      </c>
      <c r="D46" s="205"/>
      <c r="E46" s="84"/>
      <c r="F46" s="84"/>
      <c r="G46" s="84" t="s">
        <v>201</v>
      </c>
      <c r="H46" s="90" t="s">
        <v>223</v>
      </c>
    </row>
    <row r="47" spans="2:8" ht="25.2" customHeight="1" x14ac:dyDescent="0.25">
      <c r="B47" s="202"/>
      <c r="C47" s="84"/>
      <c r="D47" s="205"/>
      <c r="E47" s="84"/>
      <c r="F47" s="84"/>
      <c r="G47" s="84" t="s">
        <v>201</v>
      </c>
      <c r="H47" s="90"/>
    </row>
    <row r="48" spans="2:8" ht="25.2" customHeight="1" x14ac:dyDescent="0.25">
      <c r="B48" s="202"/>
      <c r="C48" s="84" t="s">
        <v>224</v>
      </c>
      <c r="D48" s="205"/>
      <c r="E48" s="84"/>
      <c r="F48" s="84"/>
      <c r="G48" s="84" t="s">
        <v>201</v>
      </c>
      <c r="H48" s="90" t="s">
        <v>225</v>
      </c>
    </row>
    <row r="49" spans="2:19" ht="25.2" customHeight="1" x14ac:dyDescent="0.25">
      <c r="B49" s="202"/>
      <c r="C49" s="84"/>
      <c r="D49" s="205"/>
      <c r="E49" s="84"/>
      <c r="F49" s="84"/>
      <c r="G49" s="84" t="s">
        <v>201</v>
      </c>
      <c r="H49" s="90"/>
    </row>
    <row r="50" spans="2:19" ht="25.2" customHeight="1" x14ac:dyDescent="0.25">
      <c r="B50" s="202"/>
      <c r="C50" s="84" t="s">
        <v>226</v>
      </c>
      <c r="D50" s="205"/>
      <c r="E50" s="84"/>
      <c r="F50" s="84"/>
      <c r="G50" s="84" t="s">
        <v>201</v>
      </c>
      <c r="H50" s="90" t="s">
        <v>227</v>
      </c>
    </row>
    <row r="51" spans="2:19" ht="25.2" customHeight="1" x14ac:dyDescent="0.25">
      <c r="B51" s="202"/>
      <c r="C51" s="84"/>
      <c r="D51" s="205"/>
      <c r="E51" s="84"/>
      <c r="F51" s="84"/>
      <c r="G51" s="84" t="s">
        <v>201</v>
      </c>
      <c r="H51" s="90"/>
    </row>
    <row r="52" spans="2:19" ht="25.2" customHeight="1" x14ac:dyDescent="0.25">
      <c r="B52" s="202"/>
      <c r="C52" s="84" t="s">
        <v>228</v>
      </c>
      <c r="D52" s="205"/>
      <c r="E52" s="84"/>
      <c r="F52" s="84"/>
      <c r="G52" s="84" t="s">
        <v>201</v>
      </c>
      <c r="H52" s="90" t="s">
        <v>229</v>
      </c>
    </row>
    <row r="53" spans="2:19" ht="25.2" customHeight="1" x14ac:dyDescent="0.25">
      <c r="B53" s="202"/>
      <c r="C53" s="84"/>
      <c r="D53" s="205"/>
      <c r="E53" s="84"/>
      <c r="F53" s="84"/>
      <c r="G53" s="84" t="s">
        <v>201</v>
      </c>
      <c r="H53" s="90"/>
    </row>
    <row r="54" spans="2:19" ht="25.2" customHeight="1" x14ac:dyDescent="0.25">
      <c r="B54" s="203"/>
      <c r="C54" s="85" t="s">
        <v>230</v>
      </c>
      <c r="D54" s="206"/>
      <c r="E54" s="85">
        <v>229</v>
      </c>
      <c r="F54" s="85">
        <v>215</v>
      </c>
      <c r="G54" s="85" t="s">
        <v>206</v>
      </c>
      <c r="H54" s="91" t="s">
        <v>231</v>
      </c>
    </row>
    <row r="56" spans="2:19" ht="14.4" thickBot="1" x14ac:dyDescent="0.3">
      <c r="B56" s="53" t="s">
        <v>194</v>
      </c>
      <c r="C56" s="54" t="s">
        <v>195</v>
      </c>
      <c r="D56" s="54" t="s">
        <v>98</v>
      </c>
      <c r="E56" s="54" t="s">
        <v>196</v>
      </c>
      <c r="F56" s="54" t="s">
        <v>197</v>
      </c>
      <c r="G56" s="54" t="s">
        <v>198</v>
      </c>
      <c r="H56" s="53" t="s">
        <v>7</v>
      </c>
    </row>
    <row r="57" spans="2:19" x14ac:dyDescent="0.25">
      <c r="B57" s="201" t="s">
        <v>234</v>
      </c>
      <c r="C57" s="86" t="s">
        <v>200</v>
      </c>
      <c r="D57" s="204" t="s">
        <v>138</v>
      </c>
      <c r="E57" s="87"/>
      <c r="F57" s="87"/>
      <c r="G57" s="86" t="s">
        <v>201</v>
      </c>
      <c r="H57" s="89" t="s">
        <v>235</v>
      </c>
    </row>
    <row r="58" spans="2:19" x14ac:dyDescent="0.25">
      <c r="B58" s="202"/>
      <c r="C58" s="84"/>
      <c r="D58" s="205"/>
      <c r="E58" s="88"/>
      <c r="F58" s="88"/>
      <c r="G58" s="84"/>
      <c r="H58" s="90"/>
    </row>
    <row r="59" spans="2:19" x14ac:dyDescent="0.25">
      <c r="B59" s="202"/>
      <c r="C59" s="84" t="s">
        <v>203</v>
      </c>
      <c r="D59" s="205"/>
      <c r="E59" s="88"/>
      <c r="F59" s="88"/>
      <c r="G59" s="84" t="s">
        <v>201</v>
      </c>
      <c r="H59" s="90" t="s">
        <v>235</v>
      </c>
    </row>
    <row r="60" spans="2:19" x14ac:dyDescent="0.25">
      <c r="B60" s="202"/>
      <c r="C60" s="84"/>
      <c r="D60" s="205"/>
      <c r="E60" s="88"/>
      <c r="F60" s="88"/>
      <c r="G60" s="84"/>
      <c r="H60" s="90"/>
    </row>
    <row r="61" spans="2:19" x14ac:dyDescent="0.25">
      <c r="B61" s="202"/>
      <c r="C61" s="84" t="s">
        <v>205</v>
      </c>
      <c r="D61" s="205"/>
      <c r="E61" s="88"/>
      <c r="F61" s="88"/>
      <c r="G61" s="84" t="s">
        <v>201</v>
      </c>
      <c r="H61" s="90" t="s">
        <v>236</v>
      </c>
      <c r="M61" s="17"/>
      <c r="N61" s="51"/>
      <c r="O61" s="17"/>
      <c r="S61" s="52"/>
    </row>
    <row r="62" spans="2:19" x14ac:dyDescent="0.25">
      <c r="B62" s="202"/>
      <c r="C62" s="84"/>
      <c r="D62" s="205"/>
      <c r="E62" s="88"/>
      <c r="F62" s="88"/>
      <c r="G62" s="84"/>
      <c r="H62" s="90"/>
      <c r="M62" s="17"/>
      <c r="N62" s="51"/>
      <c r="O62" s="17"/>
      <c r="S62" s="52"/>
    </row>
    <row r="63" spans="2:19" x14ac:dyDescent="0.25">
      <c r="B63" s="202"/>
      <c r="C63" s="84" t="s">
        <v>212</v>
      </c>
      <c r="D63" s="205"/>
      <c r="E63" s="88"/>
      <c r="F63" s="88"/>
      <c r="G63" s="84" t="s">
        <v>201</v>
      </c>
      <c r="H63" s="90" t="s">
        <v>237</v>
      </c>
      <c r="M63" s="17"/>
      <c r="N63" s="51"/>
      <c r="O63" s="17"/>
      <c r="S63" s="52"/>
    </row>
    <row r="64" spans="2:19" x14ac:dyDescent="0.25">
      <c r="B64" s="202"/>
      <c r="C64" s="84"/>
      <c r="D64" s="205"/>
      <c r="E64" s="88"/>
      <c r="F64" s="88"/>
      <c r="G64" s="84"/>
      <c r="H64" s="90"/>
      <c r="M64" s="17"/>
      <c r="N64" s="51"/>
      <c r="O64" s="17"/>
      <c r="S64" s="52"/>
    </row>
    <row r="65" spans="2:19" x14ac:dyDescent="0.25">
      <c r="B65" s="202"/>
      <c r="C65" s="84" t="s">
        <v>213</v>
      </c>
      <c r="D65" s="205"/>
      <c r="E65" s="88"/>
      <c r="F65" s="88"/>
      <c r="G65" s="84" t="s">
        <v>201</v>
      </c>
      <c r="H65" s="90" t="s">
        <v>238</v>
      </c>
      <c r="M65" s="17"/>
      <c r="N65" s="51"/>
      <c r="O65" s="17"/>
      <c r="S65" s="52"/>
    </row>
    <row r="66" spans="2:19" x14ac:dyDescent="0.25">
      <c r="B66" s="202"/>
      <c r="C66" s="84"/>
      <c r="D66" s="205"/>
      <c r="E66" s="88"/>
      <c r="F66" s="88"/>
      <c r="G66" s="84"/>
      <c r="H66" s="90"/>
      <c r="M66" s="17"/>
      <c r="N66" s="51"/>
      <c r="O66" s="17"/>
      <c r="S66" s="52"/>
    </row>
    <row r="67" spans="2:19" x14ac:dyDescent="0.25">
      <c r="B67" s="202"/>
      <c r="C67" s="84" t="s">
        <v>239</v>
      </c>
      <c r="D67" s="205"/>
      <c r="E67" s="88"/>
      <c r="F67" s="88"/>
      <c r="G67" s="84" t="s">
        <v>201</v>
      </c>
      <c r="H67" s="90" t="s">
        <v>240</v>
      </c>
      <c r="M67" s="17"/>
      <c r="N67" s="51"/>
      <c r="O67" s="17"/>
      <c r="S67" s="52"/>
    </row>
    <row r="68" spans="2:19" x14ac:dyDescent="0.25">
      <c r="B68" s="202"/>
      <c r="C68" s="84"/>
      <c r="D68" s="205"/>
      <c r="E68" s="88"/>
      <c r="F68" s="88"/>
      <c r="G68" s="84"/>
      <c r="H68" s="90"/>
      <c r="M68" s="17"/>
      <c r="N68" s="51"/>
      <c r="O68" s="17"/>
      <c r="S68" s="52"/>
    </row>
    <row r="69" spans="2:19" x14ac:dyDescent="0.25">
      <c r="B69" s="202"/>
      <c r="C69" s="84" t="s">
        <v>241</v>
      </c>
      <c r="D69" s="205"/>
      <c r="E69" s="88"/>
      <c r="F69" s="88"/>
      <c r="G69" s="84" t="s">
        <v>201</v>
      </c>
      <c r="H69" s="90" t="s">
        <v>240</v>
      </c>
      <c r="M69" s="17"/>
      <c r="N69" s="51"/>
      <c r="O69" s="17"/>
      <c r="S69" s="52"/>
    </row>
    <row r="70" spans="2:19" x14ac:dyDescent="0.25">
      <c r="B70" s="202"/>
      <c r="C70" s="84"/>
      <c r="D70" s="205"/>
      <c r="E70" s="88"/>
      <c r="F70" s="88"/>
      <c r="G70" s="84"/>
      <c r="H70" s="90"/>
      <c r="M70" s="17"/>
      <c r="N70" s="51"/>
      <c r="O70" s="17"/>
      <c r="S70" s="52"/>
    </row>
    <row r="71" spans="2:19" x14ac:dyDescent="0.25">
      <c r="B71" s="202"/>
      <c r="C71" s="84" t="s">
        <v>220</v>
      </c>
      <c r="D71" s="205"/>
      <c r="E71" s="88"/>
      <c r="F71" s="88"/>
      <c r="G71" s="84" t="s">
        <v>201</v>
      </c>
      <c r="H71" s="90" t="s">
        <v>240</v>
      </c>
      <c r="M71" s="17"/>
      <c r="N71" s="51"/>
      <c r="O71" s="17"/>
      <c r="S71" s="52"/>
    </row>
    <row r="72" spans="2:19" x14ac:dyDescent="0.25">
      <c r="B72" s="202"/>
      <c r="C72" s="84"/>
      <c r="D72" s="205"/>
      <c r="E72" s="88"/>
      <c r="F72" s="88"/>
      <c r="G72" s="84"/>
      <c r="H72" s="90"/>
      <c r="M72" s="17"/>
      <c r="N72" s="51"/>
      <c r="O72" s="17"/>
      <c r="S72" s="52"/>
    </row>
    <row r="73" spans="2:19" x14ac:dyDescent="0.25">
      <c r="B73" s="202"/>
      <c r="C73" s="84" t="s">
        <v>222</v>
      </c>
      <c r="D73" s="205"/>
      <c r="E73" s="88"/>
      <c r="F73" s="88"/>
      <c r="G73" s="84" t="s">
        <v>201</v>
      </c>
      <c r="H73" s="90" t="s">
        <v>242</v>
      </c>
      <c r="M73" s="17"/>
      <c r="N73" s="51"/>
      <c r="O73" s="17"/>
      <c r="S73" s="52"/>
    </row>
    <row r="74" spans="2:19" x14ac:dyDescent="0.25">
      <c r="B74" s="202"/>
      <c r="C74" s="84"/>
      <c r="D74" s="205"/>
      <c r="E74" s="88"/>
      <c r="F74" s="88"/>
      <c r="G74" s="84"/>
      <c r="H74" s="90"/>
      <c r="M74" s="17"/>
      <c r="N74" s="51"/>
      <c r="O74" s="17"/>
      <c r="S74" s="52"/>
    </row>
    <row r="75" spans="2:19" x14ac:dyDescent="0.25">
      <c r="B75" s="202"/>
      <c r="C75" s="84" t="s">
        <v>224</v>
      </c>
      <c r="D75" s="205"/>
      <c r="E75" s="88"/>
      <c r="F75" s="88"/>
      <c r="G75" s="84" t="s">
        <v>206</v>
      </c>
      <c r="H75" s="90" t="s">
        <v>210</v>
      </c>
      <c r="M75" s="17"/>
      <c r="N75" s="51"/>
      <c r="O75" s="17"/>
      <c r="S75" s="52"/>
    </row>
    <row r="76" spans="2:19" x14ac:dyDescent="0.25">
      <c r="B76" s="202"/>
      <c r="C76" s="84"/>
      <c r="D76" s="205"/>
      <c r="E76" s="88"/>
      <c r="F76" s="88"/>
      <c r="G76" s="84"/>
      <c r="H76" s="90"/>
      <c r="M76" s="17"/>
      <c r="N76" s="51"/>
      <c r="O76" s="17"/>
      <c r="S76" s="52"/>
    </row>
    <row r="77" spans="2:19" x14ac:dyDescent="0.25">
      <c r="B77" s="202"/>
      <c r="C77" s="84" t="s">
        <v>226</v>
      </c>
      <c r="D77" s="205"/>
      <c r="E77" s="88"/>
      <c r="F77" s="88"/>
      <c r="G77" s="84" t="s">
        <v>201</v>
      </c>
      <c r="H77" s="90" t="s">
        <v>243</v>
      </c>
      <c r="M77" s="17"/>
      <c r="N77" s="51"/>
      <c r="O77" s="17"/>
      <c r="S77" s="52"/>
    </row>
    <row r="78" spans="2:19" x14ac:dyDescent="0.25">
      <c r="B78" s="203"/>
      <c r="C78" s="85"/>
      <c r="D78" s="206"/>
      <c r="E78" s="85"/>
      <c r="F78" s="85"/>
      <c r="G78" s="85"/>
      <c r="H78" s="91"/>
    </row>
    <row r="82" spans="2:8" x14ac:dyDescent="0.25">
      <c r="B82" s="246" t="s">
        <v>232</v>
      </c>
      <c r="C82" s="247"/>
      <c r="D82" s="247"/>
      <c r="E82" s="247"/>
      <c r="F82" s="247"/>
      <c r="G82" s="247"/>
      <c r="H82" s="248"/>
    </row>
    <row r="83" spans="2:8" x14ac:dyDescent="0.25">
      <c r="B83" s="246"/>
      <c r="C83" s="249" t="s">
        <v>233</v>
      </c>
      <c r="D83" s="249"/>
      <c r="E83" s="249"/>
      <c r="F83" s="249"/>
      <c r="G83" s="249"/>
      <c r="H83" s="249"/>
    </row>
  </sheetData>
  <mergeCells count="12">
    <mergeCell ref="C2:G3"/>
    <mergeCell ref="C16:H16"/>
    <mergeCell ref="C17:H17"/>
    <mergeCell ref="C83:H83"/>
    <mergeCell ref="B22:B31"/>
    <mergeCell ref="B7:B12"/>
    <mergeCell ref="B34:B54"/>
    <mergeCell ref="B57:B78"/>
    <mergeCell ref="D57:D78"/>
    <mergeCell ref="D34:D54"/>
    <mergeCell ref="D22:D31"/>
    <mergeCell ref="D7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DD95-4FA0-47AC-9E3E-CCE0A12B0A82}">
  <dimension ref="B3:CW95"/>
  <sheetViews>
    <sheetView topLeftCell="AC1" zoomScale="30" workbookViewId="0">
      <selection activeCell="F104" sqref="F104"/>
    </sheetView>
  </sheetViews>
  <sheetFormatPr defaultRowHeight="13.8" x14ac:dyDescent="0.25"/>
  <cols>
    <col min="2" max="2" width="21.296875" style="13" customWidth="1"/>
    <col min="3" max="3" width="14.296875" customWidth="1"/>
  </cols>
  <sheetData>
    <row r="3" spans="2:79" ht="19.2" customHeight="1" x14ac:dyDescent="0.25">
      <c r="AI3" s="213" t="s">
        <v>79</v>
      </c>
      <c r="AJ3" s="213"/>
      <c r="AK3" s="213"/>
      <c r="AL3" s="213"/>
      <c r="AM3" s="213"/>
      <c r="AN3" s="213"/>
      <c r="AO3" s="213"/>
      <c r="AP3" s="213"/>
    </row>
    <row r="4" spans="2:79" ht="13.8" customHeight="1" x14ac:dyDescent="0.25">
      <c r="AI4" s="213"/>
      <c r="AJ4" s="213"/>
      <c r="AK4" s="213"/>
      <c r="AL4" s="213"/>
      <c r="AM4" s="213"/>
      <c r="AN4" s="213"/>
      <c r="AO4" s="213"/>
      <c r="AP4" s="213"/>
    </row>
    <row r="5" spans="2:79" ht="13.8" customHeight="1" x14ac:dyDescent="0.25">
      <c r="AI5" s="213"/>
      <c r="AJ5" s="213"/>
      <c r="AK5" s="213"/>
      <c r="AL5" s="213"/>
      <c r="AM5" s="213"/>
      <c r="AN5" s="213"/>
      <c r="AO5" s="213"/>
      <c r="AP5" s="213"/>
    </row>
    <row r="6" spans="2:79" ht="14.4" customHeight="1" thickBot="1" x14ac:dyDescent="0.3">
      <c r="AI6" s="214"/>
      <c r="AJ6" s="214"/>
      <c r="AK6" s="214"/>
      <c r="AL6" s="214"/>
      <c r="AM6" s="214"/>
      <c r="AN6" s="214"/>
      <c r="AO6" s="214"/>
      <c r="AP6" s="214"/>
    </row>
    <row r="7" spans="2:79" ht="13.8" customHeight="1" x14ac:dyDescent="0.25"/>
    <row r="8" spans="2:79" ht="14.4" customHeight="1" thickBot="1" x14ac:dyDescent="0.3">
      <c r="AK8" s="209" t="s">
        <v>245</v>
      </c>
      <c r="AL8" s="209"/>
      <c r="AM8" s="209"/>
      <c r="AN8" s="209"/>
    </row>
    <row r="9" spans="2:79" ht="14.4" thickBot="1" x14ac:dyDescent="0.3">
      <c r="Q9" s="222" t="s">
        <v>244</v>
      </c>
      <c r="R9" s="222"/>
      <c r="S9" s="222"/>
      <c r="AK9" s="209"/>
      <c r="AL9" s="209"/>
      <c r="AM9" s="209"/>
      <c r="AN9" s="209"/>
    </row>
    <row r="10" spans="2:79" ht="14.4" thickBot="1" x14ac:dyDescent="0.3">
      <c r="Q10" s="223"/>
      <c r="R10" s="223"/>
      <c r="S10" s="223"/>
      <c r="BG10" s="222" t="s">
        <v>78</v>
      </c>
      <c r="BH10" s="222"/>
      <c r="BI10" s="222"/>
    </row>
    <row r="11" spans="2:79" ht="14.4" thickBot="1" x14ac:dyDescent="0.3">
      <c r="BG11" s="223"/>
      <c r="BH11" s="223"/>
      <c r="BI11" s="223"/>
    </row>
    <row r="12" spans="2:79" ht="18" thickBot="1" x14ac:dyDescent="0.3">
      <c r="B12" s="211" t="s">
        <v>174</v>
      </c>
      <c r="C12" s="211" t="s">
        <v>175</v>
      </c>
      <c r="D12" s="211"/>
      <c r="E12" s="211" t="s">
        <v>176</v>
      </c>
      <c r="F12" s="211"/>
      <c r="G12" s="211" t="s">
        <v>91</v>
      </c>
      <c r="H12" s="211"/>
      <c r="I12" s="211" t="s">
        <v>50</v>
      </c>
      <c r="J12" s="211"/>
      <c r="K12" s="211" t="s">
        <v>177</v>
      </c>
      <c r="L12" s="211"/>
      <c r="M12" s="211" t="s">
        <v>34</v>
      </c>
      <c r="N12" s="211"/>
      <c r="O12" s="211" t="s">
        <v>178</v>
      </c>
      <c r="P12" s="211"/>
      <c r="Q12" s="211" t="s">
        <v>179</v>
      </c>
      <c r="R12" s="211"/>
      <c r="S12" s="211" t="s">
        <v>180</v>
      </c>
      <c r="T12" s="211"/>
      <c r="U12" s="211" t="s">
        <v>181</v>
      </c>
      <c r="V12" s="211"/>
      <c r="W12" s="211" t="s">
        <v>182</v>
      </c>
      <c r="X12" s="211"/>
      <c r="Y12" s="211" t="s">
        <v>183</v>
      </c>
      <c r="Z12" s="211"/>
      <c r="AA12" s="211" t="s">
        <v>184</v>
      </c>
      <c r="AB12" s="211"/>
      <c r="AC12" s="211" t="s">
        <v>185</v>
      </c>
      <c r="AD12" s="211"/>
      <c r="AE12" s="211" t="s">
        <v>186</v>
      </c>
      <c r="AF12" s="211"/>
      <c r="AG12" s="211" t="s">
        <v>187</v>
      </c>
      <c r="AH12" s="211"/>
      <c r="AI12" s="211" t="s">
        <v>188</v>
      </c>
      <c r="AJ12" s="211"/>
    </row>
    <row r="13" spans="2:79" ht="34.799999999999997" x14ac:dyDescent="0.25">
      <c r="B13" s="211"/>
      <c r="C13" s="28" t="s">
        <v>71</v>
      </c>
      <c r="D13" s="28" t="s">
        <v>72</v>
      </c>
      <c r="E13" s="28" t="s">
        <v>71</v>
      </c>
      <c r="F13" s="28" t="s">
        <v>72</v>
      </c>
      <c r="G13" s="28" t="s">
        <v>71</v>
      </c>
      <c r="H13" s="28" t="s">
        <v>72</v>
      </c>
      <c r="I13" s="28" t="s">
        <v>71</v>
      </c>
      <c r="J13" s="28" t="s">
        <v>72</v>
      </c>
      <c r="K13" s="28" t="s">
        <v>71</v>
      </c>
      <c r="L13" s="28" t="s">
        <v>72</v>
      </c>
      <c r="M13" s="28" t="s">
        <v>71</v>
      </c>
      <c r="N13" s="28" t="s">
        <v>72</v>
      </c>
      <c r="O13" s="28" t="s">
        <v>71</v>
      </c>
      <c r="P13" s="28" t="s">
        <v>72</v>
      </c>
      <c r="Q13" s="28" t="s">
        <v>71</v>
      </c>
      <c r="R13" s="28" t="s">
        <v>72</v>
      </c>
      <c r="S13" s="28" t="s">
        <v>71</v>
      </c>
      <c r="T13" s="28" t="s">
        <v>72</v>
      </c>
      <c r="U13" s="28" t="s">
        <v>71</v>
      </c>
      <c r="V13" s="28" t="s">
        <v>72</v>
      </c>
      <c r="W13" s="28" t="s">
        <v>71</v>
      </c>
      <c r="X13" s="28" t="s">
        <v>72</v>
      </c>
      <c r="Y13" s="28" t="s">
        <v>71</v>
      </c>
      <c r="Z13" s="28" t="s">
        <v>72</v>
      </c>
      <c r="AA13" s="28" t="s">
        <v>71</v>
      </c>
      <c r="AB13" s="28" t="s">
        <v>72</v>
      </c>
      <c r="AC13" s="28" t="s">
        <v>71</v>
      </c>
      <c r="AD13" s="28" t="s">
        <v>72</v>
      </c>
      <c r="AE13" s="28" t="s">
        <v>71</v>
      </c>
      <c r="AF13" s="28" t="s">
        <v>72</v>
      </c>
      <c r="AG13" s="28" t="s">
        <v>71</v>
      </c>
      <c r="AH13" s="28" t="s">
        <v>72</v>
      </c>
      <c r="AI13" s="28" t="s">
        <v>71</v>
      </c>
      <c r="AJ13" s="28" t="s">
        <v>72</v>
      </c>
      <c r="AN13" s="232" t="s">
        <v>149</v>
      </c>
      <c r="AO13" s="233"/>
      <c r="AP13" s="231" t="s">
        <v>58</v>
      </c>
      <c r="AQ13" s="220"/>
      <c r="AR13" s="219" t="s">
        <v>150</v>
      </c>
      <c r="AS13" s="220"/>
      <c r="AT13" s="219" t="s">
        <v>151</v>
      </c>
      <c r="AU13" s="220"/>
      <c r="AV13" s="219" t="s">
        <v>152</v>
      </c>
      <c r="AW13" s="220"/>
      <c r="AX13" s="219" t="s">
        <v>153</v>
      </c>
      <c r="AY13" s="220"/>
      <c r="AZ13" s="219" t="s">
        <v>154</v>
      </c>
      <c r="BA13" s="220"/>
      <c r="BB13" s="219" t="s">
        <v>155</v>
      </c>
      <c r="BC13" s="220"/>
      <c r="BD13" s="219" t="s">
        <v>156</v>
      </c>
      <c r="BE13" s="220"/>
      <c r="BF13" s="219" t="s">
        <v>157</v>
      </c>
      <c r="BG13" s="220"/>
      <c r="BH13" s="219" t="s">
        <v>158</v>
      </c>
      <c r="BI13" s="220"/>
      <c r="BJ13" s="219" t="s">
        <v>61</v>
      </c>
      <c r="BK13" s="221"/>
      <c r="BL13" s="231" t="s">
        <v>159</v>
      </c>
      <c r="BM13" s="220"/>
      <c r="BN13" s="219" t="s">
        <v>160</v>
      </c>
      <c r="BO13" s="220"/>
      <c r="BP13" s="219" t="s">
        <v>161</v>
      </c>
      <c r="BQ13" s="220"/>
      <c r="BR13" s="219" t="s">
        <v>162</v>
      </c>
      <c r="BS13" s="220"/>
      <c r="BT13" s="219" t="s">
        <v>163</v>
      </c>
      <c r="BU13" s="220"/>
      <c r="BV13" s="219" t="s">
        <v>164</v>
      </c>
      <c r="BW13" s="220"/>
      <c r="BX13" s="219" t="s">
        <v>165</v>
      </c>
      <c r="BY13" s="220"/>
      <c r="BZ13" s="219" t="s">
        <v>166</v>
      </c>
      <c r="CA13" s="221"/>
    </row>
    <row r="14" spans="2:79" ht="34.200000000000003" thickBot="1" x14ac:dyDescent="0.3">
      <c r="B14" s="74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1"/>
      <c r="AN14" s="234"/>
      <c r="AO14" s="235"/>
      <c r="AP14" s="55" t="s">
        <v>71</v>
      </c>
      <c r="AQ14" s="56" t="s">
        <v>167</v>
      </c>
      <c r="AR14" s="56" t="s">
        <v>71</v>
      </c>
      <c r="AS14" s="56" t="s">
        <v>167</v>
      </c>
      <c r="AT14" s="56" t="s">
        <v>71</v>
      </c>
      <c r="AU14" s="56" t="s">
        <v>167</v>
      </c>
      <c r="AV14" s="56" t="s">
        <v>71</v>
      </c>
      <c r="AW14" s="56" t="s">
        <v>167</v>
      </c>
      <c r="AX14" s="56" t="s">
        <v>71</v>
      </c>
      <c r="AY14" s="56" t="s">
        <v>167</v>
      </c>
      <c r="AZ14" s="56" t="s">
        <v>71</v>
      </c>
      <c r="BA14" s="56" t="s">
        <v>167</v>
      </c>
      <c r="BB14" s="56" t="s">
        <v>71</v>
      </c>
      <c r="BC14" s="56" t="s">
        <v>167</v>
      </c>
      <c r="BD14" s="56" t="s">
        <v>71</v>
      </c>
      <c r="BE14" s="56" t="s">
        <v>167</v>
      </c>
      <c r="BF14" s="56" t="s">
        <v>71</v>
      </c>
      <c r="BG14" s="56" t="s">
        <v>167</v>
      </c>
      <c r="BH14" s="56" t="s">
        <v>71</v>
      </c>
      <c r="BI14" s="56" t="s">
        <v>167</v>
      </c>
      <c r="BJ14" s="56" t="s">
        <v>71</v>
      </c>
      <c r="BK14" s="57" t="s">
        <v>167</v>
      </c>
      <c r="BL14" s="55" t="s">
        <v>71</v>
      </c>
      <c r="BM14" s="56" t="s">
        <v>167</v>
      </c>
      <c r="BN14" s="56" t="s">
        <v>71</v>
      </c>
      <c r="BO14" s="56" t="s">
        <v>167</v>
      </c>
      <c r="BP14" s="56" t="s">
        <v>71</v>
      </c>
      <c r="BQ14" s="56" t="s">
        <v>167</v>
      </c>
      <c r="BR14" s="56" t="s">
        <v>71</v>
      </c>
      <c r="BS14" s="56" t="s">
        <v>167</v>
      </c>
      <c r="BT14" s="56" t="s">
        <v>71</v>
      </c>
      <c r="BU14" s="56" t="s">
        <v>167</v>
      </c>
      <c r="BV14" s="56" t="s">
        <v>71</v>
      </c>
      <c r="BW14" s="56" t="s">
        <v>167</v>
      </c>
      <c r="BX14" s="56" t="s">
        <v>71</v>
      </c>
      <c r="BY14" s="56" t="s">
        <v>167</v>
      </c>
      <c r="BZ14" s="56" t="s">
        <v>71</v>
      </c>
      <c r="CA14" s="57" t="s">
        <v>167</v>
      </c>
    </row>
    <row r="15" spans="2:79" ht="16.8" x14ac:dyDescent="0.25">
      <c r="B15" s="75" t="s">
        <v>168</v>
      </c>
      <c r="C15" s="32">
        <v>5178.9102446225015</v>
      </c>
      <c r="D15" s="33">
        <v>4843</v>
      </c>
      <c r="E15" s="33">
        <v>388.55549491446845</v>
      </c>
      <c r="F15" s="33">
        <v>229.8</v>
      </c>
      <c r="G15" s="33">
        <v>143.04696834665751</v>
      </c>
      <c r="H15" s="33">
        <v>195</v>
      </c>
      <c r="I15" s="33">
        <v>13.245145204441867</v>
      </c>
      <c r="J15" s="33">
        <v>18.798999999999996</v>
      </c>
      <c r="K15" s="33">
        <v>194.13542900440734</v>
      </c>
      <c r="L15" s="33">
        <v>184.35000000000002</v>
      </c>
      <c r="M15" s="33">
        <v>1.2788825444656291</v>
      </c>
      <c r="N15" s="33">
        <v>1.2950000000000002</v>
      </c>
      <c r="O15" s="33">
        <v>2251.8946751074473</v>
      </c>
      <c r="P15" s="33">
        <v>2284.4499999999998</v>
      </c>
      <c r="Q15" s="33"/>
      <c r="R15" s="33"/>
      <c r="S15" s="33">
        <v>5.2103055513208561E-2</v>
      </c>
      <c r="T15" s="33">
        <v>9.5000000000000001E-2</v>
      </c>
      <c r="U15" s="33"/>
      <c r="V15" s="33"/>
      <c r="W15" s="33"/>
      <c r="X15" s="33"/>
      <c r="Y15" s="33">
        <v>3.2063418777359121</v>
      </c>
      <c r="Z15" s="33">
        <v>6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4"/>
      <c r="AN15" s="227" t="s">
        <v>168</v>
      </c>
      <c r="AO15" s="228"/>
      <c r="AP15" s="18">
        <v>3580.6390339999998</v>
      </c>
      <c r="AQ15" s="18">
        <v>3804.5</v>
      </c>
      <c r="AR15" s="18">
        <v>527.84921096345511</v>
      </c>
      <c r="AS15" s="18">
        <v>525.5</v>
      </c>
      <c r="AT15" s="18">
        <v>1398.8919067294235</v>
      </c>
      <c r="AU15" s="18">
        <v>1476.4999999999998</v>
      </c>
      <c r="AV15" s="18">
        <v>109.73254402490903</v>
      </c>
      <c r="AW15" s="18">
        <v>113.65</v>
      </c>
      <c r="AX15" s="18">
        <v>10.75182498810106</v>
      </c>
      <c r="AY15" s="18">
        <v>11.3</v>
      </c>
      <c r="AZ15" s="18">
        <v>143.14115652512203</v>
      </c>
      <c r="BA15" s="18">
        <v>151.05000000000001</v>
      </c>
      <c r="BB15" s="18">
        <v>1.009537532245389</v>
      </c>
      <c r="BC15" s="18">
        <v>1.0550000000000002</v>
      </c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>
        <v>1.6864573068047155</v>
      </c>
      <c r="BQ15" s="18">
        <v>2</v>
      </c>
      <c r="BR15" s="18">
        <v>16.720892444217522</v>
      </c>
      <c r="BS15" s="18">
        <v>15.299999999999997</v>
      </c>
      <c r="BT15" s="18"/>
      <c r="BU15" s="18"/>
      <c r="BV15" s="18"/>
      <c r="BW15" s="18"/>
      <c r="BX15" s="18"/>
      <c r="BY15" s="18"/>
      <c r="BZ15" s="18"/>
      <c r="CA15" s="19"/>
    </row>
    <row r="16" spans="2:79" ht="16.8" x14ac:dyDescent="0.25">
      <c r="B16" s="75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/>
      <c r="AN16" s="225"/>
      <c r="AO16" s="226"/>
      <c r="AP16" s="20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2"/>
    </row>
    <row r="17" spans="2:79" ht="16.8" x14ac:dyDescent="0.25">
      <c r="B17" s="75" t="s">
        <v>189</v>
      </c>
      <c r="C17" s="32"/>
      <c r="D17" s="33"/>
      <c r="E17" s="33">
        <v>0</v>
      </c>
      <c r="F17" s="33">
        <v>435</v>
      </c>
      <c r="G17" s="33">
        <v>165.11340420246276</v>
      </c>
      <c r="H17" s="33">
        <v>193.6</v>
      </c>
      <c r="I17" s="33">
        <v>16.511340420246277</v>
      </c>
      <c r="J17" s="33">
        <v>19.360000000000003</v>
      </c>
      <c r="K17" s="33"/>
      <c r="L17" s="33"/>
      <c r="M17" s="33">
        <v>1.6511340420246277</v>
      </c>
      <c r="N17" s="33">
        <v>1.8700000000000008</v>
      </c>
      <c r="O17" s="33">
        <v>2806.927871441867</v>
      </c>
      <c r="P17" s="33">
        <f>2066-435</f>
        <v>1631</v>
      </c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>
        <v>48.241830000000007</v>
      </c>
      <c r="AD17" s="33">
        <v>47.580000000000013</v>
      </c>
      <c r="AE17" s="33">
        <v>6356.8660617948162</v>
      </c>
      <c r="AF17" s="33">
        <v>7198</v>
      </c>
      <c r="AG17" s="33">
        <v>7421.82</v>
      </c>
      <c r="AH17" s="33">
        <v>7264</v>
      </c>
      <c r="AI17" s="33"/>
      <c r="AJ17" s="34"/>
      <c r="AN17" s="227" t="s">
        <v>169</v>
      </c>
      <c r="AO17" s="228"/>
      <c r="AP17" s="20"/>
      <c r="AQ17" s="21"/>
      <c r="AR17" s="21"/>
      <c r="AS17" s="21"/>
      <c r="AT17" s="21">
        <v>2837.3956151116622</v>
      </c>
      <c r="AU17" s="21">
        <v>2775</v>
      </c>
      <c r="AV17" s="21">
        <v>166.90562441833308</v>
      </c>
      <c r="AW17" s="21">
        <v>219.70000000000002</v>
      </c>
      <c r="AX17" s="21">
        <v>16.690562441833308</v>
      </c>
      <c r="AY17" s="21">
        <v>21.965</v>
      </c>
      <c r="AZ17" s="21"/>
      <c r="BA17" s="21"/>
      <c r="BB17" s="21">
        <v>1.6690562441833308</v>
      </c>
      <c r="BC17" s="21">
        <v>1.7300000000000004</v>
      </c>
      <c r="BD17" s="21">
        <v>6425.8665401058233</v>
      </c>
      <c r="BE17" s="21">
        <v>6506.5</v>
      </c>
      <c r="BF17" s="21">
        <v>6820.3454545454542</v>
      </c>
      <c r="BG17" s="21">
        <v>6580</v>
      </c>
      <c r="BH17" s="21">
        <v>45.014279999999999</v>
      </c>
      <c r="BI17" s="21">
        <v>43.160000000000011</v>
      </c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2"/>
    </row>
    <row r="18" spans="2:79" ht="16.8" x14ac:dyDescent="0.25">
      <c r="B18" s="75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4"/>
      <c r="AN18" s="225"/>
      <c r="AO18" s="226"/>
      <c r="AP18" s="20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2"/>
    </row>
    <row r="19" spans="2:79" ht="16.8" x14ac:dyDescent="0.25">
      <c r="B19" s="75" t="s">
        <v>170</v>
      </c>
      <c r="C19" s="32"/>
      <c r="D19" s="33"/>
      <c r="E19" s="33">
        <v>71.307606941491628</v>
      </c>
      <c r="F19" s="33">
        <v>470</v>
      </c>
      <c r="G19" s="33">
        <v>157.22897208495081</v>
      </c>
      <c r="H19" s="33">
        <v>166.53</v>
      </c>
      <c r="I19" s="33">
        <v>15.722897208495082</v>
      </c>
      <c r="J19" s="33">
        <v>16.850000000000001</v>
      </c>
      <c r="K19" s="33"/>
      <c r="L19" s="33"/>
      <c r="M19" s="33">
        <v>1.5722897208495084</v>
      </c>
      <c r="N19" s="33">
        <v>1.6600000000000006</v>
      </c>
      <c r="O19" s="33">
        <v>2511.6830805411892</v>
      </c>
      <c r="P19" s="33">
        <v>1397</v>
      </c>
      <c r="Q19" s="33"/>
      <c r="R19" s="33"/>
      <c r="S19" s="33">
        <v>4.5698872117072851</v>
      </c>
      <c r="T19" s="33">
        <v>19.200000000000003</v>
      </c>
      <c r="U19" s="33"/>
      <c r="V19" s="33"/>
      <c r="W19" s="33">
        <v>8.5569128329789947</v>
      </c>
      <c r="X19" s="33">
        <v>56.400000000000006</v>
      </c>
      <c r="Y19" s="33"/>
      <c r="Z19" s="33"/>
      <c r="AA19" s="33"/>
      <c r="AB19" s="33"/>
      <c r="AC19" s="33">
        <v>45.59113</v>
      </c>
      <c r="AD19" s="33">
        <v>43.940000000000012</v>
      </c>
      <c r="AE19" s="33">
        <v>6053.3154252706063</v>
      </c>
      <c r="AF19" s="33">
        <v>6391</v>
      </c>
      <c r="AG19" s="33">
        <v>7035.0690909090908</v>
      </c>
      <c r="AH19" s="33">
        <v>6960</v>
      </c>
      <c r="AI19" s="33"/>
      <c r="AJ19" s="34"/>
      <c r="AN19" s="227" t="s">
        <v>170</v>
      </c>
      <c r="AO19" s="228"/>
      <c r="AP19" s="20"/>
      <c r="AQ19" s="21"/>
      <c r="AR19" s="21"/>
      <c r="AS19" s="21"/>
      <c r="AT19" s="21">
        <v>2025.5679644048946</v>
      </c>
      <c r="AU19" s="21">
        <v>1989</v>
      </c>
      <c r="AV19" s="21">
        <v>119.15105672969969</v>
      </c>
      <c r="AW19" s="21">
        <v>152.53</v>
      </c>
      <c r="AX19" s="21">
        <v>11.91510567296997</v>
      </c>
      <c r="AY19" s="21">
        <v>15.252999999999995</v>
      </c>
      <c r="AZ19" s="21"/>
      <c r="BA19" s="21"/>
      <c r="BB19" s="21">
        <v>1.191510567296997</v>
      </c>
      <c r="BC19" s="21">
        <v>1.1750000000000003</v>
      </c>
      <c r="BD19" s="21">
        <v>4587.315684093438</v>
      </c>
      <c r="BE19" s="21">
        <v>4504.5</v>
      </c>
      <c r="BF19" s="21">
        <v>4868.9454545454546</v>
      </c>
      <c r="BG19" s="21">
        <v>4920</v>
      </c>
      <c r="BH19" s="21">
        <v>32.135039999999996</v>
      </c>
      <c r="BI19" s="21">
        <v>31.980000000000004</v>
      </c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2"/>
    </row>
    <row r="20" spans="2:79" ht="16.8" x14ac:dyDescent="0.25">
      <c r="B20" s="75"/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4"/>
      <c r="AN20" s="229"/>
      <c r="AO20" s="230"/>
      <c r="AP20" s="20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2"/>
    </row>
    <row r="21" spans="2:79" ht="16.8" x14ac:dyDescent="0.25">
      <c r="B21" s="75" t="s">
        <v>190</v>
      </c>
      <c r="C21" s="32">
        <v>4783.2419364238503</v>
      </c>
      <c r="D21" s="33">
        <v>5366</v>
      </c>
      <c r="E21" s="33">
        <v>3422.7933826334965</v>
      </c>
      <c r="F21" s="33">
        <v>3744</v>
      </c>
      <c r="G21" s="33">
        <v>146.0898058613985</v>
      </c>
      <c r="H21" s="33">
        <f>5.85+201.925</f>
        <v>207.77500000000001</v>
      </c>
      <c r="I21" s="33">
        <v>13.896998324238044</v>
      </c>
      <c r="J21" s="33">
        <v>19.505000000000003</v>
      </c>
      <c r="K21" s="33">
        <v>123.54638994449718</v>
      </c>
      <c r="L21" s="33">
        <v>121.35</v>
      </c>
      <c r="M21" s="33">
        <v>1.3617847479917611</v>
      </c>
      <c r="N21" s="33">
        <v>1.5349999999999999</v>
      </c>
      <c r="O21" s="33">
        <v>133.99240527380741</v>
      </c>
      <c r="P21" s="33">
        <v>204.5</v>
      </c>
      <c r="Q21" s="33">
        <v>106.13949297895849</v>
      </c>
      <c r="R21" s="33">
        <v>129.60000000000002</v>
      </c>
      <c r="S21" s="33"/>
      <c r="T21" s="33"/>
      <c r="U21" s="33">
        <v>22.550897511168593</v>
      </c>
      <c r="V21" s="33">
        <v>66.239999999999995</v>
      </c>
      <c r="W21" s="33"/>
      <c r="X21" s="33"/>
      <c r="Y21" s="33"/>
      <c r="Z21" s="33"/>
      <c r="AA21" s="33">
        <v>12.282637150099013</v>
      </c>
      <c r="AB21" s="33">
        <v>9</v>
      </c>
      <c r="AC21" s="33"/>
      <c r="AD21" s="33"/>
      <c r="AE21" s="33"/>
      <c r="AF21" s="33"/>
      <c r="AG21" s="33"/>
      <c r="AH21" s="33"/>
      <c r="AI21" s="33">
        <v>2.3758892689034652</v>
      </c>
      <c r="AJ21" s="34">
        <v>2.88</v>
      </c>
      <c r="AN21" s="227" t="s">
        <v>171</v>
      </c>
      <c r="AO21" s="228"/>
      <c r="AP21" s="20">
        <v>6086.3293194617627</v>
      </c>
      <c r="AQ21" s="21">
        <v>6120.5</v>
      </c>
      <c r="AR21" s="21">
        <v>3964.4494393790546</v>
      </c>
      <c r="AS21" s="21">
        <v>3672</v>
      </c>
      <c r="AT21" s="21">
        <v>400.7845865082279</v>
      </c>
      <c r="AU21" s="21">
        <v>585.95000000000005</v>
      </c>
      <c r="AV21" s="21">
        <v>174.3933192547436</v>
      </c>
      <c r="AW21" s="21">
        <v>187.75000000000003</v>
      </c>
      <c r="AX21" s="21">
        <v>16.802665063771432</v>
      </c>
      <c r="AY21" s="21">
        <v>22.749999999999996</v>
      </c>
      <c r="AZ21" s="21">
        <v>126.15019087453629</v>
      </c>
      <c r="BA21" s="21">
        <v>145.35</v>
      </c>
      <c r="BB21" s="21">
        <v>1.6018744553484718</v>
      </c>
      <c r="BC21" s="21">
        <v>1.7249999999999994</v>
      </c>
      <c r="BD21" s="21"/>
      <c r="BE21" s="21"/>
      <c r="BF21" s="21"/>
      <c r="BG21" s="21"/>
      <c r="BH21" s="21"/>
      <c r="BI21" s="21"/>
      <c r="BJ21" s="21">
        <v>143.09508845362973</v>
      </c>
      <c r="BK21" s="21">
        <v>116.10000000000004</v>
      </c>
      <c r="BL21" s="21">
        <v>3.2273675278383571</v>
      </c>
      <c r="BM21" s="21">
        <v>2.5800000000000005</v>
      </c>
      <c r="BN21" s="21"/>
      <c r="BO21" s="21"/>
      <c r="BP21" s="21"/>
      <c r="BQ21" s="21"/>
      <c r="BR21" s="21">
        <v>23.017082228116717</v>
      </c>
      <c r="BS21" s="21">
        <v>25.759999999999994</v>
      </c>
      <c r="BT21" s="21">
        <v>17.014726840855111</v>
      </c>
      <c r="BU21" s="21">
        <v>23.1</v>
      </c>
      <c r="BV21" s="21"/>
      <c r="BW21" s="21"/>
      <c r="BX21" s="21"/>
      <c r="BY21" s="21"/>
      <c r="BZ21" s="21"/>
      <c r="CA21" s="22"/>
    </row>
    <row r="22" spans="2:79" ht="16.8" x14ac:dyDescent="0.25">
      <c r="B22" s="75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N22" s="225"/>
      <c r="AO22" s="226"/>
      <c r="AP22" s="20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2"/>
    </row>
    <row r="23" spans="2:79" ht="16.8" x14ac:dyDescent="0.25">
      <c r="B23" s="75" t="s">
        <v>191</v>
      </c>
      <c r="C23" s="32">
        <v>6608.5130071821277</v>
      </c>
      <c r="D23" s="33">
        <v>8413</v>
      </c>
      <c r="E23" s="33">
        <v>4447.6786019399706</v>
      </c>
      <c r="F23" s="33">
        <v>5679.3499999999995</v>
      </c>
      <c r="G23" s="33">
        <v>191.31095196498336</v>
      </c>
      <c r="H23" s="33">
        <f>258.55+1.875</f>
        <v>260.42500000000001</v>
      </c>
      <c r="I23" s="35">
        <v>19.1311</v>
      </c>
      <c r="J23" s="35">
        <v>26.478000000000002</v>
      </c>
      <c r="K23" s="33">
        <v>26.165168316270098</v>
      </c>
      <c r="L23" s="33">
        <v>30.75</v>
      </c>
      <c r="M23" s="33">
        <v>1.871411756652857</v>
      </c>
      <c r="N23" s="33">
        <v>3.7749999999999999</v>
      </c>
      <c r="O23" s="33"/>
      <c r="P23" s="33"/>
      <c r="Q23" s="33">
        <v>295.0351798415586</v>
      </c>
      <c r="R23" s="33">
        <v>374.4</v>
      </c>
      <c r="S23" s="33"/>
      <c r="T23" s="33"/>
      <c r="U23" s="33"/>
      <c r="V23" s="33"/>
      <c r="W23" s="33"/>
      <c r="X23" s="33"/>
      <c r="Y23" s="33"/>
      <c r="Z23" s="33"/>
      <c r="AA23" s="33">
        <v>12.736453126749668</v>
      </c>
      <c r="AB23" s="33">
        <v>17.600000000000001</v>
      </c>
      <c r="AC23" s="33"/>
      <c r="AD23" s="33"/>
      <c r="AE23" s="33"/>
      <c r="AF23" s="33"/>
      <c r="AG23" s="33"/>
      <c r="AH23" s="33"/>
      <c r="AI23" s="35">
        <v>6.5563370000000001</v>
      </c>
      <c r="AJ23" s="36">
        <v>8.218</v>
      </c>
      <c r="AN23" s="227" t="s">
        <v>172</v>
      </c>
      <c r="AO23" s="228"/>
      <c r="AP23" s="20">
        <v>5613.3322565194312</v>
      </c>
      <c r="AQ23" s="21">
        <v>7480.5</v>
      </c>
      <c r="AR23" s="21">
        <v>3830.3096029393892</v>
      </c>
      <c r="AS23" s="21">
        <v>5033.8</v>
      </c>
      <c r="AT23" s="21">
        <v>0</v>
      </c>
      <c r="AU23" s="21">
        <v>27.55</v>
      </c>
      <c r="AV23" s="21">
        <v>169.35646458126945</v>
      </c>
      <c r="AW23" s="21">
        <v>223.75</v>
      </c>
      <c r="AX23" s="21">
        <v>16.975750987743673</v>
      </c>
      <c r="AY23" s="21">
        <v>22.074999999999999</v>
      </c>
      <c r="AZ23" s="21">
        <v>3.0078397212543555</v>
      </c>
      <c r="BA23" s="21">
        <v>2.25</v>
      </c>
      <c r="BB23" s="21">
        <v>1.5991132699596635</v>
      </c>
      <c r="BC23" s="21">
        <v>2.1500000000000004</v>
      </c>
      <c r="BD23" s="21"/>
      <c r="BE23" s="21"/>
      <c r="BF23" s="21"/>
      <c r="BG23" s="21"/>
      <c r="BH23" s="21"/>
      <c r="BI23" s="21"/>
      <c r="BJ23" s="21">
        <v>243.40157994573462</v>
      </c>
      <c r="BK23" s="21">
        <v>308.70000000000005</v>
      </c>
      <c r="BL23" s="21">
        <v>5.4364465487955549</v>
      </c>
      <c r="BM23" s="21">
        <v>6.86</v>
      </c>
      <c r="BN23" s="21">
        <v>2.606794425087108E-2</v>
      </c>
      <c r="BO23" s="21">
        <v>0.13500000000000001</v>
      </c>
      <c r="BP23" s="21"/>
      <c r="BQ23" s="21"/>
      <c r="BR23" s="21"/>
      <c r="BS23" s="21"/>
      <c r="BT23" s="21">
        <v>41.903388794567064</v>
      </c>
      <c r="BU23" s="21">
        <v>42.599999999999994</v>
      </c>
      <c r="BV23" s="21">
        <v>1.6041811846689897</v>
      </c>
      <c r="BW23" s="21">
        <v>6.63</v>
      </c>
      <c r="BX23" s="21"/>
      <c r="BY23" s="21"/>
      <c r="BZ23" s="21"/>
      <c r="CA23" s="22"/>
    </row>
    <row r="24" spans="2:79" ht="16.8" x14ac:dyDescent="0.25">
      <c r="B24" s="75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4"/>
      <c r="AN24" s="225"/>
      <c r="AO24" s="226"/>
      <c r="AP24" s="20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2"/>
    </row>
    <row r="25" spans="2:79" ht="17.399999999999999" thickBot="1" x14ac:dyDescent="0.3">
      <c r="B25" s="75" t="s">
        <v>192</v>
      </c>
      <c r="C25" s="32">
        <v>10631.138905279937</v>
      </c>
      <c r="D25" s="33">
        <f>8223.75+2216.25</f>
        <v>10440</v>
      </c>
      <c r="E25" s="33">
        <v>726.76817431003406</v>
      </c>
      <c r="F25" s="33">
        <v>1411.3000000000002</v>
      </c>
      <c r="G25" s="33">
        <v>314.0764033618342</v>
      </c>
      <c r="H25" s="33">
        <f>396.175+12.5</f>
        <v>408.67500000000001</v>
      </c>
      <c r="I25" s="33">
        <v>30.543364379855131</v>
      </c>
      <c r="J25" s="33">
        <v>40.628999999999991</v>
      </c>
      <c r="K25" s="33">
        <v>446.84812980993956</v>
      </c>
      <c r="L25" s="33">
        <v>459.52500000000003</v>
      </c>
      <c r="M25" s="33">
        <v>3.0355735463795228</v>
      </c>
      <c r="N25" s="33">
        <v>3.66</v>
      </c>
      <c r="O25" s="33">
        <v>4659.602527466257</v>
      </c>
      <c r="P25" s="33">
        <v>3724.5500000000006</v>
      </c>
      <c r="Q25" s="33"/>
      <c r="R25" s="33"/>
      <c r="S25" s="33"/>
      <c r="T25" s="33"/>
      <c r="U25" s="33">
        <v>2.7056735932026177</v>
      </c>
      <c r="V25" s="33">
        <v>13.279999999999998</v>
      </c>
      <c r="W25" s="33"/>
      <c r="X25" s="27">
        <v>37.4</v>
      </c>
      <c r="Y25" s="33"/>
      <c r="Z25" s="33"/>
      <c r="AA25" s="33">
        <v>33.944750832927554</v>
      </c>
      <c r="AB25" s="33">
        <v>39.699999999999996</v>
      </c>
      <c r="AC25" s="33"/>
      <c r="AD25" s="33"/>
      <c r="AE25" s="33"/>
      <c r="AF25" s="33"/>
      <c r="AG25" s="33"/>
      <c r="AH25" s="33"/>
      <c r="AI25" s="33"/>
      <c r="AJ25" s="34"/>
      <c r="AN25" s="236" t="s">
        <v>173</v>
      </c>
      <c r="AO25" s="237"/>
      <c r="AP25" s="23">
        <v>9783.4867259777711</v>
      </c>
      <c r="AQ25" s="24">
        <v>8972.75</v>
      </c>
      <c r="AR25" s="24">
        <v>1888.4080842193134</v>
      </c>
      <c r="AS25" s="24">
        <v>1497.5</v>
      </c>
      <c r="AT25" s="24">
        <v>3680.3108582163995</v>
      </c>
      <c r="AU25" s="24">
        <v>3500.35</v>
      </c>
      <c r="AV25" s="24">
        <v>318.95965017108011</v>
      </c>
      <c r="AW25" s="24">
        <v>308.40000000000009</v>
      </c>
      <c r="AX25" s="24">
        <v>31.211327914959664</v>
      </c>
      <c r="AY25" s="24">
        <v>30.995000000000005</v>
      </c>
      <c r="AZ25" s="24">
        <v>424.4016324529664</v>
      </c>
      <c r="BA25" s="24">
        <v>406.20000000000005</v>
      </c>
      <c r="BB25" s="24">
        <v>3.1113015733938614</v>
      </c>
      <c r="BC25" s="24">
        <v>3.3149999999999986</v>
      </c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>
        <v>16.394694296815686</v>
      </c>
      <c r="BO25" s="24">
        <v>13.05</v>
      </c>
      <c r="BP25" s="24"/>
      <c r="BQ25" s="24">
        <v>51.80758624013378</v>
      </c>
      <c r="BR25" s="24">
        <v>38.18</v>
      </c>
      <c r="BS25" s="24"/>
      <c r="BT25" s="24"/>
      <c r="BU25" s="24"/>
      <c r="BV25" s="24"/>
      <c r="BW25" s="24"/>
      <c r="BX25" s="24">
        <v>21.282902829028288</v>
      </c>
      <c r="BY25" s="24">
        <v>28.599999999999998</v>
      </c>
      <c r="BZ25" s="24">
        <v>12.355166051660515</v>
      </c>
      <c r="CA25" s="25">
        <v>17.024999999999999</v>
      </c>
    </row>
    <row r="26" spans="2:79" ht="15.6" x14ac:dyDescent="0.25">
      <c r="B26" s="75"/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4"/>
    </row>
    <row r="27" spans="2:79" ht="16.2" x14ac:dyDescent="0.25">
      <c r="B27" s="75" t="s">
        <v>148</v>
      </c>
      <c r="C27" s="37">
        <f t="shared" ref="C27:AJ27" si="0">SUM(C14:C25)</f>
        <v>27201.804093508414</v>
      </c>
      <c r="D27" s="38">
        <f t="shared" si="0"/>
        <v>29062</v>
      </c>
      <c r="E27" s="38">
        <f t="shared" si="0"/>
        <v>9057.1032607394609</v>
      </c>
      <c r="F27" s="38">
        <f t="shared" si="0"/>
        <v>11969.45</v>
      </c>
      <c r="G27" s="38">
        <f t="shared" si="0"/>
        <v>1116.8665058222873</v>
      </c>
      <c r="H27" s="38">
        <f t="shared" si="0"/>
        <v>1432.0049999999999</v>
      </c>
      <c r="I27" s="38">
        <f t="shared" si="0"/>
        <v>109.05084553727642</v>
      </c>
      <c r="J27" s="38">
        <f t="shared" si="0"/>
        <v>141.62100000000001</v>
      </c>
      <c r="K27" s="38">
        <f t="shared" si="0"/>
        <v>790.69511707511413</v>
      </c>
      <c r="L27" s="38">
        <f t="shared" si="0"/>
        <v>795.97500000000014</v>
      </c>
      <c r="M27" s="38">
        <f t="shared" si="0"/>
        <v>10.771076358363906</v>
      </c>
      <c r="N27" s="38">
        <f t="shared" si="0"/>
        <v>13.795000000000002</v>
      </c>
      <c r="O27" s="38">
        <f t="shared" si="0"/>
        <v>12364.100559830567</v>
      </c>
      <c r="P27" s="38">
        <f t="shared" si="0"/>
        <v>9241.5</v>
      </c>
      <c r="Q27" s="38">
        <f t="shared" si="0"/>
        <v>401.17467282051712</v>
      </c>
      <c r="R27" s="38">
        <f t="shared" si="0"/>
        <v>504</v>
      </c>
      <c r="S27" s="38">
        <f t="shared" si="0"/>
        <v>4.621990267220494</v>
      </c>
      <c r="T27" s="38">
        <f t="shared" si="0"/>
        <v>19.295000000000002</v>
      </c>
      <c r="U27" s="38">
        <f t="shared" si="0"/>
        <v>25.256571104371211</v>
      </c>
      <c r="V27" s="38">
        <f t="shared" si="0"/>
        <v>79.52</v>
      </c>
      <c r="W27" s="38">
        <f t="shared" si="0"/>
        <v>8.5569128329789947</v>
      </c>
      <c r="X27" s="38">
        <f t="shared" si="0"/>
        <v>93.800000000000011</v>
      </c>
      <c r="Y27" s="38">
        <f t="shared" si="0"/>
        <v>3.2063418777359121</v>
      </c>
      <c r="Z27" s="38">
        <f t="shared" si="0"/>
        <v>6</v>
      </c>
      <c r="AA27" s="38">
        <f t="shared" si="0"/>
        <v>58.963841109776233</v>
      </c>
      <c r="AB27" s="38">
        <f t="shared" si="0"/>
        <v>66.3</v>
      </c>
      <c r="AC27" s="38">
        <f t="shared" si="0"/>
        <v>93.832960000000014</v>
      </c>
      <c r="AD27" s="38">
        <f t="shared" si="0"/>
        <v>91.520000000000024</v>
      </c>
      <c r="AE27" s="38">
        <f t="shared" si="0"/>
        <v>12410.181487065423</v>
      </c>
      <c r="AF27" s="38">
        <f t="shared" si="0"/>
        <v>13589</v>
      </c>
      <c r="AG27" s="38">
        <f t="shared" si="0"/>
        <v>14456.889090909091</v>
      </c>
      <c r="AH27" s="38">
        <f t="shared" si="0"/>
        <v>14224</v>
      </c>
      <c r="AI27" s="38">
        <f t="shared" si="0"/>
        <v>8.9322262689034648</v>
      </c>
      <c r="AJ27" s="39">
        <f t="shared" si="0"/>
        <v>11.097999999999999</v>
      </c>
      <c r="AN27" s="224" t="s">
        <v>148</v>
      </c>
      <c r="AO27" s="224"/>
      <c r="AP27" s="26">
        <f t="shared" ref="AP27:CA27" si="1">SUM(AP15,AP17,AP19,AP21,AP23,AP25)</f>
        <v>25063.787335958965</v>
      </c>
      <c r="AQ27" s="26">
        <f t="shared" si="1"/>
        <v>26378.25</v>
      </c>
      <c r="AR27" s="26">
        <f t="shared" si="1"/>
        <v>10211.016337501213</v>
      </c>
      <c r="AS27" s="26">
        <f t="shared" si="1"/>
        <v>10728.8</v>
      </c>
      <c r="AT27" s="26">
        <f t="shared" si="1"/>
        <v>10342.950930970608</v>
      </c>
      <c r="AU27" s="26">
        <f t="shared" si="1"/>
        <v>10354.35</v>
      </c>
      <c r="AV27" s="26">
        <f t="shared" si="1"/>
        <v>1058.4986591800348</v>
      </c>
      <c r="AW27" s="26">
        <f t="shared" si="1"/>
        <v>1205.7800000000002</v>
      </c>
      <c r="AX27" s="26">
        <f t="shared" si="1"/>
        <v>104.3472370693791</v>
      </c>
      <c r="AY27" s="26">
        <f t="shared" si="1"/>
        <v>124.33799999999999</v>
      </c>
      <c r="AZ27" s="26">
        <f t="shared" si="1"/>
        <v>696.70081957387902</v>
      </c>
      <c r="BA27" s="26">
        <f t="shared" si="1"/>
        <v>704.85</v>
      </c>
      <c r="BB27" s="26">
        <f t="shared" si="1"/>
        <v>10.182393642427712</v>
      </c>
      <c r="BC27" s="26">
        <f t="shared" si="1"/>
        <v>11.149999999999999</v>
      </c>
      <c r="BD27" s="26">
        <f t="shared" si="1"/>
        <v>11013.182224199261</v>
      </c>
      <c r="BE27" s="26">
        <f t="shared" si="1"/>
        <v>11011</v>
      </c>
      <c r="BF27" s="26">
        <f t="shared" si="1"/>
        <v>11689.290909090909</v>
      </c>
      <c r="BG27" s="26">
        <f t="shared" si="1"/>
        <v>11500</v>
      </c>
      <c r="BH27" s="26">
        <f t="shared" si="1"/>
        <v>77.149319999999989</v>
      </c>
      <c r="BI27" s="26">
        <f t="shared" si="1"/>
        <v>75.140000000000015</v>
      </c>
      <c r="BJ27" s="26">
        <f t="shared" si="1"/>
        <v>386.49666839936435</v>
      </c>
      <c r="BK27" s="26">
        <f t="shared" si="1"/>
        <v>424.80000000000007</v>
      </c>
      <c r="BL27" s="26">
        <f t="shared" si="1"/>
        <v>8.663814076633912</v>
      </c>
      <c r="BM27" s="26">
        <f t="shared" si="1"/>
        <v>9.4400000000000013</v>
      </c>
      <c r="BN27" s="26">
        <f t="shared" si="1"/>
        <v>16.420762241066559</v>
      </c>
      <c r="BO27" s="26">
        <f t="shared" si="1"/>
        <v>13.185</v>
      </c>
      <c r="BP27" s="26">
        <f t="shared" si="1"/>
        <v>1.6864573068047155</v>
      </c>
      <c r="BQ27" s="26">
        <f t="shared" si="1"/>
        <v>53.80758624013378</v>
      </c>
      <c r="BR27" s="26">
        <f t="shared" si="1"/>
        <v>77.917974672334239</v>
      </c>
      <c r="BS27" s="26">
        <f t="shared" si="1"/>
        <v>41.059999999999988</v>
      </c>
      <c r="BT27" s="26">
        <f t="shared" si="1"/>
        <v>58.918115635422176</v>
      </c>
      <c r="BU27" s="26">
        <f t="shared" si="1"/>
        <v>65.699999999999989</v>
      </c>
      <c r="BV27" s="26">
        <f t="shared" si="1"/>
        <v>1.6041811846689897</v>
      </c>
      <c r="BW27" s="26">
        <f t="shared" si="1"/>
        <v>6.63</v>
      </c>
      <c r="BX27" s="26">
        <f t="shared" si="1"/>
        <v>21.282902829028288</v>
      </c>
      <c r="BY27" s="26">
        <f t="shared" si="1"/>
        <v>28.599999999999998</v>
      </c>
      <c r="BZ27" s="26">
        <f t="shared" si="1"/>
        <v>12.355166051660515</v>
      </c>
      <c r="CA27" s="26">
        <f t="shared" si="1"/>
        <v>17.024999999999999</v>
      </c>
    </row>
    <row r="28" spans="2:79" ht="16.8" thickBot="1" x14ac:dyDescent="0.3">
      <c r="B28" s="76" t="s">
        <v>77</v>
      </c>
      <c r="C28" s="218">
        <f>D27-C27</f>
        <v>1860.1959064915864</v>
      </c>
      <c r="D28" s="210"/>
      <c r="E28" s="210">
        <f>F27-E27</f>
        <v>2912.3467392605398</v>
      </c>
      <c r="F28" s="210"/>
      <c r="G28" s="210">
        <f>H27-G27</f>
        <v>315.13849417771257</v>
      </c>
      <c r="H28" s="210"/>
      <c r="I28" s="210">
        <f>J27-I27</f>
        <v>32.570154462723593</v>
      </c>
      <c r="J28" s="210"/>
      <c r="K28" s="210">
        <f>L27-K27</f>
        <v>5.2798829248860102</v>
      </c>
      <c r="L28" s="210"/>
      <c r="M28" s="210">
        <f>N27-M27</f>
        <v>3.0239236416360953</v>
      </c>
      <c r="N28" s="210"/>
      <c r="O28" s="210">
        <f>P27-O27</f>
        <v>-3122.6005598305674</v>
      </c>
      <c r="P28" s="210"/>
      <c r="Q28" s="210">
        <f>R27-Q27</f>
        <v>102.82532717948288</v>
      </c>
      <c r="R28" s="210"/>
      <c r="S28" s="210">
        <f>T27-S27</f>
        <v>14.673009732779509</v>
      </c>
      <c r="T28" s="210"/>
      <c r="U28" s="210">
        <f>V27-U27</f>
        <v>54.263428895628785</v>
      </c>
      <c r="V28" s="210"/>
      <c r="W28" s="210">
        <f>X27-W27</f>
        <v>85.243087167021017</v>
      </c>
      <c r="X28" s="210"/>
      <c r="Y28" s="210">
        <f>Z27-Y27</f>
        <v>2.7936581222640879</v>
      </c>
      <c r="Z28" s="210"/>
      <c r="AA28" s="210">
        <f>AB27-AA27</f>
        <v>7.3361588902237642</v>
      </c>
      <c r="AB28" s="210"/>
      <c r="AC28" s="210">
        <f>AD27-AC27</f>
        <v>-2.3129599999999897</v>
      </c>
      <c r="AD28" s="210"/>
      <c r="AE28" s="210">
        <f>AF27-AE27</f>
        <v>1178.8185129345766</v>
      </c>
      <c r="AF28" s="210"/>
      <c r="AG28" s="210">
        <f>AH27-AG27</f>
        <v>-232.88909090909146</v>
      </c>
      <c r="AH28" s="210"/>
      <c r="AI28" s="210">
        <f>AJ27-AI27</f>
        <v>2.1657737310965341</v>
      </c>
      <c r="AJ28" s="238"/>
      <c r="AN28" s="224" t="s">
        <v>77</v>
      </c>
      <c r="AO28" s="224"/>
      <c r="AP28" s="224">
        <f>AQ27-AP27</f>
        <v>1314.4626640410352</v>
      </c>
      <c r="AQ28" s="224"/>
      <c r="AR28" s="224">
        <f>AS27-AR27</f>
        <v>517.78366249878673</v>
      </c>
      <c r="AS28" s="224"/>
      <c r="AT28" s="224">
        <f>AU27-AT27</f>
        <v>11.399069029392194</v>
      </c>
      <c r="AU28" s="224"/>
      <c r="AV28" s="224">
        <f>AW27-AV27</f>
        <v>147.28134081996541</v>
      </c>
      <c r="AW28" s="224"/>
      <c r="AX28" s="224">
        <f>AY27-AX27</f>
        <v>19.990762930620889</v>
      </c>
      <c r="AY28" s="224"/>
      <c r="AZ28" s="224">
        <f>BA27-AZ27</f>
        <v>8.1491804261210063</v>
      </c>
      <c r="BA28" s="224"/>
      <c r="BB28" s="224">
        <f>BC27-BB27</f>
        <v>0.96760635757228641</v>
      </c>
      <c r="BC28" s="224"/>
      <c r="BD28" s="224">
        <f>BE27-BD27</f>
        <v>-2.1822241992613272</v>
      </c>
      <c r="BE28" s="224"/>
      <c r="BF28" s="224">
        <f>BG27-BF27</f>
        <v>-189.29090909090883</v>
      </c>
      <c r="BG28" s="224"/>
      <c r="BH28" s="224">
        <f>BI27-BH27</f>
        <v>-2.009319999999974</v>
      </c>
      <c r="BI28" s="224"/>
      <c r="BJ28" s="224">
        <f>BK27-BJ27</f>
        <v>38.303331600635715</v>
      </c>
      <c r="BK28" s="224"/>
      <c r="BL28" s="224">
        <f>BM27-BL27</f>
        <v>0.77618592336608927</v>
      </c>
      <c r="BM28" s="224"/>
      <c r="BN28" s="224">
        <f>BO27-BN27</f>
        <v>-3.2357622410665581</v>
      </c>
      <c r="BO28" s="224"/>
      <c r="BP28" s="224">
        <f>BQ27-BP27</f>
        <v>52.121128933329068</v>
      </c>
      <c r="BQ28" s="224"/>
      <c r="BR28" s="224">
        <f>BS27-BR27</f>
        <v>-36.857974672334251</v>
      </c>
      <c r="BS28" s="224"/>
      <c r="BT28" s="224">
        <f>BU27-BT27</f>
        <v>6.7818843645778131</v>
      </c>
      <c r="BU28" s="224"/>
      <c r="BV28" s="224">
        <f>BW27-BV27</f>
        <v>5.0258188153310099</v>
      </c>
      <c r="BW28" s="224"/>
      <c r="BX28" s="224">
        <f>BY27-BX27</f>
        <v>7.3170971709717101</v>
      </c>
      <c r="BY28" s="224"/>
      <c r="BZ28" s="224">
        <f>CA27-BZ27</f>
        <v>4.669833948339484</v>
      </c>
      <c r="CA28" s="224"/>
    </row>
    <row r="32" spans="2:79" ht="13.8" customHeight="1" x14ac:dyDescent="0.25">
      <c r="AK32" s="207" t="s">
        <v>246</v>
      </c>
      <c r="AL32" s="207"/>
      <c r="AM32" s="207"/>
      <c r="AN32" s="207"/>
      <c r="AO32" s="207"/>
    </row>
    <row r="33" spans="2:101" ht="14.4" customHeight="1" thickBot="1" x14ac:dyDescent="0.3">
      <c r="AK33" s="208"/>
      <c r="AL33" s="208"/>
      <c r="AM33" s="208"/>
      <c r="AN33" s="208"/>
      <c r="AO33" s="208"/>
    </row>
    <row r="36" spans="2:101" x14ac:dyDescent="0.25">
      <c r="AL36" s="222" t="s">
        <v>244</v>
      </c>
      <c r="AM36" s="222"/>
      <c r="AN36" s="222"/>
    </row>
    <row r="37" spans="2:101" ht="14.4" thickBot="1" x14ac:dyDescent="0.3">
      <c r="AL37" s="223"/>
      <c r="AM37" s="223"/>
      <c r="AN37" s="223"/>
    </row>
    <row r="38" spans="2:101" ht="14.4" thickBot="1" x14ac:dyDescent="0.3"/>
    <row r="39" spans="2:101" ht="21.6" x14ac:dyDescent="0.25">
      <c r="B39" s="215"/>
      <c r="C39" s="216"/>
      <c r="D39" s="216"/>
      <c r="E39" s="216"/>
      <c r="F39" s="216"/>
      <c r="G39" s="216"/>
      <c r="H39" s="217"/>
      <c r="I39" s="212" t="s">
        <v>43</v>
      </c>
      <c r="J39" s="212"/>
      <c r="K39" s="212"/>
      <c r="L39" s="212" t="s">
        <v>44</v>
      </c>
      <c r="M39" s="212"/>
      <c r="N39" s="212"/>
      <c r="O39" s="212" t="s">
        <v>48</v>
      </c>
      <c r="P39" s="212"/>
      <c r="Q39" s="212"/>
      <c r="R39" s="212" t="s">
        <v>80</v>
      </c>
      <c r="S39" s="212"/>
      <c r="T39" s="212"/>
      <c r="U39" s="212" t="s">
        <v>51</v>
      </c>
      <c r="V39" s="212"/>
      <c r="W39" s="212"/>
      <c r="X39" s="212" t="s">
        <v>81</v>
      </c>
      <c r="Y39" s="212"/>
      <c r="Z39" s="212"/>
      <c r="AA39" s="212" t="s">
        <v>64</v>
      </c>
      <c r="AB39" s="212"/>
      <c r="AC39" s="212"/>
      <c r="AD39" s="212" t="s">
        <v>82</v>
      </c>
      <c r="AE39" s="212"/>
      <c r="AF39" s="212"/>
      <c r="AG39" s="212" t="s">
        <v>52</v>
      </c>
      <c r="AH39" s="212"/>
      <c r="AI39" s="212"/>
      <c r="AJ39" s="212" t="s">
        <v>45</v>
      </c>
      <c r="AK39" s="212"/>
      <c r="AL39" s="212"/>
      <c r="AM39" s="212" t="s">
        <v>55</v>
      </c>
      <c r="AN39" s="212"/>
      <c r="AO39" s="212"/>
      <c r="AP39" s="212" t="s">
        <v>83</v>
      </c>
      <c r="AQ39" s="212"/>
      <c r="AR39" s="212"/>
      <c r="AS39" s="212" t="s">
        <v>50</v>
      </c>
      <c r="AT39" s="212"/>
      <c r="AU39" s="212"/>
      <c r="AV39" s="212" t="s">
        <v>46</v>
      </c>
      <c r="AW39" s="212"/>
      <c r="AX39" s="212"/>
      <c r="AY39" s="212" t="s">
        <v>47</v>
      </c>
      <c r="AZ39" s="212"/>
      <c r="BA39" s="212"/>
      <c r="BB39" s="212" t="s">
        <v>84</v>
      </c>
      <c r="BC39" s="212"/>
      <c r="BD39" s="212"/>
      <c r="BE39" s="212" t="s">
        <v>85</v>
      </c>
      <c r="BF39" s="212"/>
      <c r="BG39" s="212"/>
      <c r="BH39" s="212" t="s">
        <v>86</v>
      </c>
      <c r="BI39" s="212"/>
      <c r="BJ39" s="212"/>
      <c r="BK39" s="212" t="s">
        <v>87</v>
      </c>
      <c r="BL39" s="212"/>
      <c r="BM39" s="212"/>
      <c r="BN39" s="212" t="s">
        <v>67</v>
      </c>
      <c r="BO39" s="212"/>
      <c r="BP39" s="212"/>
      <c r="BQ39" s="212" t="s">
        <v>88</v>
      </c>
      <c r="BR39" s="212"/>
      <c r="BS39" s="212"/>
      <c r="BT39" s="212" t="s">
        <v>89</v>
      </c>
      <c r="BU39" s="212"/>
      <c r="BV39" s="212"/>
      <c r="BW39" s="212" t="s">
        <v>90</v>
      </c>
      <c r="BX39" s="212"/>
      <c r="BY39" s="212"/>
      <c r="BZ39" s="212" t="s">
        <v>91</v>
      </c>
      <c r="CA39" s="212"/>
      <c r="CB39" s="212"/>
      <c r="CC39" s="212" t="s">
        <v>66</v>
      </c>
      <c r="CD39" s="212"/>
      <c r="CE39" s="212"/>
      <c r="CF39" s="212" t="s">
        <v>92</v>
      </c>
      <c r="CG39" s="212"/>
      <c r="CH39" s="212"/>
      <c r="CI39" s="212" t="s">
        <v>93</v>
      </c>
      <c r="CJ39" s="212"/>
      <c r="CK39" s="212"/>
      <c r="CL39" s="212" t="s">
        <v>58</v>
      </c>
      <c r="CM39" s="212"/>
      <c r="CN39" s="212"/>
      <c r="CO39" s="212" t="s">
        <v>94</v>
      </c>
      <c r="CP39" s="212"/>
      <c r="CQ39" s="212"/>
      <c r="CR39" s="212" t="s">
        <v>95</v>
      </c>
      <c r="CS39" s="212"/>
      <c r="CT39" s="212"/>
      <c r="CU39" s="212" t="s">
        <v>96</v>
      </c>
      <c r="CV39" s="212"/>
      <c r="CW39" s="239"/>
    </row>
    <row r="40" spans="2:101" ht="126.6" thickBot="1" x14ac:dyDescent="0.3">
      <c r="B40" s="58" t="s">
        <v>97</v>
      </c>
      <c r="C40" s="59" t="s">
        <v>98</v>
      </c>
      <c r="D40" s="59" t="s">
        <v>99</v>
      </c>
      <c r="E40" s="59" t="s">
        <v>100</v>
      </c>
      <c r="F40" s="59" t="s">
        <v>101</v>
      </c>
      <c r="G40" s="59" t="s">
        <v>102</v>
      </c>
      <c r="H40" s="59" t="s">
        <v>103</v>
      </c>
      <c r="I40" s="59" t="s">
        <v>104</v>
      </c>
      <c r="J40" s="59" t="s">
        <v>105</v>
      </c>
      <c r="K40" s="59" t="s">
        <v>106</v>
      </c>
      <c r="L40" s="59" t="s">
        <v>104</v>
      </c>
      <c r="M40" s="59" t="s">
        <v>105</v>
      </c>
      <c r="N40" s="59" t="s">
        <v>106</v>
      </c>
      <c r="O40" s="59" t="s">
        <v>104</v>
      </c>
      <c r="P40" s="59" t="s">
        <v>105</v>
      </c>
      <c r="Q40" s="59" t="s">
        <v>106</v>
      </c>
      <c r="R40" s="59" t="s">
        <v>104</v>
      </c>
      <c r="S40" s="59" t="s">
        <v>105</v>
      </c>
      <c r="T40" s="59" t="s">
        <v>106</v>
      </c>
      <c r="U40" s="59" t="s">
        <v>104</v>
      </c>
      <c r="V40" s="59" t="s">
        <v>105</v>
      </c>
      <c r="W40" s="59" t="s">
        <v>106</v>
      </c>
      <c r="X40" s="59" t="s">
        <v>104</v>
      </c>
      <c r="Y40" s="59" t="s">
        <v>105</v>
      </c>
      <c r="Z40" s="59" t="s">
        <v>106</v>
      </c>
      <c r="AA40" s="59" t="s">
        <v>104</v>
      </c>
      <c r="AB40" s="59" t="s">
        <v>105</v>
      </c>
      <c r="AC40" s="59" t="s">
        <v>106</v>
      </c>
      <c r="AD40" s="59" t="s">
        <v>104</v>
      </c>
      <c r="AE40" s="59" t="s">
        <v>105</v>
      </c>
      <c r="AF40" s="59" t="s">
        <v>106</v>
      </c>
      <c r="AG40" s="59" t="s">
        <v>104</v>
      </c>
      <c r="AH40" s="59" t="s">
        <v>105</v>
      </c>
      <c r="AI40" s="59" t="s">
        <v>106</v>
      </c>
      <c r="AJ40" s="59" t="s">
        <v>104</v>
      </c>
      <c r="AK40" s="59" t="s">
        <v>105</v>
      </c>
      <c r="AL40" s="59" t="s">
        <v>106</v>
      </c>
      <c r="AM40" s="59" t="s">
        <v>104</v>
      </c>
      <c r="AN40" s="59" t="s">
        <v>105</v>
      </c>
      <c r="AO40" s="59" t="s">
        <v>106</v>
      </c>
      <c r="AP40" s="59" t="s">
        <v>104</v>
      </c>
      <c r="AQ40" s="59" t="s">
        <v>105</v>
      </c>
      <c r="AR40" s="59" t="s">
        <v>106</v>
      </c>
      <c r="AS40" s="59" t="s">
        <v>104</v>
      </c>
      <c r="AT40" s="59" t="s">
        <v>105</v>
      </c>
      <c r="AU40" s="59" t="s">
        <v>106</v>
      </c>
      <c r="AV40" s="59" t="s">
        <v>104</v>
      </c>
      <c r="AW40" s="59" t="s">
        <v>105</v>
      </c>
      <c r="AX40" s="59" t="s">
        <v>106</v>
      </c>
      <c r="AY40" s="59" t="s">
        <v>104</v>
      </c>
      <c r="AZ40" s="59" t="s">
        <v>105</v>
      </c>
      <c r="BA40" s="59" t="s">
        <v>106</v>
      </c>
      <c r="BB40" s="59" t="s">
        <v>104</v>
      </c>
      <c r="BC40" s="59" t="s">
        <v>105</v>
      </c>
      <c r="BD40" s="59" t="s">
        <v>106</v>
      </c>
      <c r="BE40" s="59" t="s">
        <v>104</v>
      </c>
      <c r="BF40" s="59" t="s">
        <v>105</v>
      </c>
      <c r="BG40" s="59" t="s">
        <v>106</v>
      </c>
      <c r="BH40" s="59" t="s">
        <v>104</v>
      </c>
      <c r="BI40" s="59" t="s">
        <v>105</v>
      </c>
      <c r="BJ40" s="59" t="s">
        <v>106</v>
      </c>
      <c r="BK40" s="59" t="s">
        <v>104</v>
      </c>
      <c r="BL40" s="59" t="s">
        <v>105</v>
      </c>
      <c r="BM40" s="59" t="s">
        <v>106</v>
      </c>
      <c r="BN40" s="59" t="s">
        <v>104</v>
      </c>
      <c r="BO40" s="59" t="s">
        <v>105</v>
      </c>
      <c r="BP40" s="59" t="s">
        <v>106</v>
      </c>
      <c r="BQ40" s="59" t="s">
        <v>104</v>
      </c>
      <c r="BR40" s="59" t="s">
        <v>105</v>
      </c>
      <c r="BS40" s="59" t="s">
        <v>106</v>
      </c>
      <c r="BT40" s="59" t="s">
        <v>104</v>
      </c>
      <c r="BU40" s="59" t="s">
        <v>105</v>
      </c>
      <c r="BV40" s="59" t="s">
        <v>106</v>
      </c>
      <c r="BW40" s="59" t="s">
        <v>104</v>
      </c>
      <c r="BX40" s="59" t="s">
        <v>105</v>
      </c>
      <c r="BY40" s="59" t="s">
        <v>106</v>
      </c>
      <c r="BZ40" s="59" t="s">
        <v>104</v>
      </c>
      <c r="CA40" s="59" t="s">
        <v>105</v>
      </c>
      <c r="CB40" s="59" t="s">
        <v>106</v>
      </c>
      <c r="CC40" s="59" t="s">
        <v>104</v>
      </c>
      <c r="CD40" s="59" t="s">
        <v>105</v>
      </c>
      <c r="CE40" s="59" t="s">
        <v>106</v>
      </c>
      <c r="CF40" s="59" t="s">
        <v>104</v>
      </c>
      <c r="CG40" s="59" t="s">
        <v>105</v>
      </c>
      <c r="CH40" s="59" t="s">
        <v>106</v>
      </c>
      <c r="CI40" s="59" t="s">
        <v>104</v>
      </c>
      <c r="CJ40" s="59" t="s">
        <v>105</v>
      </c>
      <c r="CK40" s="59" t="s">
        <v>106</v>
      </c>
      <c r="CL40" s="59" t="s">
        <v>104</v>
      </c>
      <c r="CM40" s="59" t="s">
        <v>105</v>
      </c>
      <c r="CN40" s="59" t="s">
        <v>106</v>
      </c>
      <c r="CO40" s="59" t="s">
        <v>104</v>
      </c>
      <c r="CP40" s="59" t="s">
        <v>105</v>
      </c>
      <c r="CQ40" s="59" t="s">
        <v>106</v>
      </c>
      <c r="CR40" s="59" t="s">
        <v>104</v>
      </c>
      <c r="CS40" s="59" t="s">
        <v>105</v>
      </c>
      <c r="CT40" s="59" t="s">
        <v>106</v>
      </c>
      <c r="CU40" s="59" t="s">
        <v>104</v>
      </c>
      <c r="CV40" s="59" t="s">
        <v>105</v>
      </c>
      <c r="CW40" s="60" t="s">
        <v>106</v>
      </c>
    </row>
    <row r="41" spans="2:101" ht="14.4" x14ac:dyDescent="0.3">
      <c r="B41" s="61"/>
      <c r="C41" s="62"/>
      <c r="D41" s="63"/>
      <c r="E41" s="64"/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65"/>
    </row>
    <row r="42" spans="2:101" ht="36.6" customHeight="1" x14ac:dyDescent="0.3">
      <c r="B42" s="81" t="s">
        <v>107</v>
      </c>
      <c r="C42" s="40" t="s">
        <v>108</v>
      </c>
      <c r="D42" s="42">
        <v>40392</v>
      </c>
      <c r="E42" s="41">
        <v>23.296560402684566</v>
      </c>
      <c r="F42" s="48">
        <v>29</v>
      </c>
      <c r="G42" s="43">
        <v>5.7034395973154348</v>
      </c>
      <c r="H42" s="43">
        <f t="shared" ref="H42:H68" si="2">G42/F42*100</f>
        <v>19.667033094191154</v>
      </c>
      <c r="I42" s="44">
        <f>23.25*E42</f>
        <v>541.64502936241615</v>
      </c>
      <c r="J42" s="44">
        <f>23.25*F42</f>
        <v>674.25</v>
      </c>
      <c r="K42" s="43">
        <f>23.25*G42</f>
        <v>132.60497063758385</v>
      </c>
      <c r="L42" s="44">
        <f>6*E42</f>
        <v>139.7793624161074</v>
      </c>
      <c r="M42" s="44">
        <f>6*F42</f>
        <v>174</v>
      </c>
      <c r="N42" s="43">
        <f>6*G42</f>
        <v>34.220637583892611</v>
      </c>
      <c r="O42" s="44">
        <f t="shared" ref="O42:Q43" si="3">4*E42</f>
        <v>93.186241610738264</v>
      </c>
      <c r="P42" s="44">
        <f t="shared" si="3"/>
        <v>116</v>
      </c>
      <c r="Q42" s="43">
        <f t="shared" si="3"/>
        <v>22.813758389261739</v>
      </c>
      <c r="R42" s="44">
        <f>0.8*E42</f>
        <v>18.637248322147652</v>
      </c>
      <c r="S42" s="44">
        <f>0.8*F42</f>
        <v>23.200000000000003</v>
      </c>
      <c r="T42" s="43">
        <f>0.8*G42</f>
        <v>4.562751677852348</v>
      </c>
      <c r="U42" s="44"/>
      <c r="V42" s="44"/>
      <c r="W42" s="43"/>
      <c r="X42" s="44"/>
      <c r="Y42" s="44"/>
      <c r="Z42" s="43"/>
      <c r="AA42" s="44"/>
      <c r="AB42" s="44"/>
      <c r="AC42" s="43"/>
      <c r="AD42" s="44"/>
      <c r="AE42" s="44"/>
      <c r="AF42" s="43"/>
      <c r="AG42" s="44">
        <f>0.03*E42</f>
        <v>0.698896812080537</v>
      </c>
      <c r="AH42" s="44">
        <f>0.03*F42</f>
        <v>0.87</v>
      </c>
      <c r="AI42" s="43">
        <f>0.03*G42</f>
        <v>0.17110318791946305</v>
      </c>
      <c r="AJ42" s="44"/>
      <c r="AK42" s="44"/>
      <c r="AL42" s="43"/>
      <c r="AM42" s="44"/>
      <c r="AN42" s="44"/>
      <c r="AO42" s="43"/>
      <c r="AP42" s="44"/>
      <c r="AQ42" s="44"/>
      <c r="AR42" s="43"/>
      <c r="AS42" s="44"/>
      <c r="AT42" s="44"/>
      <c r="AU42" s="43"/>
      <c r="AV42" s="44"/>
      <c r="AW42" s="44"/>
      <c r="AX42" s="43"/>
      <c r="AY42" s="44"/>
      <c r="AZ42" s="44"/>
      <c r="BA42" s="43"/>
      <c r="BB42" s="44"/>
      <c r="BC42" s="44"/>
      <c r="BD42" s="43"/>
      <c r="BE42" s="44"/>
      <c r="BF42" s="44"/>
      <c r="BG42" s="43"/>
      <c r="BH42" s="44"/>
      <c r="BI42" s="44"/>
      <c r="BJ42" s="43"/>
      <c r="BK42" s="44"/>
      <c r="BL42" s="44"/>
      <c r="BM42" s="43"/>
      <c r="BN42" s="44"/>
      <c r="BO42" s="44"/>
      <c r="BP42" s="43"/>
      <c r="BQ42" s="44"/>
      <c r="BR42" s="44"/>
      <c r="BS42" s="43"/>
      <c r="BT42" s="44"/>
      <c r="BU42" s="44"/>
      <c r="BV42" s="43"/>
      <c r="BW42" s="44"/>
      <c r="BX42" s="44"/>
      <c r="BY42" s="43"/>
      <c r="BZ42" s="44"/>
      <c r="CA42" s="44"/>
      <c r="CB42" s="43"/>
      <c r="CC42" s="44"/>
      <c r="CD42" s="44"/>
      <c r="CE42" s="43"/>
      <c r="CF42" s="44"/>
      <c r="CG42" s="44"/>
      <c r="CH42" s="43"/>
      <c r="CI42" s="44"/>
      <c r="CJ42" s="44"/>
      <c r="CK42" s="43"/>
      <c r="CL42" s="44"/>
      <c r="CM42" s="44"/>
      <c r="CN42" s="43"/>
      <c r="CO42" s="44"/>
      <c r="CP42" s="44"/>
      <c r="CQ42" s="43"/>
      <c r="CR42" s="44"/>
      <c r="CS42" s="44"/>
      <c r="CT42" s="43"/>
      <c r="CU42" s="44"/>
      <c r="CV42" s="44"/>
      <c r="CW42" s="66"/>
    </row>
    <row r="43" spans="2:101" ht="36.6" customHeight="1" x14ac:dyDescent="0.3">
      <c r="B43" s="81" t="s">
        <v>109</v>
      </c>
      <c r="C43" s="40" t="s">
        <v>110</v>
      </c>
      <c r="D43" s="42">
        <v>16672.95</v>
      </c>
      <c r="E43" s="41">
        <v>19.30662555066079</v>
      </c>
      <c r="F43" s="48">
        <v>18</v>
      </c>
      <c r="G43" s="43">
        <v>-1.3066255506607884</v>
      </c>
      <c r="H43" s="43">
        <f t="shared" si="2"/>
        <v>-7.2590308370043806</v>
      </c>
      <c r="I43" s="44"/>
      <c r="J43" s="44"/>
      <c r="K43" s="43"/>
      <c r="L43" s="44">
        <f>7.75*E43</f>
        <v>149.62634801762113</v>
      </c>
      <c r="M43" s="44">
        <f>7.75*F43</f>
        <v>139.5</v>
      </c>
      <c r="N43" s="43">
        <f>7.75*G43</f>
        <v>-10.12634801762111</v>
      </c>
      <c r="O43" s="44">
        <f t="shared" si="3"/>
        <v>77.226502202643161</v>
      </c>
      <c r="P43" s="44">
        <f t="shared" si="3"/>
        <v>72</v>
      </c>
      <c r="Q43" s="43">
        <f t="shared" si="3"/>
        <v>-5.2265022026431538</v>
      </c>
      <c r="R43" s="44"/>
      <c r="S43" s="44"/>
      <c r="T43" s="43"/>
      <c r="U43" s="44">
        <f>0.75*E43</f>
        <v>14.479969162995593</v>
      </c>
      <c r="V43" s="44">
        <f>0.75*F43</f>
        <v>13.5</v>
      </c>
      <c r="W43" s="43">
        <f>0.75*G43</f>
        <v>-0.97996916299559134</v>
      </c>
      <c r="X43" s="44"/>
      <c r="Y43" s="44"/>
      <c r="Z43" s="43"/>
      <c r="AA43" s="44"/>
      <c r="AB43" s="44"/>
      <c r="AC43" s="43"/>
      <c r="AD43" s="44"/>
      <c r="AE43" s="44"/>
      <c r="AF43" s="43"/>
      <c r="AG43" s="44"/>
      <c r="AH43" s="44"/>
      <c r="AI43" s="43"/>
      <c r="AJ43" s="44">
        <f>23.25*E43</f>
        <v>448.87904405286338</v>
      </c>
      <c r="AK43" s="44">
        <f>23.25*F43</f>
        <v>418.5</v>
      </c>
      <c r="AL43" s="43">
        <f>23.25*G43</f>
        <v>-30.379044052863332</v>
      </c>
      <c r="AM43" s="44"/>
      <c r="AN43" s="44"/>
      <c r="AO43" s="43"/>
      <c r="AP43" s="44"/>
      <c r="AQ43" s="44"/>
      <c r="AR43" s="43"/>
      <c r="AS43" s="44"/>
      <c r="AT43" s="44"/>
      <c r="AU43" s="43"/>
      <c r="AV43" s="44"/>
      <c r="AW43" s="44"/>
      <c r="AX43" s="43"/>
      <c r="AY43" s="44"/>
      <c r="AZ43" s="44"/>
      <c r="BA43" s="43"/>
      <c r="BB43" s="44"/>
      <c r="BC43" s="44"/>
      <c r="BD43" s="43"/>
      <c r="BE43" s="44"/>
      <c r="BF43" s="44"/>
      <c r="BG43" s="43"/>
      <c r="BH43" s="44"/>
      <c r="BI43" s="44"/>
      <c r="BJ43" s="43"/>
      <c r="BK43" s="44"/>
      <c r="BL43" s="44"/>
      <c r="BM43" s="43"/>
      <c r="BN43" s="44"/>
      <c r="BO43" s="44"/>
      <c r="BP43" s="43"/>
      <c r="BQ43" s="44"/>
      <c r="BR43" s="44"/>
      <c r="BS43" s="43"/>
      <c r="BT43" s="44"/>
      <c r="BU43" s="44"/>
      <c r="BV43" s="43"/>
      <c r="BW43" s="44"/>
      <c r="BX43" s="44"/>
      <c r="BY43" s="43"/>
      <c r="BZ43" s="44"/>
      <c r="CA43" s="44"/>
      <c r="CB43" s="43"/>
      <c r="CC43" s="44"/>
      <c r="CD43" s="44"/>
      <c r="CE43" s="43"/>
      <c r="CF43" s="44"/>
      <c r="CG43" s="44"/>
      <c r="CH43" s="43"/>
      <c r="CI43" s="44"/>
      <c r="CJ43" s="44"/>
      <c r="CK43" s="43"/>
      <c r="CL43" s="44"/>
      <c r="CM43" s="44"/>
      <c r="CN43" s="43"/>
      <c r="CO43" s="44"/>
      <c r="CP43" s="44"/>
      <c r="CQ43" s="43"/>
      <c r="CR43" s="44"/>
      <c r="CS43" s="44"/>
      <c r="CT43" s="43"/>
      <c r="CU43" s="44"/>
      <c r="CV43" s="44"/>
      <c r="CW43" s="66"/>
    </row>
    <row r="44" spans="2:101" ht="36.6" customHeight="1" x14ac:dyDescent="0.3">
      <c r="B44" s="81" t="s">
        <v>111</v>
      </c>
      <c r="C44" s="40" t="s">
        <v>110</v>
      </c>
      <c r="D44" s="42">
        <v>4359.66</v>
      </c>
      <c r="E44" s="41">
        <v>2.4980727453911311</v>
      </c>
      <c r="F44" s="48">
        <v>3</v>
      </c>
      <c r="G44" s="43">
        <v>0.50192725460886889</v>
      </c>
      <c r="H44" s="43">
        <f t="shared" si="2"/>
        <v>16.730908486962296</v>
      </c>
      <c r="I44" s="44">
        <f>46.05*E44</f>
        <v>115.03624992526159</v>
      </c>
      <c r="J44" s="44">
        <f>46.05*F44</f>
        <v>138.14999999999998</v>
      </c>
      <c r="K44" s="43">
        <f>46.05*G44</f>
        <v>23.113750074738412</v>
      </c>
      <c r="L44" s="44"/>
      <c r="M44" s="44"/>
      <c r="N44" s="43"/>
      <c r="O44" s="44">
        <f>9.21*E44</f>
        <v>23.007249985052319</v>
      </c>
      <c r="P44" s="44">
        <f>9.21*F44</f>
        <v>27.630000000000003</v>
      </c>
      <c r="Q44" s="43">
        <f>9.21*G44</f>
        <v>4.622750014947683</v>
      </c>
      <c r="R44" s="44"/>
      <c r="S44" s="44"/>
      <c r="T44" s="43"/>
      <c r="U44" s="44">
        <f>1*E44</f>
        <v>2.4980727453911311</v>
      </c>
      <c r="V44" s="44">
        <f>1*F44</f>
        <v>3</v>
      </c>
      <c r="W44" s="43">
        <f>1*G44</f>
        <v>0.50192725460886889</v>
      </c>
      <c r="X44" s="44"/>
      <c r="Y44" s="44"/>
      <c r="Z44" s="43"/>
      <c r="AA44" s="44"/>
      <c r="AB44" s="44"/>
      <c r="AC44" s="43"/>
      <c r="AD44" s="44"/>
      <c r="AE44" s="44"/>
      <c r="AF44" s="43"/>
      <c r="AG44" s="44"/>
      <c r="AH44" s="44"/>
      <c r="AI44" s="43"/>
      <c r="AJ44" s="44"/>
      <c r="AK44" s="44"/>
      <c r="AL44" s="43"/>
      <c r="AM44" s="44"/>
      <c r="AN44" s="44"/>
      <c r="AO44" s="43"/>
      <c r="AP44" s="44"/>
      <c r="AQ44" s="44"/>
      <c r="AR44" s="43"/>
      <c r="AS44" s="44"/>
      <c r="AT44" s="44"/>
      <c r="AU44" s="43"/>
      <c r="AV44" s="44"/>
      <c r="AW44" s="44"/>
      <c r="AX44" s="43"/>
      <c r="AY44" s="44"/>
      <c r="AZ44" s="44"/>
      <c r="BA44" s="43"/>
      <c r="BB44" s="44"/>
      <c r="BC44" s="44"/>
      <c r="BD44" s="43"/>
      <c r="BE44" s="44"/>
      <c r="BF44" s="44"/>
      <c r="BG44" s="43"/>
      <c r="BH44" s="44">
        <f>1.84*E44</f>
        <v>4.5964538515196818</v>
      </c>
      <c r="BI44" s="44">
        <f>1.84*F44</f>
        <v>5.5200000000000005</v>
      </c>
      <c r="BJ44" s="43">
        <f>1.84*G44</f>
        <v>0.9235461484803188</v>
      </c>
      <c r="BK44" s="44">
        <f>9.21*E44</f>
        <v>23.007249985052319</v>
      </c>
      <c r="BL44" s="44">
        <f>9.21*F44</f>
        <v>27.630000000000003</v>
      </c>
      <c r="BM44" s="43">
        <f>9.21*G44</f>
        <v>4.622750014947683</v>
      </c>
      <c r="BN44" s="44">
        <f>2.76*E44</f>
        <v>6.8946807772795218</v>
      </c>
      <c r="BO44" s="44">
        <f>2.76*F44</f>
        <v>8.2799999999999994</v>
      </c>
      <c r="BP44" s="43">
        <f>2.76*G44</f>
        <v>1.385319222720478</v>
      </c>
      <c r="BQ44" s="44"/>
      <c r="BR44" s="44"/>
      <c r="BS44" s="43"/>
      <c r="BT44" s="44"/>
      <c r="BU44" s="44"/>
      <c r="BV44" s="43"/>
      <c r="BW44" s="44"/>
      <c r="BX44" s="44"/>
      <c r="BY44" s="43"/>
      <c r="BZ44" s="44"/>
      <c r="CA44" s="44"/>
      <c r="CB44" s="43"/>
      <c r="CC44" s="44"/>
      <c r="CD44" s="44"/>
      <c r="CE44" s="43"/>
      <c r="CF44" s="44"/>
      <c r="CG44" s="44"/>
      <c r="CH44" s="43"/>
      <c r="CI44" s="44"/>
      <c r="CJ44" s="44"/>
      <c r="CK44" s="43"/>
      <c r="CL44" s="44"/>
      <c r="CM44" s="44"/>
      <c r="CN44" s="43"/>
      <c r="CO44" s="44"/>
      <c r="CP44" s="44"/>
      <c r="CQ44" s="43"/>
      <c r="CR44" s="44"/>
      <c r="CS44" s="44"/>
      <c r="CT44" s="43"/>
      <c r="CU44" s="44"/>
      <c r="CV44" s="44"/>
      <c r="CW44" s="66"/>
    </row>
    <row r="45" spans="2:101" ht="36.6" customHeight="1" x14ac:dyDescent="0.3">
      <c r="B45" s="81" t="s">
        <v>112</v>
      </c>
      <c r="C45" s="40" t="s">
        <v>110</v>
      </c>
      <c r="D45" s="42">
        <v>5839.6</v>
      </c>
      <c r="E45" s="41">
        <v>4.1354393743457116</v>
      </c>
      <c r="F45" s="48">
        <v>5</v>
      </c>
      <c r="G45" s="43">
        <v>0.86456062565428837</v>
      </c>
      <c r="H45" s="43">
        <f t="shared" si="2"/>
        <v>17.291212513085767</v>
      </c>
      <c r="I45" s="44"/>
      <c r="J45" s="44"/>
      <c r="K45" s="43"/>
      <c r="L45" s="44"/>
      <c r="M45" s="44"/>
      <c r="N45" s="43"/>
      <c r="O45" s="44"/>
      <c r="P45" s="44"/>
      <c r="Q45" s="43"/>
      <c r="R45" s="44"/>
      <c r="S45" s="44"/>
      <c r="T45" s="43"/>
      <c r="U45" s="44"/>
      <c r="V45" s="44"/>
      <c r="W45" s="43"/>
      <c r="X45" s="44"/>
      <c r="Y45" s="44"/>
      <c r="Z45" s="43"/>
      <c r="AA45" s="44"/>
      <c r="AB45" s="44"/>
      <c r="AC45" s="43"/>
      <c r="AD45" s="44"/>
      <c r="AE45" s="44"/>
      <c r="AF45" s="43"/>
      <c r="AG45" s="44">
        <f t="shared" ref="AG45:AG56" si="4">0.01*E45</f>
        <v>4.1354393743457118E-2</v>
      </c>
      <c r="AH45" s="44">
        <f t="shared" ref="AH45:AH56" si="5">0.01*F45</f>
        <v>0.05</v>
      </c>
      <c r="AI45" s="43">
        <f t="shared" ref="AI45:AI56" si="6">0.01*G45</f>
        <v>8.6456062565428843E-3</v>
      </c>
      <c r="AJ45" s="44">
        <f>56.45*E45</f>
        <v>233.44555268181543</v>
      </c>
      <c r="AK45" s="44">
        <f>56.45*F45</f>
        <v>282.25</v>
      </c>
      <c r="AL45" s="43">
        <f>56.45*G45</f>
        <v>48.804447318184579</v>
      </c>
      <c r="AM45" s="44"/>
      <c r="AN45" s="44"/>
      <c r="AO45" s="43"/>
      <c r="AP45" s="44"/>
      <c r="AQ45" s="44"/>
      <c r="AR45" s="43"/>
      <c r="AS45" s="44"/>
      <c r="AT45" s="44"/>
      <c r="AU45" s="43"/>
      <c r="AV45" s="44"/>
      <c r="AW45" s="44"/>
      <c r="AX45" s="43"/>
      <c r="AY45" s="44"/>
      <c r="AZ45" s="44"/>
      <c r="BA45" s="43"/>
      <c r="BB45" s="44"/>
      <c r="BC45" s="44"/>
      <c r="BD45" s="43"/>
      <c r="BE45" s="44"/>
      <c r="BF45" s="44"/>
      <c r="BG45" s="43"/>
      <c r="BH45" s="44"/>
      <c r="BI45" s="44"/>
      <c r="BJ45" s="43"/>
      <c r="BK45" s="44"/>
      <c r="BL45" s="44"/>
      <c r="BM45" s="43"/>
      <c r="BN45" s="44">
        <f>3.08*E45</f>
        <v>12.737153272984791</v>
      </c>
      <c r="BO45" s="44">
        <f>3.08*F45</f>
        <v>15.4</v>
      </c>
      <c r="BP45" s="43">
        <f>3.08*G45</f>
        <v>2.6628467270152081</v>
      </c>
      <c r="BQ45" s="44">
        <f>4.64*E45</f>
        <v>19.188438696964102</v>
      </c>
      <c r="BR45" s="44">
        <f>4.64*F45</f>
        <v>23.2</v>
      </c>
      <c r="BS45" s="43">
        <f>4.64*G45</f>
        <v>4.0115613030358981</v>
      </c>
      <c r="BT45" s="44"/>
      <c r="BU45" s="44"/>
      <c r="BV45" s="43"/>
      <c r="BW45" s="44"/>
      <c r="BX45" s="44"/>
      <c r="BY45" s="43"/>
      <c r="BZ45" s="44"/>
      <c r="CA45" s="44"/>
      <c r="CB45" s="43"/>
      <c r="CC45" s="44"/>
      <c r="CD45" s="44"/>
      <c r="CE45" s="43"/>
      <c r="CF45" s="44"/>
      <c r="CG45" s="44"/>
      <c r="CH45" s="43"/>
      <c r="CI45" s="44"/>
      <c r="CJ45" s="44"/>
      <c r="CK45" s="43"/>
      <c r="CL45" s="44"/>
      <c r="CM45" s="44"/>
      <c r="CN45" s="43"/>
      <c r="CO45" s="44"/>
      <c r="CP45" s="44"/>
      <c r="CQ45" s="43"/>
      <c r="CR45" s="44"/>
      <c r="CS45" s="44"/>
      <c r="CT45" s="43"/>
      <c r="CU45" s="44"/>
      <c r="CV45" s="44"/>
      <c r="CW45" s="66"/>
    </row>
    <row r="46" spans="2:101" ht="36.6" customHeight="1" x14ac:dyDescent="0.3">
      <c r="B46" s="81" t="s">
        <v>113</v>
      </c>
      <c r="C46" s="40" t="s">
        <v>114</v>
      </c>
      <c r="D46" s="42">
        <v>34544</v>
      </c>
      <c r="E46" s="41">
        <v>24.987011353272319</v>
      </c>
      <c r="F46" s="48">
        <v>37</v>
      </c>
      <c r="G46" s="43">
        <v>6.0129886467276794</v>
      </c>
      <c r="H46" s="43">
        <f t="shared" si="2"/>
        <v>16.251320666831564</v>
      </c>
      <c r="I46" s="44"/>
      <c r="J46" s="44"/>
      <c r="K46" s="43"/>
      <c r="L46" s="44">
        <f t="shared" ref="L46:N47" si="7">14.5*E46</f>
        <v>362.31166462244863</v>
      </c>
      <c r="M46" s="44">
        <f t="shared" si="7"/>
        <v>536.5</v>
      </c>
      <c r="N46" s="43">
        <f t="shared" si="7"/>
        <v>87.188335377551354</v>
      </c>
      <c r="O46" s="44"/>
      <c r="P46" s="44"/>
      <c r="Q46" s="43"/>
      <c r="R46" s="44"/>
      <c r="S46" s="44"/>
      <c r="T46" s="43"/>
      <c r="U46" s="44"/>
      <c r="V46" s="44"/>
      <c r="W46" s="43"/>
      <c r="X46" s="44"/>
      <c r="Y46" s="44"/>
      <c r="Z46" s="43"/>
      <c r="AA46" s="44"/>
      <c r="AB46" s="44"/>
      <c r="AC46" s="43"/>
      <c r="AD46" s="44"/>
      <c r="AE46" s="44"/>
      <c r="AF46" s="43"/>
      <c r="AG46" s="44">
        <f t="shared" si="4"/>
        <v>0.2498701135327232</v>
      </c>
      <c r="AH46" s="44">
        <f t="shared" si="5"/>
        <v>0.37</v>
      </c>
      <c r="AI46" s="43">
        <f t="shared" si="6"/>
        <v>6.0129886467276794E-2</v>
      </c>
      <c r="AJ46" s="44">
        <f>43.3*E46</f>
        <v>1081.9375915966914</v>
      </c>
      <c r="AK46" s="44">
        <f>43.3*F46</f>
        <v>1602.1</v>
      </c>
      <c r="AL46" s="43">
        <f>43.3*G46</f>
        <v>260.36240840330851</v>
      </c>
      <c r="AM46" s="44"/>
      <c r="AN46" s="44"/>
      <c r="AO46" s="43"/>
      <c r="AP46" s="44"/>
      <c r="AQ46" s="44"/>
      <c r="AR46" s="43"/>
      <c r="AS46" s="44">
        <f t="shared" ref="AS46:AU47" si="8">0.45*E46</f>
        <v>11.244155108972544</v>
      </c>
      <c r="AT46" s="44">
        <f t="shared" si="8"/>
        <v>16.650000000000002</v>
      </c>
      <c r="AU46" s="43">
        <f t="shared" si="8"/>
        <v>2.7058448910274557</v>
      </c>
      <c r="AV46" s="44"/>
      <c r="AW46" s="44"/>
      <c r="AX46" s="43"/>
      <c r="AY46" s="44"/>
      <c r="AZ46" s="44"/>
      <c r="BA46" s="43"/>
      <c r="BB46" s="44"/>
      <c r="BC46" s="44"/>
      <c r="BD46" s="43"/>
      <c r="BE46" s="44"/>
      <c r="BF46" s="44"/>
      <c r="BG46" s="43"/>
      <c r="BH46" s="44"/>
      <c r="BI46" s="44"/>
      <c r="BJ46" s="43"/>
      <c r="BK46" s="44"/>
      <c r="BL46" s="44"/>
      <c r="BM46" s="43"/>
      <c r="BN46" s="44"/>
      <c r="BO46" s="44"/>
      <c r="BP46" s="43"/>
      <c r="BQ46" s="44"/>
      <c r="BR46" s="44"/>
      <c r="BS46" s="43"/>
      <c r="BT46" s="44">
        <f t="shared" ref="BT46:BV47" si="9">4.2*E46</f>
        <v>104.94544768374374</v>
      </c>
      <c r="BU46" s="44">
        <f t="shared" si="9"/>
        <v>155.4</v>
      </c>
      <c r="BV46" s="43">
        <f t="shared" si="9"/>
        <v>25.254552316256255</v>
      </c>
      <c r="BW46" s="44">
        <f>0.21*E46</f>
        <v>5.2472723841871867</v>
      </c>
      <c r="BX46" s="44">
        <f>0.21*F46</f>
        <v>7.77</v>
      </c>
      <c r="BY46" s="43">
        <f>0.21*G46</f>
        <v>1.2627276158128127</v>
      </c>
      <c r="BZ46" s="44"/>
      <c r="CA46" s="44"/>
      <c r="CB46" s="43"/>
      <c r="CC46" s="44"/>
      <c r="CD46" s="44"/>
      <c r="CE46" s="43"/>
      <c r="CF46" s="44"/>
      <c r="CG46" s="44"/>
      <c r="CH46" s="43"/>
      <c r="CI46" s="44"/>
      <c r="CJ46" s="44"/>
      <c r="CK46" s="43"/>
      <c r="CL46" s="44"/>
      <c r="CM46" s="44"/>
      <c r="CN46" s="43"/>
      <c r="CO46" s="44"/>
      <c r="CP46" s="44"/>
      <c r="CQ46" s="43"/>
      <c r="CR46" s="44"/>
      <c r="CS46" s="44"/>
      <c r="CT46" s="43"/>
      <c r="CU46" s="44"/>
      <c r="CV46" s="44"/>
      <c r="CW46" s="66"/>
    </row>
    <row r="47" spans="2:101" ht="36.6" customHeight="1" x14ac:dyDescent="0.3">
      <c r="B47" s="81" t="s">
        <v>115</v>
      </c>
      <c r="C47" s="40" t="s">
        <v>110</v>
      </c>
      <c r="D47" s="42">
        <v>18808.580000000002</v>
      </c>
      <c r="E47" s="41">
        <v>13.604969808472493</v>
      </c>
      <c r="F47" s="48">
        <v>13.5</v>
      </c>
      <c r="G47" s="43">
        <v>-0.10496980847249437</v>
      </c>
      <c r="H47" s="43">
        <f t="shared" si="2"/>
        <v>-0.77755413683329166</v>
      </c>
      <c r="I47" s="44"/>
      <c r="J47" s="44"/>
      <c r="K47" s="43"/>
      <c r="L47" s="44">
        <f t="shared" si="7"/>
        <v>197.27206222285116</v>
      </c>
      <c r="M47" s="44">
        <f t="shared" si="7"/>
        <v>195.75</v>
      </c>
      <c r="N47" s="43">
        <f t="shared" si="7"/>
        <v>-1.5220622228511684</v>
      </c>
      <c r="O47" s="44"/>
      <c r="P47" s="44"/>
      <c r="Q47" s="43"/>
      <c r="R47" s="44"/>
      <c r="S47" s="44"/>
      <c r="T47" s="43"/>
      <c r="U47" s="44"/>
      <c r="V47" s="44"/>
      <c r="W47" s="43"/>
      <c r="X47" s="44"/>
      <c r="Y47" s="44"/>
      <c r="Z47" s="43"/>
      <c r="AA47" s="44"/>
      <c r="AB47" s="44"/>
      <c r="AC47" s="43"/>
      <c r="AD47" s="44"/>
      <c r="AE47" s="44"/>
      <c r="AF47" s="43"/>
      <c r="AG47" s="44">
        <f t="shared" si="4"/>
        <v>0.13604969808472495</v>
      </c>
      <c r="AH47" s="44">
        <f t="shared" si="5"/>
        <v>0.13500000000000001</v>
      </c>
      <c r="AI47" s="43">
        <f t="shared" si="6"/>
        <v>-1.0496980847249438E-3</v>
      </c>
      <c r="AJ47" s="44">
        <f>45.3*E47</f>
        <v>616.30513232380395</v>
      </c>
      <c r="AK47" s="44">
        <f>45.3*F47</f>
        <v>611.54999999999995</v>
      </c>
      <c r="AL47" s="43">
        <f>45.3*G47</f>
        <v>-4.7551323238039949</v>
      </c>
      <c r="AM47" s="44"/>
      <c r="AN47" s="44"/>
      <c r="AO47" s="43"/>
      <c r="AP47" s="44"/>
      <c r="AQ47" s="44"/>
      <c r="AR47" s="43"/>
      <c r="AS47" s="44">
        <f t="shared" si="8"/>
        <v>6.1222364138126224</v>
      </c>
      <c r="AT47" s="44">
        <f t="shared" si="8"/>
        <v>6.0750000000000002</v>
      </c>
      <c r="AU47" s="43">
        <f t="shared" si="8"/>
        <v>-4.7236413812622467E-2</v>
      </c>
      <c r="AV47" s="44"/>
      <c r="AW47" s="44"/>
      <c r="AX47" s="43"/>
      <c r="AY47" s="44"/>
      <c r="AZ47" s="44"/>
      <c r="BA47" s="43"/>
      <c r="BB47" s="44"/>
      <c r="BC47" s="44"/>
      <c r="BD47" s="43"/>
      <c r="BE47" s="44"/>
      <c r="BF47" s="44"/>
      <c r="BG47" s="43"/>
      <c r="BH47" s="44"/>
      <c r="BI47" s="44"/>
      <c r="BJ47" s="43"/>
      <c r="BK47" s="44"/>
      <c r="BL47" s="44"/>
      <c r="BM47" s="43"/>
      <c r="BN47" s="44"/>
      <c r="BO47" s="44"/>
      <c r="BP47" s="43"/>
      <c r="BQ47" s="44"/>
      <c r="BR47" s="44"/>
      <c r="BS47" s="43"/>
      <c r="BT47" s="44">
        <f t="shared" si="9"/>
        <v>57.140873195584476</v>
      </c>
      <c r="BU47" s="44">
        <f t="shared" si="9"/>
        <v>56.7</v>
      </c>
      <c r="BV47" s="43">
        <f t="shared" si="9"/>
        <v>-0.44087319558447641</v>
      </c>
      <c r="BW47" s="44">
        <f>2.16*E47</f>
        <v>29.386734786300586</v>
      </c>
      <c r="BX47" s="44">
        <f>2.16*F47</f>
        <v>29.160000000000004</v>
      </c>
      <c r="BY47" s="43">
        <f>2.16*G47</f>
        <v>-0.22673478630058785</v>
      </c>
      <c r="BZ47" s="44"/>
      <c r="CA47" s="44"/>
      <c r="CB47" s="43"/>
      <c r="CC47" s="44"/>
      <c r="CD47" s="44"/>
      <c r="CE47" s="43"/>
      <c r="CF47" s="44"/>
      <c r="CG47" s="44"/>
      <c r="CH47" s="43"/>
      <c r="CI47" s="44"/>
      <c r="CJ47" s="44"/>
      <c r="CK47" s="43"/>
      <c r="CL47" s="44"/>
      <c r="CM47" s="44"/>
      <c r="CN47" s="43"/>
      <c r="CO47" s="44"/>
      <c r="CP47" s="44"/>
      <c r="CQ47" s="43"/>
      <c r="CR47" s="44"/>
      <c r="CS47" s="44"/>
      <c r="CT47" s="43"/>
      <c r="CU47" s="44"/>
      <c r="CV47" s="44"/>
      <c r="CW47" s="66"/>
    </row>
    <row r="48" spans="2:101" ht="36.6" customHeight="1" x14ac:dyDescent="0.3">
      <c r="B48" s="81" t="s">
        <v>116</v>
      </c>
      <c r="C48" s="40" t="s">
        <v>114</v>
      </c>
      <c r="D48" s="42">
        <v>20386</v>
      </c>
      <c r="E48" s="46">
        <v>21.980699999999999</v>
      </c>
      <c r="F48" s="49">
        <v>22</v>
      </c>
      <c r="G48" s="45">
        <v>1.9300000000000001E-2</v>
      </c>
      <c r="H48" s="43">
        <f t="shared" si="2"/>
        <v>8.7727272727272723E-2</v>
      </c>
      <c r="I48" s="44"/>
      <c r="J48" s="44"/>
      <c r="K48" s="43"/>
      <c r="L48" s="44">
        <f>0.38*E48</f>
        <v>8.3526659999999993</v>
      </c>
      <c r="M48" s="44">
        <f>0.38*F48</f>
        <v>8.36</v>
      </c>
      <c r="N48" s="43">
        <f>0.38*G48</f>
        <v>7.3340000000000002E-3</v>
      </c>
      <c r="O48" s="44"/>
      <c r="P48" s="44"/>
      <c r="Q48" s="43"/>
      <c r="R48" s="44"/>
      <c r="S48" s="44"/>
      <c r="T48" s="43"/>
      <c r="U48" s="44"/>
      <c r="V48" s="44"/>
      <c r="W48" s="43"/>
      <c r="X48" s="44"/>
      <c r="Y48" s="44"/>
      <c r="Z48" s="43"/>
      <c r="AA48" s="44"/>
      <c r="AB48" s="44"/>
      <c r="AC48" s="43"/>
      <c r="AD48" s="44"/>
      <c r="AE48" s="44"/>
      <c r="AF48" s="43"/>
      <c r="AG48" s="44">
        <f t="shared" si="4"/>
        <v>0.219807</v>
      </c>
      <c r="AH48" s="44">
        <f t="shared" si="5"/>
        <v>0.22</v>
      </c>
      <c r="AI48" s="43">
        <f t="shared" si="6"/>
        <v>1.9300000000000003E-4</v>
      </c>
      <c r="AJ48" s="44"/>
      <c r="AK48" s="44"/>
      <c r="AL48" s="43"/>
      <c r="AM48" s="44">
        <f>4.755*E48</f>
        <v>104.51822849999999</v>
      </c>
      <c r="AN48" s="44">
        <f>4.755*F48</f>
        <v>104.61</v>
      </c>
      <c r="AO48" s="43">
        <f>4.755*G48</f>
        <v>9.1771500000000006E-2</v>
      </c>
      <c r="AP48" s="44"/>
      <c r="AQ48" s="44"/>
      <c r="AR48" s="43"/>
      <c r="AS48" s="44"/>
      <c r="AT48" s="44"/>
      <c r="AU48" s="43"/>
      <c r="AV48" s="44">
        <f>23.463*E48</f>
        <v>515.73316409999995</v>
      </c>
      <c r="AW48" s="44">
        <f>23.463*F48</f>
        <v>516.18600000000004</v>
      </c>
      <c r="AX48" s="43">
        <f>23.463*G48</f>
        <v>0.45283590000000007</v>
      </c>
      <c r="AY48" s="44"/>
      <c r="AZ48" s="44"/>
      <c r="BA48" s="43"/>
      <c r="BB48" s="44"/>
      <c r="BC48" s="44"/>
      <c r="BD48" s="43"/>
      <c r="BE48" s="44"/>
      <c r="BF48" s="44"/>
      <c r="BG48" s="43"/>
      <c r="BH48" s="44"/>
      <c r="BI48" s="44"/>
      <c r="BJ48" s="43"/>
      <c r="BK48" s="44"/>
      <c r="BL48" s="44"/>
      <c r="BM48" s="43"/>
      <c r="BN48" s="44"/>
      <c r="BO48" s="44"/>
      <c r="BP48" s="43"/>
      <c r="BQ48" s="44"/>
      <c r="BR48" s="44"/>
      <c r="BS48" s="43"/>
      <c r="BT48" s="44"/>
      <c r="BU48" s="44"/>
      <c r="BV48" s="43"/>
      <c r="BW48" s="44"/>
      <c r="BX48" s="44"/>
      <c r="BY48" s="43"/>
      <c r="BZ48" s="44"/>
      <c r="CA48" s="44"/>
      <c r="CB48" s="43"/>
      <c r="CC48" s="44">
        <f>9*E48</f>
        <v>197.8263</v>
      </c>
      <c r="CD48" s="44">
        <f>9*F48</f>
        <v>198</v>
      </c>
      <c r="CE48" s="43">
        <f>9*G48</f>
        <v>0.17370000000000002</v>
      </c>
      <c r="CF48" s="44">
        <f>0.37*E48</f>
        <v>8.1328589999999998</v>
      </c>
      <c r="CG48" s="44">
        <f>0.37*F48</f>
        <v>8.14</v>
      </c>
      <c r="CH48" s="43">
        <f>0.37*G48</f>
        <v>7.1410000000000006E-3</v>
      </c>
      <c r="CI48" s="44"/>
      <c r="CJ48" s="44"/>
      <c r="CK48" s="43"/>
      <c r="CL48" s="44"/>
      <c r="CM48" s="44"/>
      <c r="CN48" s="43"/>
      <c r="CO48" s="44"/>
      <c r="CP48" s="44"/>
      <c r="CQ48" s="43"/>
      <c r="CR48" s="44"/>
      <c r="CS48" s="44"/>
      <c r="CT48" s="43"/>
      <c r="CU48" s="44"/>
      <c r="CV48" s="44"/>
      <c r="CW48" s="66"/>
    </row>
    <row r="49" spans="2:101" ht="36.6" customHeight="1" x14ac:dyDescent="0.3">
      <c r="B49" s="81" t="s">
        <v>117</v>
      </c>
      <c r="C49" s="40" t="s">
        <v>110</v>
      </c>
      <c r="D49" s="42">
        <v>20697</v>
      </c>
      <c r="E49" s="41">
        <v>13.017129092412819</v>
      </c>
      <c r="F49" s="48">
        <v>12.5</v>
      </c>
      <c r="G49" s="43">
        <v>-0.51712909241282023</v>
      </c>
      <c r="H49" s="43">
        <f t="shared" si="2"/>
        <v>-4.1370327393025619</v>
      </c>
      <c r="I49" s="44"/>
      <c r="J49" s="44"/>
      <c r="K49" s="43"/>
      <c r="L49" s="44">
        <f t="shared" ref="L49:N50" si="10">14.5*E49</f>
        <v>188.74837183998588</v>
      </c>
      <c r="M49" s="44">
        <f t="shared" si="10"/>
        <v>181.25</v>
      </c>
      <c r="N49" s="43">
        <f t="shared" si="10"/>
        <v>-7.498371839985893</v>
      </c>
      <c r="O49" s="44"/>
      <c r="P49" s="44"/>
      <c r="Q49" s="43"/>
      <c r="R49" s="44"/>
      <c r="S49" s="44"/>
      <c r="T49" s="43"/>
      <c r="U49" s="44"/>
      <c r="V49" s="44"/>
      <c r="W49" s="43"/>
      <c r="X49" s="44"/>
      <c r="Y49" s="44"/>
      <c r="Z49" s="43"/>
      <c r="AA49" s="44"/>
      <c r="AB49" s="44"/>
      <c r="AC49" s="43"/>
      <c r="AD49" s="44"/>
      <c r="AE49" s="44"/>
      <c r="AF49" s="43"/>
      <c r="AG49" s="44">
        <f t="shared" si="4"/>
        <v>0.13017129092412819</v>
      </c>
      <c r="AH49" s="44">
        <f t="shared" si="5"/>
        <v>0.125</v>
      </c>
      <c r="AI49" s="43">
        <f t="shared" si="6"/>
        <v>-5.1712909241282022E-3</v>
      </c>
      <c r="AJ49" s="44">
        <f t="shared" ref="AJ49:AL50" si="11">45.3*E49</f>
        <v>589.67594788630072</v>
      </c>
      <c r="AK49" s="44">
        <f t="shared" si="11"/>
        <v>566.25</v>
      </c>
      <c r="AL49" s="43">
        <f t="shared" si="11"/>
        <v>-23.425947886300754</v>
      </c>
      <c r="AM49" s="44"/>
      <c r="AN49" s="44"/>
      <c r="AO49" s="43"/>
      <c r="AP49" s="44"/>
      <c r="AQ49" s="44"/>
      <c r="AR49" s="43"/>
      <c r="AS49" s="44">
        <f t="shared" ref="AS49:AU50" si="12">0.45*E49</f>
        <v>5.8577080915857689</v>
      </c>
      <c r="AT49" s="44">
        <f t="shared" si="12"/>
        <v>5.625</v>
      </c>
      <c r="AU49" s="43">
        <f t="shared" si="12"/>
        <v>-0.23270809158576911</v>
      </c>
      <c r="AV49" s="44"/>
      <c r="AW49" s="44"/>
      <c r="AX49" s="43"/>
      <c r="AY49" s="44"/>
      <c r="AZ49" s="44"/>
      <c r="BA49" s="43"/>
      <c r="BB49" s="44"/>
      <c r="BC49" s="44"/>
      <c r="BD49" s="43"/>
      <c r="BE49" s="44"/>
      <c r="BF49" s="44"/>
      <c r="BG49" s="43"/>
      <c r="BH49" s="44"/>
      <c r="BI49" s="44"/>
      <c r="BJ49" s="43"/>
      <c r="BK49" s="44"/>
      <c r="BL49" s="44"/>
      <c r="BM49" s="43"/>
      <c r="BN49" s="44"/>
      <c r="BO49" s="44"/>
      <c r="BP49" s="43"/>
      <c r="BQ49" s="44"/>
      <c r="BR49" s="44"/>
      <c r="BS49" s="43"/>
      <c r="BT49" s="44">
        <f t="shared" ref="BT49:BV50" si="13">4.2*E49</f>
        <v>54.671942188133841</v>
      </c>
      <c r="BU49" s="44">
        <f t="shared" si="13"/>
        <v>52.5</v>
      </c>
      <c r="BV49" s="43">
        <f t="shared" si="13"/>
        <v>-2.171942188133845</v>
      </c>
      <c r="BW49" s="44">
        <f t="shared" ref="BW49:BY50" si="14">2.16*E49</f>
        <v>28.116998839611693</v>
      </c>
      <c r="BX49" s="44">
        <f t="shared" si="14"/>
        <v>27</v>
      </c>
      <c r="BY49" s="43">
        <f t="shared" si="14"/>
        <v>-1.1169988396116919</v>
      </c>
      <c r="BZ49" s="44"/>
      <c r="CA49" s="44"/>
      <c r="CB49" s="43"/>
      <c r="CC49" s="44"/>
      <c r="CD49" s="44"/>
      <c r="CE49" s="43"/>
      <c r="CF49" s="44"/>
      <c r="CG49" s="44"/>
      <c r="CH49" s="43"/>
      <c r="CI49" s="44"/>
      <c r="CJ49" s="44"/>
      <c r="CK49" s="43"/>
      <c r="CL49" s="44"/>
      <c r="CM49" s="44"/>
      <c r="CN49" s="43"/>
      <c r="CO49" s="44"/>
      <c r="CP49" s="44"/>
      <c r="CQ49" s="43"/>
      <c r="CR49" s="44"/>
      <c r="CS49" s="44"/>
      <c r="CT49" s="43"/>
      <c r="CU49" s="44"/>
      <c r="CV49" s="44"/>
      <c r="CW49" s="66"/>
    </row>
    <row r="50" spans="2:101" ht="36.6" customHeight="1" x14ac:dyDescent="0.3">
      <c r="B50" s="81" t="s">
        <v>118</v>
      </c>
      <c r="C50" s="40" t="s">
        <v>114</v>
      </c>
      <c r="D50" s="42">
        <v>39645.589999999997</v>
      </c>
      <c r="E50" s="41">
        <v>24.934568565112247</v>
      </c>
      <c r="F50" s="48">
        <v>37.5</v>
      </c>
      <c r="G50" s="43">
        <v>12.565431434887751</v>
      </c>
      <c r="H50" s="43">
        <f t="shared" si="2"/>
        <v>33.507817159700672</v>
      </c>
      <c r="I50" s="44"/>
      <c r="J50" s="44"/>
      <c r="K50" s="43"/>
      <c r="L50" s="44">
        <f t="shared" si="10"/>
        <v>361.55124419412761</v>
      </c>
      <c r="M50" s="44">
        <f t="shared" si="10"/>
        <v>543.75</v>
      </c>
      <c r="N50" s="43">
        <f t="shared" si="10"/>
        <v>182.19875580587239</v>
      </c>
      <c r="O50" s="44"/>
      <c r="P50" s="44"/>
      <c r="Q50" s="43"/>
      <c r="R50" s="44"/>
      <c r="S50" s="44"/>
      <c r="T50" s="43"/>
      <c r="U50" s="44"/>
      <c r="V50" s="44"/>
      <c r="W50" s="43"/>
      <c r="X50" s="44"/>
      <c r="Y50" s="44"/>
      <c r="Z50" s="43"/>
      <c r="AA50" s="44"/>
      <c r="AB50" s="44"/>
      <c r="AC50" s="43"/>
      <c r="AD50" s="44"/>
      <c r="AE50" s="44"/>
      <c r="AF50" s="43"/>
      <c r="AG50" s="44">
        <f t="shared" si="4"/>
        <v>0.24934568565112247</v>
      </c>
      <c r="AH50" s="44">
        <f t="shared" si="5"/>
        <v>0.375</v>
      </c>
      <c r="AI50" s="43">
        <f t="shared" si="6"/>
        <v>0.1256543143488775</v>
      </c>
      <c r="AJ50" s="44">
        <f t="shared" si="11"/>
        <v>1129.5359559995848</v>
      </c>
      <c r="AK50" s="44">
        <f t="shared" si="11"/>
        <v>1698.75</v>
      </c>
      <c r="AL50" s="43">
        <f t="shared" si="11"/>
        <v>569.21404400041513</v>
      </c>
      <c r="AM50" s="44"/>
      <c r="AN50" s="44"/>
      <c r="AO50" s="43"/>
      <c r="AP50" s="44"/>
      <c r="AQ50" s="44"/>
      <c r="AR50" s="43"/>
      <c r="AS50" s="44">
        <f t="shared" si="12"/>
        <v>11.220555854300512</v>
      </c>
      <c r="AT50" s="44">
        <f t="shared" si="12"/>
        <v>16.875</v>
      </c>
      <c r="AU50" s="43">
        <f t="shared" si="12"/>
        <v>5.6544441456994878</v>
      </c>
      <c r="AV50" s="44"/>
      <c r="AW50" s="44"/>
      <c r="AX50" s="43"/>
      <c r="AY50" s="44"/>
      <c r="AZ50" s="44"/>
      <c r="BA50" s="43"/>
      <c r="BB50" s="44"/>
      <c r="BC50" s="44"/>
      <c r="BD50" s="43"/>
      <c r="BE50" s="44"/>
      <c r="BF50" s="44"/>
      <c r="BG50" s="43"/>
      <c r="BH50" s="44"/>
      <c r="BI50" s="44"/>
      <c r="BJ50" s="43"/>
      <c r="BK50" s="44"/>
      <c r="BL50" s="44"/>
      <c r="BM50" s="43"/>
      <c r="BN50" s="44"/>
      <c r="BO50" s="44"/>
      <c r="BP50" s="43"/>
      <c r="BQ50" s="44"/>
      <c r="BR50" s="44"/>
      <c r="BS50" s="43"/>
      <c r="BT50" s="44">
        <f t="shared" si="13"/>
        <v>104.72518797347145</v>
      </c>
      <c r="BU50" s="44">
        <f t="shared" si="13"/>
        <v>157.5</v>
      </c>
      <c r="BV50" s="43">
        <f t="shared" si="13"/>
        <v>52.774812026528558</v>
      </c>
      <c r="BW50" s="44">
        <f t="shared" si="14"/>
        <v>53.858668100642454</v>
      </c>
      <c r="BX50" s="44">
        <f t="shared" si="14"/>
        <v>81</v>
      </c>
      <c r="BY50" s="43">
        <f t="shared" si="14"/>
        <v>27.141331899357542</v>
      </c>
      <c r="BZ50" s="44"/>
      <c r="CA50" s="44"/>
      <c r="CB50" s="43"/>
      <c r="CC50" s="44"/>
      <c r="CD50" s="44"/>
      <c r="CE50" s="43"/>
      <c r="CF50" s="44"/>
      <c r="CG50" s="44"/>
      <c r="CH50" s="43"/>
      <c r="CI50" s="44"/>
      <c r="CJ50" s="44"/>
      <c r="CK50" s="43"/>
      <c r="CL50" s="44"/>
      <c r="CM50" s="44"/>
      <c r="CN50" s="43"/>
      <c r="CO50" s="44"/>
      <c r="CP50" s="44"/>
      <c r="CQ50" s="43"/>
      <c r="CR50" s="44"/>
      <c r="CS50" s="44"/>
      <c r="CT50" s="43"/>
      <c r="CU50" s="44"/>
      <c r="CV50" s="44"/>
      <c r="CW50" s="66"/>
    </row>
    <row r="51" spans="2:101" ht="36.6" customHeight="1" x14ac:dyDescent="0.3">
      <c r="B51" s="81" t="s">
        <v>119</v>
      </c>
      <c r="C51" s="40" t="s">
        <v>120</v>
      </c>
      <c r="D51" s="42">
        <v>684</v>
      </c>
      <c r="E51" s="41">
        <v>0.85329394541788006</v>
      </c>
      <c r="F51" s="48">
        <v>2</v>
      </c>
      <c r="G51" s="43">
        <v>1.1467060545821199</v>
      </c>
      <c r="H51" s="43">
        <f t="shared" si="2"/>
        <v>57.335302729105997</v>
      </c>
      <c r="I51" s="44">
        <f>40*E51</f>
        <v>34.131757816715201</v>
      </c>
      <c r="J51" s="44">
        <f>40*F51</f>
        <v>80</v>
      </c>
      <c r="K51" s="43">
        <f>40*G51</f>
        <v>45.868242183284799</v>
      </c>
      <c r="L51" s="44"/>
      <c r="M51" s="44"/>
      <c r="N51" s="43"/>
      <c r="O51" s="44">
        <f>8*E51</f>
        <v>6.8263515633430405</v>
      </c>
      <c r="P51" s="44">
        <f>8*F51</f>
        <v>16</v>
      </c>
      <c r="Q51" s="43">
        <f>8*G51</f>
        <v>9.1736484366569595</v>
      </c>
      <c r="R51" s="44"/>
      <c r="S51" s="44"/>
      <c r="T51" s="43"/>
      <c r="U51" s="44">
        <f>0.5*E51</f>
        <v>0.42664697270894003</v>
      </c>
      <c r="V51" s="44">
        <f>0.5*F51</f>
        <v>1</v>
      </c>
      <c r="W51" s="43">
        <f>0.5*G51</f>
        <v>0.57335302729105997</v>
      </c>
      <c r="X51" s="44"/>
      <c r="Y51" s="44"/>
      <c r="Z51" s="43"/>
      <c r="AA51" s="44"/>
      <c r="AB51" s="44"/>
      <c r="AC51" s="43"/>
      <c r="AD51" s="44">
        <f>0.5*E51</f>
        <v>0.42664697270894003</v>
      </c>
      <c r="AE51" s="44">
        <f>0.5*F51</f>
        <v>1</v>
      </c>
      <c r="AF51" s="43">
        <f>0.5*G51</f>
        <v>0.57335302729105997</v>
      </c>
      <c r="AG51" s="44">
        <f t="shared" si="4"/>
        <v>8.5329394541788003E-3</v>
      </c>
      <c r="AH51" s="44">
        <f t="shared" si="5"/>
        <v>0.02</v>
      </c>
      <c r="AI51" s="43">
        <f t="shared" si="6"/>
        <v>1.14670605458212E-2</v>
      </c>
      <c r="AJ51" s="44"/>
      <c r="AK51" s="44"/>
      <c r="AL51" s="43"/>
      <c r="AM51" s="44"/>
      <c r="AN51" s="44"/>
      <c r="AO51" s="43"/>
      <c r="AP51" s="44"/>
      <c r="AQ51" s="44"/>
      <c r="AR51" s="43"/>
      <c r="AS51" s="44"/>
      <c r="AT51" s="44"/>
      <c r="AU51" s="43"/>
      <c r="AV51" s="44"/>
      <c r="AW51" s="44"/>
      <c r="AX51" s="43"/>
      <c r="AY51" s="44">
        <f>5*E51</f>
        <v>4.2664697270894001</v>
      </c>
      <c r="AZ51" s="44">
        <f>5*F51</f>
        <v>10</v>
      </c>
      <c r="BA51" s="43">
        <f>5*G51</f>
        <v>5.7335302729105999</v>
      </c>
      <c r="BB51" s="44"/>
      <c r="BC51" s="44"/>
      <c r="BD51" s="43"/>
      <c r="BE51" s="44"/>
      <c r="BF51" s="44"/>
      <c r="BG51" s="43"/>
      <c r="BH51" s="44"/>
      <c r="BI51" s="44"/>
      <c r="BJ51" s="43"/>
      <c r="BK51" s="44"/>
      <c r="BL51" s="44"/>
      <c r="BM51" s="43"/>
      <c r="BN51" s="44"/>
      <c r="BO51" s="44"/>
      <c r="BP51" s="43"/>
      <c r="BQ51" s="44"/>
      <c r="BR51" s="44"/>
      <c r="BS51" s="43"/>
      <c r="BT51" s="44"/>
      <c r="BU51" s="44"/>
      <c r="BV51" s="43"/>
      <c r="BW51" s="44"/>
      <c r="BX51" s="44"/>
      <c r="BY51" s="43"/>
      <c r="BZ51" s="44"/>
      <c r="CA51" s="44"/>
      <c r="CB51" s="43"/>
      <c r="CC51" s="44"/>
      <c r="CD51" s="44"/>
      <c r="CE51" s="43"/>
      <c r="CF51" s="44"/>
      <c r="CG51" s="44"/>
      <c r="CH51" s="43"/>
      <c r="CI51" s="44"/>
      <c r="CJ51" s="44"/>
      <c r="CK51" s="43"/>
      <c r="CL51" s="44"/>
      <c r="CM51" s="44"/>
      <c r="CN51" s="43"/>
      <c r="CO51" s="44"/>
      <c r="CP51" s="44"/>
      <c r="CQ51" s="43"/>
      <c r="CR51" s="44"/>
      <c r="CS51" s="44"/>
      <c r="CT51" s="43"/>
      <c r="CU51" s="44"/>
      <c r="CV51" s="44"/>
      <c r="CW51" s="66"/>
    </row>
    <row r="52" spans="2:101" ht="36.6" customHeight="1" x14ac:dyDescent="0.3">
      <c r="B52" s="81" t="s">
        <v>121</v>
      </c>
      <c r="C52" s="40" t="s">
        <v>122</v>
      </c>
      <c r="D52" s="42">
        <v>2968.68</v>
      </c>
      <c r="E52" s="41">
        <v>2.7832824626282617</v>
      </c>
      <c r="F52" s="48">
        <v>8</v>
      </c>
      <c r="G52" s="43">
        <v>5.2167175373717383</v>
      </c>
      <c r="H52" s="43">
        <f t="shared" si="2"/>
        <v>65.208969217146731</v>
      </c>
      <c r="I52" s="44"/>
      <c r="J52" s="44"/>
      <c r="K52" s="43"/>
      <c r="L52" s="44"/>
      <c r="M52" s="44"/>
      <c r="N52" s="43"/>
      <c r="O52" s="44"/>
      <c r="P52" s="44"/>
      <c r="Q52" s="43"/>
      <c r="R52" s="44"/>
      <c r="S52" s="44"/>
      <c r="T52" s="43"/>
      <c r="U52" s="44"/>
      <c r="V52" s="44"/>
      <c r="W52" s="43"/>
      <c r="X52" s="44"/>
      <c r="Y52" s="44"/>
      <c r="Z52" s="43"/>
      <c r="AA52" s="44"/>
      <c r="AB52" s="44"/>
      <c r="AC52" s="43"/>
      <c r="AD52" s="44"/>
      <c r="AE52" s="44"/>
      <c r="AF52" s="43"/>
      <c r="AG52" s="44">
        <f t="shared" si="4"/>
        <v>2.7832824626282619E-2</v>
      </c>
      <c r="AH52" s="44">
        <f t="shared" si="5"/>
        <v>0.08</v>
      </c>
      <c r="AI52" s="43">
        <f t="shared" si="6"/>
        <v>5.2167175373717387E-2</v>
      </c>
      <c r="AJ52" s="44"/>
      <c r="AK52" s="44"/>
      <c r="AL52" s="43"/>
      <c r="AM52" s="44"/>
      <c r="AN52" s="44"/>
      <c r="AO52" s="43"/>
      <c r="AP52" s="44"/>
      <c r="AQ52" s="44"/>
      <c r="AR52" s="43"/>
      <c r="AS52" s="44">
        <f t="shared" ref="AS52:AU53" si="15">0.045*E52</f>
        <v>0.12524771081827177</v>
      </c>
      <c r="AT52" s="44">
        <f t="shared" si="15"/>
        <v>0.36</v>
      </c>
      <c r="AU52" s="43">
        <f t="shared" si="15"/>
        <v>0.23475228918172822</v>
      </c>
      <c r="AV52" s="44">
        <f t="shared" ref="AV52:AX53" si="16">32*E52</f>
        <v>89.065038804104375</v>
      </c>
      <c r="AW52" s="44">
        <f t="shared" si="16"/>
        <v>256</v>
      </c>
      <c r="AX52" s="43">
        <f t="shared" si="16"/>
        <v>166.93496119589562</v>
      </c>
      <c r="AY52" s="44">
        <f t="shared" ref="AY52:BA53" si="17">10*E52</f>
        <v>27.832824626282616</v>
      </c>
      <c r="AZ52" s="44">
        <f t="shared" si="17"/>
        <v>80</v>
      </c>
      <c r="BA52" s="43">
        <f t="shared" si="17"/>
        <v>52.167175373717384</v>
      </c>
      <c r="BB52" s="44">
        <f t="shared" ref="BB52:BD53" si="18">0.4*E52</f>
        <v>1.1133129850513048</v>
      </c>
      <c r="BC52" s="44">
        <f t="shared" si="18"/>
        <v>3.2</v>
      </c>
      <c r="BD52" s="43">
        <f t="shared" si="18"/>
        <v>2.0866870149486956</v>
      </c>
      <c r="BE52" s="44"/>
      <c r="BF52" s="44"/>
      <c r="BG52" s="43"/>
      <c r="BH52" s="44"/>
      <c r="BI52" s="44"/>
      <c r="BJ52" s="43"/>
      <c r="BK52" s="44"/>
      <c r="BL52" s="44"/>
      <c r="BM52" s="43"/>
      <c r="BN52" s="44"/>
      <c r="BO52" s="44"/>
      <c r="BP52" s="43"/>
      <c r="BQ52" s="44"/>
      <c r="BR52" s="44"/>
      <c r="BS52" s="43"/>
      <c r="BT52" s="44"/>
      <c r="BU52" s="44"/>
      <c r="BV52" s="43"/>
      <c r="BW52" s="44"/>
      <c r="BX52" s="44"/>
      <c r="BY52" s="43"/>
      <c r="BZ52" s="44">
        <f t="shared" ref="BZ52:CB53" si="19">0.875*E52</f>
        <v>2.4353721547997291</v>
      </c>
      <c r="CA52" s="44">
        <f t="shared" si="19"/>
        <v>7</v>
      </c>
      <c r="CB52" s="43">
        <f t="shared" si="19"/>
        <v>4.5646278452002713</v>
      </c>
      <c r="CC52" s="44"/>
      <c r="CD52" s="44"/>
      <c r="CE52" s="43"/>
      <c r="CF52" s="44"/>
      <c r="CG52" s="44"/>
      <c r="CH52" s="43"/>
      <c r="CI52" s="44"/>
      <c r="CJ52" s="44"/>
      <c r="CK52" s="43"/>
      <c r="CL52" s="44"/>
      <c r="CM52" s="44"/>
      <c r="CN52" s="43"/>
      <c r="CO52" s="44"/>
      <c r="CP52" s="44"/>
      <c r="CQ52" s="43"/>
      <c r="CR52" s="44"/>
      <c r="CS52" s="44"/>
      <c r="CT52" s="43"/>
      <c r="CU52" s="44"/>
      <c r="CV52" s="44"/>
      <c r="CW52" s="66"/>
    </row>
    <row r="53" spans="2:101" ht="36.6" customHeight="1" x14ac:dyDescent="0.3">
      <c r="B53" s="81" t="s">
        <v>123</v>
      </c>
      <c r="C53" s="40" t="s">
        <v>124</v>
      </c>
      <c r="D53" s="42">
        <v>4756.78</v>
      </c>
      <c r="E53" s="41">
        <v>4.4597135267461843</v>
      </c>
      <c r="F53" s="48">
        <v>2</v>
      </c>
      <c r="G53" s="43">
        <v>-2.4597135267461843</v>
      </c>
      <c r="H53" s="43">
        <f t="shared" si="2"/>
        <v>-122.98567633730922</v>
      </c>
      <c r="I53" s="44"/>
      <c r="J53" s="44"/>
      <c r="K53" s="43"/>
      <c r="L53" s="44"/>
      <c r="M53" s="44"/>
      <c r="N53" s="43"/>
      <c r="O53" s="44"/>
      <c r="P53" s="44"/>
      <c r="Q53" s="43"/>
      <c r="R53" s="44"/>
      <c r="S53" s="44"/>
      <c r="T53" s="43"/>
      <c r="U53" s="44"/>
      <c r="V53" s="44"/>
      <c r="W53" s="43"/>
      <c r="X53" s="44"/>
      <c r="Y53" s="44"/>
      <c r="Z53" s="43"/>
      <c r="AA53" s="44"/>
      <c r="AB53" s="44"/>
      <c r="AC53" s="43"/>
      <c r="AD53" s="44"/>
      <c r="AE53" s="44"/>
      <c r="AF53" s="43"/>
      <c r="AG53" s="44">
        <f t="shared" si="4"/>
        <v>4.459713526746184E-2</v>
      </c>
      <c r="AH53" s="44">
        <f t="shared" si="5"/>
        <v>0.02</v>
      </c>
      <c r="AI53" s="43">
        <f t="shared" si="6"/>
        <v>-2.4597135267461843E-2</v>
      </c>
      <c r="AJ53" s="44"/>
      <c r="AK53" s="44"/>
      <c r="AL53" s="43"/>
      <c r="AM53" s="44"/>
      <c r="AN53" s="44"/>
      <c r="AO53" s="43"/>
      <c r="AP53" s="44"/>
      <c r="AQ53" s="44"/>
      <c r="AR53" s="43"/>
      <c r="AS53" s="44">
        <f t="shared" si="15"/>
        <v>0.20068710870357828</v>
      </c>
      <c r="AT53" s="44">
        <f t="shared" si="15"/>
        <v>0.09</v>
      </c>
      <c r="AU53" s="43">
        <f t="shared" si="15"/>
        <v>-0.11068710870357829</v>
      </c>
      <c r="AV53" s="44">
        <f t="shared" si="16"/>
        <v>142.7108328558779</v>
      </c>
      <c r="AW53" s="44">
        <f t="shared" si="16"/>
        <v>64</v>
      </c>
      <c r="AX53" s="43">
        <f t="shared" si="16"/>
        <v>-78.710832855877896</v>
      </c>
      <c r="AY53" s="44">
        <f t="shared" si="17"/>
        <v>44.597135267461844</v>
      </c>
      <c r="AZ53" s="44">
        <f t="shared" si="17"/>
        <v>20</v>
      </c>
      <c r="BA53" s="43">
        <f t="shared" si="17"/>
        <v>-24.597135267461844</v>
      </c>
      <c r="BB53" s="44">
        <f t="shared" si="18"/>
        <v>1.7838854106984738</v>
      </c>
      <c r="BC53" s="44">
        <f t="shared" si="18"/>
        <v>0.8</v>
      </c>
      <c r="BD53" s="43">
        <f t="shared" si="18"/>
        <v>-0.98388541069847379</v>
      </c>
      <c r="BE53" s="44"/>
      <c r="BF53" s="44"/>
      <c r="BG53" s="43"/>
      <c r="BH53" s="44"/>
      <c r="BI53" s="44"/>
      <c r="BJ53" s="43"/>
      <c r="BK53" s="44"/>
      <c r="BL53" s="44"/>
      <c r="BM53" s="43"/>
      <c r="BN53" s="44"/>
      <c r="BO53" s="44"/>
      <c r="BP53" s="43"/>
      <c r="BQ53" s="44"/>
      <c r="BR53" s="44"/>
      <c r="BS53" s="43"/>
      <c r="BT53" s="44"/>
      <c r="BU53" s="44"/>
      <c r="BV53" s="43"/>
      <c r="BW53" s="44"/>
      <c r="BX53" s="44"/>
      <c r="BY53" s="43"/>
      <c r="BZ53" s="44">
        <f t="shared" si="19"/>
        <v>3.9022493359029111</v>
      </c>
      <c r="CA53" s="44">
        <f t="shared" si="19"/>
        <v>1.75</v>
      </c>
      <c r="CB53" s="43">
        <f t="shared" si="19"/>
        <v>-2.1522493359029111</v>
      </c>
      <c r="CC53" s="44"/>
      <c r="CD53" s="44"/>
      <c r="CE53" s="43"/>
      <c r="CF53" s="44"/>
      <c r="CG53" s="44"/>
      <c r="CH53" s="43"/>
      <c r="CI53" s="44"/>
      <c r="CJ53" s="44"/>
      <c r="CK53" s="43"/>
      <c r="CL53" s="44"/>
      <c r="CM53" s="44"/>
      <c r="CN53" s="43"/>
      <c r="CO53" s="44"/>
      <c r="CP53" s="44"/>
      <c r="CQ53" s="43"/>
      <c r="CR53" s="44"/>
      <c r="CS53" s="44"/>
      <c r="CT53" s="43"/>
      <c r="CU53" s="44"/>
      <c r="CV53" s="44"/>
      <c r="CW53" s="66"/>
    </row>
    <row r="54" spans="2:101" ht="36.6" customHeight="1" x14ac:dyDescent="0.3">
      <c r="B54" s="81" t="s">
        <v>125</v>
      </c>
      <c r="C54" s="40" t="s">
        <v>126</v>
      </c>
      <c r="D54" s="42">
        <v>18637.25</v>
      </c>
      <c r="E54" s="41">
        <v>16.565164045291187</v>
      </c>
      <c r="F54" s="48">
        <v>18.5</v>
      </c>
      <c r="G54" s="43">
        <v>1.9348359547088148</v>
      </c>
      <c r="H54" s="43">
        <f t="shared" si="2"/>
        <v>10.458572728155756</v>
      </c>
      <c r="I54" s="44"/>
      <c r="J54" s="44"/>
      <c r="K54" s="43"/>
      <c r="L54" s="44"/>
      <c r="M54" s="44"/>
      <c r="N54" s="43"/>
      <c r="O54" s="44"/>
      <c r="P54" s="44"/>
      <c r="Q54" s="43"/>
      <c r="R54" s="44"/>
      <c r="S54" s="44"/>
      <c r="T54" s="43"/>
      <c r="U54" s="44"/>
      <c r="V54" s="44"/>
      <c r="W54" s="43"/>
      <c r="X54" s="44"/>
      <c r="Y54" s="44"/>
      <c r="Z54" s="43"/>
      <c r="AA54" s="44"/>
      <c r="AB54" s="44"/>
      <c r="AC54" s="43"/>
      <c r="AD54" s="44"/>
      <c r="AE54" s="44"/>
      <c r="AF54" s="43"/>
      <c r="AG54" s="44">
        <f t="shared" si="4"/>
        <v>0.16565164045291186</v>
      </c>
      <c r="AH54" s="44">
        <f t="shared" si="5"/>
        <v>0.185</v>
      </c>
      <c r="AI54" s="43">
        <f t="shared" si="6"/>
        <v>1.9348359547088148E-2</v>
      </c>
      <c r="AJ54" s="44"/>
      <c r="AK54" s="44"/>
      <c r="AL54" s="43"/>
      <c r="AM54" s="44">
        <f>5.7*E54</f>
        <v>94.421435058159773</v>
      </c>
      <c r="AN54" s="44">
        <f>5.7*F54</f>
        <v>105.45</v>
      </c>
      <c r="AO54" s="43">
        <f>5.7*G54</f>
        <v>11.028564941840244</v>
      </c>
      <c r="AP54" s="44"/>
      <c r="AQ54" s="44"/>
      <c r="AR54" s="43"/>
      <c r="AS54" s="44"/>
      <c r="AT54" s="44"/>
      <c r="AU54" s="43"/>
      <c r="AV54" s="44">
        <f>19.3*E54</f>
        <v>319.70766607411991</v>
      </c>
      <c r="AW54" s="44">
        <f>19.3*F54</f>
        <v>357.05</v>
      </c>
      <c r="AX54" s="43">
        <f>19.3*G54</f>
        <v>37.342333925880126</v>
      </c>
      <c r="AY54" s="44">
        <f>37.6*E54</f>
        <v>622.8501681029486</v>
      </c>
      <c r="AZ54" s="44">
        <f>37.6*F54</f>
        <v>695.6</v>
      </c>
      <c r="BA54" s="43">
        <f>37.6*G54</f>
        <v>72.749831897051436</v>
      </c>
      <c r="BB54" s="44"/>
      <c r="BC54" s="44"/>
      <c r="BD54" s="43"/>
      <c r="BE54" s="44"/>
      <c r="BF54" s="44"/>
      <c r="BG54" s="43"/>
      <c r="BH54" s="44"/>
      <c r="BI54" s="44"/>
      <c r="BJ54" s="43"/>
      <c r="BK54" s="44"/>
      <c r="BL54" s="44"/>
      <c r="BM54" s="43"/>
      <c r="BN54" s="44"/>
      <c r="BO54" s="44"/>
      <c r="BP54" s="43"/>
      <c r="BQ54" s="44"/>
      <c r="BR54" s="44"/>
      <c r="BS54" s="43"/>
      <c r="BT54" s="44"/>
      <c r="BU54" s="44"/>
      <c r="BV54" s="43"/>
      <c r="BW54" s="44"/>
      <c r="BX54" s="44"/>
      <c r="BY54" s="43"/>
      <c r="BZ54" s="44"/>
      <c r="CA54" s="44"/>
      <c r="CB54" s="43"/>
      <c r="CC54" s="44"/>
      <c r="CD54" s="44"/>
      <c r="CE54" s="43"/>
      <c r="CF54" s="44"/>
      <c r="CG54" s="44"/>
      <c r="CH54" s="43"/>
      <c r="CI54" s="44"/>
      <c r="CJ54" s="44"/>
      <c r="CK54" s="43"/>
      <c r="CL54" s="44"/>
      <c r="CM54" s="44"/>
      <c r="CN54" s="43"/>
      <c r="CO54" s="44"/>
      <c r="CP54" s="44"/>
      <c r="CQ54" s="43"/>
      <c r="CR54" s="44"/>
      <c r="CS54" s="44"/>
      <c r="CT54" s="43"/>
      <c r="CU54" s="44"/>
      <c r="CV54" s="44"/>
      <c r="CW54" s="66"/>
    </row>
    <row r="55" spans="2:101" ht="36.6" customHeight="1" x14ac:dyDescent="0.3">
      <c r="B55" s="81" t="s">
        <v>127</v>
      </c>
      <c r="C55" s="40" t="s">
        <v>114</v>
      </c>
      <c r="D55" s="42">
        <v>9683.14</v>
      </c>
      <c r="E55" s="41">
        <v>4.5675619581316802</v>
      </c>
      <c r="F55" s="48">
        <v>9</v>
      </c>
      <c r="G55" s="43">
        <v>4.4324380418683189</v>
      </c>
      <c r="H55" s="43">
        <f t="shared" si="2"/>
        <v>49.249311576314653</v>
      </c>
      <c r="I55" s="44"/>
      <c r="J55" s="44"/>
      <c r="K55" s="43"/>
      <c r="L55" s="44">
        <f>14.5*E55</f>
        <v>66.229648392909368</v>
      </c>
      <c r="M55" s="44">
        <f>14.5*F55</f>
        <v>130.5</v>
      </c>
      <c r="N55" s="43">
        <f>14.5*G55</f>
        <v>64.270351607090618</v>
      </c>
      <c r="O55" s="44"/>
      <c r="P55" s="44"/>
      <c r="Q55" s="43"/>
      <c r="R55" s="44"/>
      <c r="S55" s="44"/>
      <c r="T55" s="43"/>
      <c r="U55" s="44"/>
      <c r="V55" s="44"/>
      <c r="W55" s="43"/>
      <c r="X55" s="44"/>
      <c r="Y55" s="44"/>
      <c r="Z55" s="43"/>
      <c r="AA55" s="44"/>
      <c r="AB55" s="44"/>
      <c r="AC55" s="43"/>
      <c r="AD55" s="44"/>
      <c r="AE55" s="44"/>
      <c r="AF55" s="43"/>
      <c r="AG55" s="44">
        <f t="shared" si="4"/>
        <v>4.5675619581316801E-2</v>
      </c>
      <c r="AH55" s="44">
        <f t="shared" si="5"/>
        <v>0.09</v>
      </c>
      <c r="AI55" s="43">
        <f t="shared" si="6"/>
        <v>4.4324380418683189E-2</v>
      </c>
      <c r="AJ55" s="44">
        <f>45.3*E55</f>
        <v>206.9105567033651</v>
      </c>
      <c r="AK55" s="44">
        <f>45.3*F55</f>
        <v>407.7</v>
      </c>
      <c r="AL55" s="43">
        <f>45.3*G55</f>
        <v>200.78944329663483</v>
      </c>
      <c r="AM55" s="44"/>
      <c r="AN55" s="44"/>
      <c r="AO55" s="43"/>
      <c r="AP55" s="44"/>
      <c r="AQ55" s="44"/>
      <c r="AR55" s="43"/>
      <c r="AS55" s="44">
        <f>0.45*E55</f>
        <v>2.0554028811592562</v>
      </c>
      <c r="AT55" s="44">
        <f>0.45*F55</f>
        <v>4.05</v>
      </c>
      <c r="AU55" s="43">
        <f>0.45*G55</f>
        <v>1.9945971188407436</v>
      </c>
      <c r="AV55" s="44"/>
      <c r="AW55" s="44"/>
      <c r="AX55" s="43"/>
      <c r="AY55" s="44"/>
      <c r="AZ55" s="44"/>
      <c r="BA55" s="43"/>
      <c r="BB55" s="44"/>
      <c r="BC55" s="44"/>
      <c r="BD55" s="43"/>
      <c r="BE55" s="44"/>
      <c r="BF55" s="44"/>
      <c r="BG55" s="43"/>
      <c r="BH55" s="44"/>
      <c r="BI55" s="44"/>
      <c r="BJ55" s="43"/>
      <c r="BK55" s="44"/>
      <c r="BL55" s="44"/>
      <c r="BM55" s="43"/>
      <c r="BN55" s="44"/>
      <c r="BO55" s="44"/>
      <c r="BP55" s="43"/>
      <c r="BQ55" s="44"/>
      <c r="BR55" s="44"/>
      <c r="BS55" s="43"/>
      <c r="BT55" s="44">
        <f>4.2*E55</f>
        <v>19.183760224153058</v>
      </c>
      <c r="BU55" s="44">
        <f>4.2*F55</f>
        <v>37.800000000000004</v>
      </c>
      <c r="BV55" s="43">
        <f>4.2*G55</f>
        <v>18.616239775846939</v>
      </c>
      <c r="BW55" s="44">
        <f>0.216*E55</f>
        <v>0.98659338295644294</v>
      </c>
      <c r="BX55" s="44">
        <f>0.216*F55</f>
        <v>1.944</v>
      </c>
      <c r="BY55" s="43">
        <f>0.216*G55</f>
        <v>0.9574066170435569</v>
      </c>
      <c r="BZ55" s="44"/>
      <c r="CA55" s="44"/>
      <c r="CB55" s="43"/>
      <c r="CC55" s="44"/>
      <c r="CD55" s="44"/>
      <c r="CE55" s="43"/>
      <c r="CF55" s="44"/>
      <c r="CG55" s="44"/>
      <c r="CH55" s="43"/>
      <c r="CI55" s="44"/>
      <c r="CJ55" s="44"/>
      <c r="CK55" s="43"/>
      <c r="CL55" s="44"/>
      <c r="CM55" s="44"/>
      <c r="CN55" s="43"/>
      <c r="CO55" s="44"/>
      <c r="CP55" s="44"/>
      <c r="CQ55" s="43"/>
      <c r="CR55" s="44"/>
      <c r="CS55" s="44"/>
      <c r="CT55" s="43"/>
      <c r="CU55" s="44"/>
      <c r="CV55" s="44"/>
      <c r="CW55" s="66"/>
    </row>
    <row r="56" spans="2:101" ht="36.6" customHeight="1" x14ac:dyDescent="0.3">
      <c r="B56" s="81" t="s">
        <v>128</v>
      </c>
      <c r="C56" s="40" t="s">
        <v>129</v>
      </c>
      <c r="D56" s="42">
        <v>13018.73</v>
      </c>
      <c r="E56" s="41">
        <v>8.2112026826730009</v>
      </c>
      <c r="F56" s="48">
        <v>15</v>
      </c>
      <c r="G56" s="43">
        <v>6.7887973173269991</v>
      </c>
      <c r="H56" s="43">
        <f t="shared" si="2"/>
        <v>45.258648782179996</v>
      </c>
      <c r="I56" s="44"/>
      <c r="J56" s="44"/>
      <c r="K56" s="43"/>
      <c r="L56" s="44">
        <f>8.5*E56</f>
        <v>69.795222802720502</v>
      </c>
      <c r="M56" s="44">
        <f>8.5*F56</f>
        <v>127.5</v>
      </c>
      <c r="N56" s="43">
        <f>8.5*G56</f>
        <v>57.704777197279491</v>
      </c>
      <c r="O56" s="44"/>
      <c r="P56" s="44"/>
      <c r="Q56" s="43"/>
      <c r="R56" s="44"/>
      <c r="S56" s="44"/>
      <c r="T56" s="43"/>
      <c r="U56" s="44"/>
      <c r="V56" s="44"/>
      <c r="W56" s="43"/>
      <c r="X56" s="44"/>
      <c r="Y56" s="44"/>
      <c r="Z56" s="43"/>
      <c r="AA56" s="44"/>
      <c r="AB56" s="44"/>
      <c r="AC56" s="43"/>
      <c r="AD56" s="44"/>
      <c r="AE56" s="44"/>
      <c r="AF56" s="43"/>
      <c r="AG56" s="44">
        <f t="shared" si="4"/>
        <v>8.2112026826730009E-2</v>
      </c>
      <c r="AH56" s="44">
        <f t="shared" si="5"/>
        <v>0.15</v>
      </c>
      <c r="AI56" s="43">
        <f t="shared" si="6"/>
        <v>6.7887973173269986E-2</v>
      </c>
      <c r="AJ56" s="44"/>
      <c r="AK56" s="44"/>
      <c r="AL56" s="43"/>
      <c r="AM56" s="44"/>
      <c r="AN56" s="44"/>
      <c r="AO56" s="43"/>
      <c r="AP56" s="44"/>
      <c r="AQ56" s="44"/>
      <c r="AR56" s="43"/>
      <c r="AS56" s="44"/>
      <c r="AT56" s="44"/>
      <c r="AU56" s="43"/>
      <c r="AV56" s="44">
        <f>11*E56</f>
        <v>90.323229509403006</v>
      </c>
      <c r="AW56" s="44">
        <f>11*F56</f>
        <v>165</v>
      </c>
      <c r="AX56" s="43">
        <f>11*G56</f>
        <v>74.676770490596994</v>
      </c>
      <c r="AY56" s="44">
        <f>0.8*E56</f>
        <v>6.5689621461384009</v>
      </c>
      <c r="AZ56" s="44">
        <f>0.8*F56</f>
        <v>12</v>
      </c>
      <c r="BA56" s="43">
        <f>0.8*G56</f>
        <v>5.4310378538616</v>
      </c>
      <c r="BB56" s="44">
        <f>0.5*E56</f>
        <v>4.1056013413365005</v>
      </c>
      <c r="BC56" s="44">
        <f>0.5*F56</f>
        <v>7.5</v>
      </c>
      <c r="BD56" s="43">
        <f>0.5*G56</f>
        <v>3.3943986586634995</v>
      </c>
      <c r="BE56" s="44">
        <f>0.25*E56</f>
        <v>2.0528006706682502</v>
      </c>
      <c r="BF56" s="44">
        <f>0.25*F56</f>
        <v>3.75</v>
      </c>
      <c r="BG56" s="43">
        <f>0.25*G56</f>
        <v>1.6971993293317498</v>
      </c>
      <c r="BH56" s="44"/>
      <c r="BI56" s="44"/>
      <c r="BJ56" s="43"/>
      <c r="BK56" s="44"/>
      <c r="BL56" s="44"/>
      <c r="BM56" s="43"/>
      <c r="BN56" s="44"/>
      <c r="BO56" s="44"/>
      <c r="BP56" s="43"/>
      <c r="BQ56" s="44"/>
      <c r="BR56" s="44"/>
      <c r="BS56" s="43"/>
      <c r="BT56" s="44"/>
      <c r="BU56" s="44"/>
      <c r="BV56" s="43"/>
      <c r="BW56" s="44"/>
      <c r="BX56" s="44"/>
      <c r="BY56" s="43"/>
      <c r="BZ56" s="44"/>
      <c r="CA56" s="44"/>
      <c r="CB56" s="43"/>
      <c r="CC56" s="44"/>
      <c r="CD56" s="44"/>
      <c r="CE56" s="43"/>
      <c r="CF56" s="44"/>
      <c r="CG56" s="44"/>
      <c r="CH56" s="43"/>
      <c r="CI56" s="44"/>
      <c r="CJ56" s="44"/>
      <c r="CK56" s="43"/>
      <c r="CL56" s="44"/>
      <c r="CM56" s="44"/>
      <c r="CN56" s="43"/>
      <c r="CO56" s="44"/>
      <c r="CP56" s="44"/>
      <c r="CQ56" s="43"/>
      <c r="CR56" s="44"/>
      <c r="CS56" s="44"/>
      <c r="CT56" s="43"/>
      <c r="CU56" s="44"/>
      <c r="CV56" s="44"/>
      <c r="CW56" s="66"/>
    </row>
    <row r="57" spans="2:101" ht="36.6" customHeight="1" x14ac:dyDescent="0.3">
      <c r="B57" s="81" t="s">
        <v>130</v>
      </c>
      <c r="C57" s="40" t="s">
        <v>108</v>
      </c>
      <c r="D57" s="42">
        <v>158868</v>
      </c>
      <c r="E57" s="41">
        <v>88.393930197268588</v>
      </c>
      <c r="F57" s="48">
        <v>105</v>
      </c>
      <c r="G57" s="43">
        <v>16.606069802731408</v>
      </c>
      <c r="H57" s="43">
        <f t="shared" si="2"/>
        <v>15.815304574029913</v>
      </c>
      <c r="I57" s="44">
        <f t="shared" ref="I57:K59" si="20">23.25*E57</f>
        <v>2055.1588770864946</v>
      </c>
      <c r="J57" s="44">
        <f t="shared" si="20"/>
        <v>2441.25</v>
      </c>
      <c r="K57" s="43">
        <f t="shared" si="20"/>
        <v>386.09112291350522</v>
      </c>
      <c r="L57" s="44">
        <f>6.5*E57</f>
        <v>574.56054628224581</v>
      </c>
      <c r="M57" s="44">
        <f>6.5*F57</f>
        <v>682.5</v>
      </c>
      <c r="N57" s="43">
        <f>6.5*G57</f>
        <v>107.93945371775415</v>
      </c>
      <c r="O57" s="44">
        <f>4.5*E57</f>
        <v>397.77268588770863</v>
      </c>
      <c r="P57" s="44">
        <f>4.5*F57</f>
        <v>472.5</v>
      </c>
      <c r="Q57" s="43">
        <f>4.5*G57</f>
        <v>74.727314112291339</v>
      </c>
      <c r="R57" s="44">
        <f>0.8*E57</f>
        <v>70.715144157814876</v>
      </c>
      <c r="S57" s="44">
        <f>0.8*F57</f>
        <v>84</v>
      </c>
      <c r="T57" s="43">
        <f>0.8*G57</f>
        <v>13.284855842185127</v>
      </c>
      <c r="U57" s="44"/>
      <c r="V57" s="44"/>
      <c r="W57" s="43"/>
      <c r="X57" s="44"/>
      <c r="Y57" s="44"/>
      <c r="Z57" s="43"/>
      <c r="AA57" s="44"/>
      <c r="AB57" s="44"/>
      <c r="AC57" s="43"/>
      <c r="AD57" s="44"/>
      <c r="AE57" s="44"/>
      <c r="AF57" s="43"/>
      <c r="AG57" s="44"/>
      <c r="AH57" s="44"/>
      <c r="AI57" s="43"/>
      <c r="AJ57" s="44"/>
      <c r="AK57" s="44"/>
      <c r="AL57" s="43"/>
      <c r="AM57" s="44"/>
      <c r="AN57" s="44"/>
      <c r="AO57" s="43"/>
      <c r="AP57" s="44"/>
      <c r="AQ57" s="44"/>
      <c r="AR57" s="43"/>
      <c r="AS57" s="44"/>
      <c r="AT57" s="44"/>
      <c r="AU57" s="43"/>
      <c r="AV57" s="44"/>
      <c r="AW57" s="44"/>
      <c r="AX57" s="43"/>
      <c r="AY57" s="44"/>
      <c r="AZ57" s="44"/>
      <c r="BA57" s="43"/>
      <c r="BB57" s="44"/>
      <c r="BC57" s="44"/>
      <c r="BD57" s="43"/>
      <c r="BE57" s="44"/>
      <c r="BF57" s="44"/>
      <c r="BG57" s="43"/>
      <c r="BH57" s="44"/>
      <c r="BI57" s="44"/>
      <c r="BJ57" s="43"/>
      <c r="BK57" s="44"/>
      <c r="BL57" s="44"/>
      <c r="BM57" s="43"/>
      <c r="BN57" s="44"/>
      <c r="BO57" s="44"/>
      <c r="BP57" s="43"/>
      <c r="BQ57" s="44"/>
      <c r="BR57" s="44"/>
      <c r="BS57" s="43"/>
      <c r="BT57" s="44"/>
      <c r="BU57" s="44"/>
      <c r="BV57" s="43"/>
      <c r="BW57" s="44"/>
      <c r="BX57" s="44"/>
      <c r="BY57" s="43"/>
      <c r="BZ57" s="44"/>
      <c r="CA57" s="44"/>
      <c r="CB57" s="43"/>
      <c r="CC57" s="44"/>
      <c r="CD57" s="44"/>
      <c r="CE57" s="43"/>
      <c r="CF57" s="44"/>
      <c r="CG57" s="44"/>
      <c r="CH57" s="43"/>
      <c r="CI57" s="44"/>
      <c r="CJ57" s="44"/>
      <c r="CK57" s="43"/>
      <c r="CL57" s="44"/>
      <c r="CM57" s="44"/>
      <c r="CN57" s="43"/>
      <c r="CO57" s="44"/>
      <c r="CP57" s="44"/>
      <c r="CQ57" s="43"/>
      <c r="CR57" s="44"/>
      <c r="CS57" s="44"/>
      <c r="CT57" s="43"/>
      <c r="CU57" s="44"/>
      <c r="CV57" s="44"/>
      <c r="CW57" s="66"/>
    </row>
    <row r="58" spans="2:101" ht="36.6" customHeight="1" x14ac:dyDescent="0.3">
      <c r="B58" s="81" t="s">
        <v>131</v>
      </c>
      <c r="C58" s="40" t="s">
        <v>132</v>
      </c>
      <c r="D58" s="42">
        <v>87047</v>
      </c>
      <c r="E58" s="41">
        <v>33.711186721991695</v>
      </c>
      <c r="F58" s="48">
        <v>58</v>
      </c>
      <c r="G58" s="43">
        <v>24.288813278008298</v>
      </c>
      <c r="H58" s="43">
        <f t="shared" si="2"/>
        <v>41.8772642724281</v>
      </c>
      <c r="I58" s="44">
        <f t="shared" si="20"/>
        <v>783.78509128630685</v>
      </c>
      <c r="J58" s="44">
        <f t="shared" si="20"/>
        <v>1348.5</v>
      </c>
      <c r="K58" s="43">
        <f t="shared" si="20"/>
        <v>564.71490871369292</v>
      </c>
      <c r="L58" s="44">
        <f>6*E58</f>
        <v>202.26712033195017</v>
      </c>
      <c r="M58" s="44">
        <f>6*F58</f>
        <v>348</v>
      </c>
      <c r="N58" s="43">
        <f>6*G58</f>
        <v>145.7328796680498</v>
      </c>
      <c r="O58" s="44">
        <f t="shared" ref="O58:Q59" si="21">3*E58</f>
        <v>101.13356016597508</v>
      </c>
      <c r="P58" s="44">
        <f t="shared" si="21"/>
        <v>174</v>
      </c>
      <c r="Q58" s="43">
        <f t="shared" si="21"/>
        <v>72.866439834024902</v>
      </c>
      <c r="R58" s="44"/>
      <c r="S58" s="44"/>
      <c r="T58" s="43"/>
      <c r="U58" s="44">
        <f t="shared" ref="U58:W59" si="22">0.75*E58</f>
        <v>25.283390041493771</v>
      </c>
      <c r="V58" s="44">
        <f t="shared" si="22"/>
        <v>43.5</v>
      </c>
      <c r="W58" s="43">
        <f t="shared" si="22"/>
        <v>18.216609958506226</v>
      </c>
      <c r="X58" s="44"/>
      <c r="Y58" s="44"/>
      <c r="Z58" s="43"/>
      <c r="AA58" s="44"/>
      <c r="AB58" s="44"/>
      <c r="AC58" s="43"/>
      <c r="AD58" s="44"/>
      <c r="AE58" s="44"/>
      <c r="AF58" s="43"/>
      <c r="AG58" s="44"/>
      <c r="AH58" s="44"/>
      <c r="AI58" s="43"/>
      <c r="AJ58" s="44"/>
      <c r="AK58" s="44"/>
      <c r="AL58" s="43"/>
      <c r="AM58" s="44"/>
      <c r="AN58" s="44"/>
      <c r="AO58" s="43"/>
      <c r="AP58" s="44"/>
      <c r="AQ58" s="44"/>
      <c r="AR58" s="43"/>
      <c r="AS58" s="44"/>
      <c r="AT58" s="44"/>
      <c r="AU58" s="43"/>
      <c r="AV58" s="44"/>
      <c r="AW58" s="44"/>
      <c r="AX58" s="43"/>
      <c r="AY58" s="44"/>
      <c r="AZ58" s="44"/>
      <c r="BA58" s="43"/>
      <c r="BB58" s="44"/>
      <c r="BC58" s="44"/>
      <c r="BD58" s="43"/>
      <c r="BE58" s="44"/>
      <c r="BF58" s="44"/>
      <c r="BG58" s="43"/>
      <c r="BH58" s="44"/>
      <c r="BI58" s="44"/>
      <c r="BJ58" s="43"/>
      <c r="BK58" s="44"/>
      <c r="BL58" s="44"/>
      <c r="BM58" s="43"/>
      <c r="BN58" s="44"/>
      <c r="BO58" s="44"/>
      <c r="BP58" s="43"/>
      <c r="BQ58" s="44"/>
      <c r="BR58" s="44"/>
      <c r="BS58" s="43"/>
      <c r="BT58" s="44"/>
      <c r="BU58" s="44"/>
      <c r="BV58" s="43"/>
      <c r="BW58" s="44"/>
      <c r="BX58" s="44"/>
      <c r="BY58" s="43"/>
      <c r="BZ58" s="44"/>
      <c r="CA58" s="44"/>
      <c r="CB58" s="43"/>
      <c r="CC58" s="44"/>
      <c r="CD58" s="44"/>
      <c r="CE58" s="43"/>
      <c r="CF58" s="44"/>
      <c r="CG58" s="44"/>
      <c r="CH58" s="43"/>
      <c r="CI58" s="44"/>
      <c r="CJ58" s="44"/>
      <c r="CK58" s="43"/>
      <c r="CL58" s="44"/>
      <c r="CM58" s="44"/>
      <c r="CN58" s="43"/>
      <c r="CO58" s="44"/>
      <c r="CP58" s="44"/>
      <c r="CQ58" s="43"/>
      <c r="CR58" s="44"/>
      <c r="CS58" s="44"/>
      <c r="CT58" s="43"/>
      <c r="CU58" s="44"/>
      <c r="CV58" s="44"/>
      <c r="CW58" s="66"/>
    </row>
    <row r="59" spans="2:101" ht="36.6" customHeight="1" x14ac:dyDescent="0.3">
      <c r="B59" s="81" t="s">
        <v>133</v>
      </c>
      <c r="C59" s="40" t="s">
        <v>134</v>
      </c>
      <c r="D59" s="42">
        <v>56568</v>
      </c>
      <c r="E59" s="41">
        <v>18.101759999999999</v>
      </c>
      <c r="F59" s="48">
        <v>26</v>
      </c>
      <c r="G59" s="43">
        <v>7.8982400000000013</v>
      </c>
      <c r="H59" s="43">
        <f t="shared" si="2"/>
        <v>30.377846153846161</v>
      </c>
      <c r="I59" s="44">
        <f t="shared" si="20"/>
        <v>420.86591999999996</v>
      </c>
      <c r="J59" s="44">
        <f t="shared" si="20"/>
        <v>604.5</v>
      </c>
      <c r="K59" s="43">
        <f t="shared" si="20"/>
        <v>183.63408000000004</v>
      </c>
      <c r="L59" s="44">
        <f>6*E58</f>
        <v>202.26712033195017</v>
      </c>
      <c r="M59" s="44">
        <f>6*F58</f>
        <v>348</v>
      </c>
      <c r="N59" s="43">
        <f>6*G58</f>
        <v>145.7328796680498</v>
      </c>
      <c r="O59" s="44">
        <f t="shared" si="21"/>
        <v>54.305279999999996</v>
      </c>
      <c r="P59" s="44">
        <f t="shared" si="21"/>
        <v>78</v>
      </c>
      <c r="Q59" s="43">
        <f t="shared" si="21"/>
        <v>23.694720000000004</v>
      </c>
      <c r="R59" s="44"/>
      <c r="S59" s="44"/>
      <c r="T59" s="43"/>
      <c r="U59" s="44">
        <f t="shared" si="22"/>
        <v>13.576319999999999</v>
      </c>
      <c r="V59" s="44">
        <f t="shared" si="22"/>
        <v>19.5</v>
      </c>
      <c r="W59" s="43">
        <f t="shared" si="22"/>
        <v>5.9236800000000009</v>
      </c>
      <c r="X59" s="44"/>
      <c r="Y59" s="44"/>
      <c r="Z59" s="43"/>
      <c r="AA59" s="44"/>
      <c r="AB59" s="44"/>
      <c r="AC59" s="43"/>
      <c r="AD59" s="44"/>
      <c r="AE59" s="44"/>
      <c r="AF59" s="43"/>
      <c r="AG59" s="44"/>
      <c r="AH59" s="44"/>
      <c r="AI59" s="43"/>
      <c r="AJ59" s="44"/>
      <c r="AK59" s="44"/>
      <c r="AL59" s="43"/>
      <c r="AM59" s="44"/>
      <c r="AN59" s="44"/>
      <c r="AO59" s="43"/>
      <c r="AP59" s="44"/>
      <c r="AQ59" s="44"/>
      <c r="AR59" s="43"/>
      <c r="AS59" s="44"/>
      <c r="AT59" s="44"/>
      <c r="AU59" s="43"/>
      <c r="AV59" s="44"/>
      <c r="AW59" s="44"/>
      <c r="AX59" s="43"/>
      <c r="AY59" s="44"/>
      <c r="AZ59" s="44"/>
      <c r="BA59" s="43"/>
      <c r="BB59" s="44"/>
      <c r="BC59" s="44"/>
      <c r="BD59" s="43"/>
      <c r="BE59" s="44"/>
      <c r="BF59" s="44"/>
      <c r="BG59" s="43"/>
      <c r="BH59" s="44"/>
      <c r="BI59" s="44"/>
      <c r="BJ59" s="43"/>
      <c r="BK59" s="44"/>
      <c r="BL59" s="44"/>
      <c r="BM59" s="43"/>
      <c r="BN59" s="44"/>
      <c r="BO59" s="44"/>
      <c r="BP59" s="43"/>
      <c r="BQ59" s="44"/>
      <c r="BR59" s="44"/>
      <c r="BS59" s="43"/>
      <c r="BT59" s="44"/>
      <c r="BU59" s="44"/>
      <c r="BV59" s="43"/>
      <c r="BW59" s="44"/>
      <c r="BX59" s="44"/>
      <c r="BY59" s="43"/>
      <c r="BZ59" s="44"/>
      <c r="CA59" s="44"/>
      <c r="CB59" s="43"/>
      <c r="CC59" s="44"/>
      <c r="CD59" s="44"/>
      <c r="CE59" s="43"/>
      <c r="CF59" s="44"/>
      <c r="CG59" s="44"/>
      <c r="CH59" s="43"/>
      <c r="CI59" s="44"/>
      <c r="CJ59" s="44"/>
      <c r="CK59" s="43"/>
      <c r="CL59" s="44"/>
      <c r="CM59" s="44"/>
      <c r="CN59" s="43"/>
      <c r="CO59" s="44"/>
      <c r="CP59" s="44"/>
      <c r="CQ59" s="43"/>
      <c r="CR59" s="44"/>
      <c r="CS59" s="44"/>
      <c r="CT59" s="43"/>
      <c r="CU59" s="44"/>
      <c r="CV59" s="44"/>
      <c r="CW59" s="66"/>
    </row>
    <row r="60" spans="2:101" ht="36.6" customHeight="1" x14ac:dyDescent="0.3">
      <c r="B60" s="81" t="s">
        <v>135</v>
      </c>
      <c r="C60" s="40" t="s">
        <v>136</v>
      </c>
      <c r="D60" s="42">
        <v>96231</v>
      </c>
      <c r="E60" s="41">
        <v>17.793097072419105</v>
      </c>
      <c r="F60" s="48">
        <v>29</v>
      </c>
      <c r="G60" s="43">
        <v>11.206902927580893</v>
      </c>
      <c r="H60" s="43">
        <f t="shared" si="2"/>
        <v>38.644492853727222</v>
      </c>
      <c r="I60" s="44"/>
      <c r="J60" s="44"/>
      <c r="K60" s="43"/>
      <c r="L60" s="44">
        <f>10*E60</f>
        <v>177.93097072419104</v>
      </c>
      <c r="M60" s="44">
        <f>10*F60</f>
        <v>290</v>
      </c>
      <c r="N60" s="43">
        <f>10*G60</f>
        <v>112.06902927580893</v>
      </c>
      <c r="O60" s="44">
        <f>7.5*E60</f>
        <v>133.44822804314327</v>
      </c>
      <c r="P60" s="44">
        <f>7.5*F60</f>
        <v>217.5</v>
      </c>
      <c r="Q60" s="43">
        <f>7.5*G60</f>
        <v>84.051771956856697</v>
      </c>
      <c r="R60" s="44"/>
      <c r="S60" s="44"/>
      <c r="T60" s="43"/>
      <c r="U60" s="44">
        <f>0.45*E60</f>
        <v>8.006893682588597</v>
      </c>
      <c r="V60" s="44">
        <f>0.45*F60</f>
        <v>13.05</v>
      </c>
      <c r="W60" s="43">
        <f>0.45*G60</f>
        <v>5.0431063174114019</v>
      </c>
      <c r="X60" s="44">
        <f>34.7*E60</f>
        <v>617.42046841294302</v>
      </c>
      <c r="Y60" s="44">
        <f>34.7*F60</f>
        <v>1006.3000000000001</v>
      </c>
      <c r="Z60" s="43">
        <f>34.7*G60</f>
        <v>388.87953158705704</v>
      </c>
      <c r="AA60" s="44">
        <f>1*E60</f>
        <v>17.793097072419105</v>
      </c>
      <c r="AB60" s="44">
        <f>1*F60</f>
        <v>29</v>
      </c>
      <c r="AC60" s="43">
        <f>1*G60</f>
        <v>11.206902927580893</v>
      </c>
      <c r="AD60" s="44">
        <f>0.2*E60</f>
        <v>3.5586194144838212</v>
      </c>
      <c r="AE60" s="44">
        <f>0.2*F60</f>
        <v>5.8000000000000007</v>
      </c>
      <c r="AF60" s="43">
        <f>0.2*G60</f>
        <v>2.2413805855161786</v>
      </c>
      <c r="AG60" s="44">
        <f>0.015*E60</f>
        <v>0.26689645608628654</v>
      </c>
      <c r="AH60" s="44">
        <f>0.015*F60</f>
        <v>0.435</v>
      </c>
      <c r="AI60" s="43">
        <f>0.015*G60</f>
        <v>0.1681035439137134</v>
      </c>
      <c r="AJ60" s="44"/>
      <c r="AK60" s="44"/>
      <c r="AL60" s="43"/>
      <c r="AM60" s="44"/>
      <c r="AN60" s="44"/>
      <c r="AO60" s="43"/>
      <c r="AP60" s="44"/>
      <c r="AQ60" s="44"/>
      <c r="AR60" s="43"/>
      <c r="AS60" s="44"/>
      <c r="AT60" s="44"/>
      <c r="AU60" s="43"/>
      <c r="AV60" s="44"/>
      <c r="AW60" s="44"/>
      <c r="AX60" s="43"/>
      <c r="AY60" s="44"/>
      <c r="AZ60" s="44"/>
      <c r="BA60" s="43"/>
      <c r="BB60" s="44"/>
      <c r="BC60" s="44"/>
      <c r="BD60" s="43"/>
      <c r="BE60" s="44"/>
      <c r="BF60" s="44"/>
      <c r="BG60" s="43"/>
      <c r="BH60" s="44"/>
      <c r="BI60" s="44"/>
      <c r="BJ60" s="43"/>
      <c r="BK60" s="44"/>
      <c r="BL60" s="44"/>
      <c r="BM60" s="43"/>
      <c r="BN60" s="44"/>
      <c r="BO60" s="44"/>
      <c r="BP60" s="43"/>
      <c r="BQ60" s="44"/>
      <c r="BR60" s="44"/>
      <c r="BS60" s="43"/>
      <c r="BT60" s="44"/>
      <c r="BU60" s="44"/>
      <c r="BV60" s="43"/>
      <c r="BW60" s="44"/>
      <c r="BX60" s="44"/>
      <c r="BY60" s="43"/>
      <c r="BZ60" s="44"/>
      <c r="CA60" s="44"/>
      <c r="CB60" s="43"/>
      <c r="CC60" s="44"/>
      <c r="CD60" s="44"/>
      <c r="CE60" s="43"/>
      <c r="CF60" s="44"/>
      <c r="CG60" s="44"/>
      <c r="CH60" s="43"/>
      <c r="CI60" s="44"/>
      <c r="CJ60" s="44"/>
      <c r="CK60" s="43"/>
      <c r="CL60" s="44"/>
      <c r="CM60" s="44"/>
      <c r="CN60" s="43"/>
      <c r="CO60" s="44"/>
      <c r="CP60" s="44"/>
      <c r="CQ60" s="43"/>
      <c r="CR60" s="44"/>
      <c r="CS60" s="44"/>
      <c r="CT60" s="43"/>
      <c r="CU60" s="44"/>
      <c r="CV60" s="44"/>
      <c r="CW60" s="66"/>
    </row>
    <row r="61" spans="2:101" ht="36.6" customHeight="1" x14ac:dyDescent="0.3">
      <c r="B61" s="81" t="s">
        <v>137</v>
      </c>
      <c r="C61" s="40" t="s">
        <v>138</v>
      </c>
      <c r="D61" s="42">
        <v>1358.9</v>
      </c>
      <c r="E61" s="41">
        <v>0.39685568264784621</v>
      </c>
      <c r="F61" s="48">
        <v>1.5</v>
      </c>
      <c r="G61" s="43">
        <v>1.1031443173521538</v>
      </c>
      <c r="H61" s="43">
        <f t="shared" si="2"/>
        <v>73.542954490143586</v>
      </c>
      <c r="I61" s="44"/>
      <c r="J61" s="44"/>
      <c r="K61" s="43"/>
      <c r="L61" s="44">
        <f>15*E61</f>
        <v>5.9528352397176931</v>
      </c>
      <c r="M61" s="44">
        <f>15*F61</f>
        <v>22.5</v>
      </c>
      <c r="N61" s="43">
        <f>15*G61</f>
        <v>16.547164760282307</v>
      </c>
      <c r="O61" s="44">
        <f>9.5*E61</f>
        <v>3.770128985154539</v>
      </c>
      <c r="P61" s="44">
        <f>9.5*F61</f>
        <v>14.25</v>
      </c>
      <c r="Q61" s="43">
        <f>9.5*G61</f>
        <v>10.479871014845461</v>
      </c>
      <c r="R61" s="44"/>
      <c r="S61" s="44"/>
      <c r="T61" s="43"/>
      <c r="U61" s="44">
        <f>1*E61</f>
        <v>0.39685568264784621</v>
      </c>
      <c r="V61" s="44">
        <f>1*F61</f>
        <v>1.5</v>
      </c>
      <c r="W61" s="43">
        <f>1*G61</f>
        <v>1.1031443173521538</v>
      </c>
      <c r="X61" s="44"/>
      <c r="Y61" s="44"/>
      <c r="Z61" s="43"/>
      <c r="AA61" s="44"/>
      <c r="AB61" s="44"/>
      <c r="AC61" s="43"/>
      <c r="AD61" s="44"/>
      <c r="AE61" s="44"/>
      <c r="AF61" s="43"/>
      <c r="AG61" s="44"/>
      <c r="AH61" s="44"/>
      <c r="AI61" s="43"/>
      <c r="AJ61" s="44">
        <f>45*E61</f>
        <v>17.858505719153079</v>
      </c>
      <c r="AK61" s="44">
        <f>45*F61</f>
        <v>67.5</v>
      </c>
      <c r="AL61" s="43">
        <f>45*G61</f>
        <v>49.641494280846921</v>
      </c>
      <c r="AM61" s="44">
        <f>1*E61</f>
        <v>0.39685568264784621</v>
      </c>
      <c r="AN61" s="44">
        <f>1*F61</f>
        <v>1.5</v>
      </c>
      <c r="AO61" s="43">
        <f>1*G61</f>
        <v>1.1031443173521538</v>
      </c>
      <c r="AP61" s="44">
        <f>1.7*E61</f>
        <v>0.67465466050133849</v>
      </c>
      <c r="AQ61" s="44">
        <f>1.7*F61</f>
        <v>2.5499999999999998</v>
      </c>
      <c r="AR61" s="43">
        <f>1.7*G61</f>
        <v>1.8753453394986614</v>
      </c>
      <c r="AS61" s="44">
        <f>0.2*E61</f>
        <v>7.9371136529569244E-2</v>
      </c>
      <c r="AT61" s="44">
        <f>0.2*F61</f>
        <v>0.30000000000000004</v>
      </c>
      <c r="AU61" s="43">
        <f>0.2*G61</f>
        <v>0.22062886347043076</v>
      </c>
      <c r="AV61" s="44"/>
      <c r="AW61" s="44"/>
      <c r="AX61" s="43"/>
      <c r="AY61" s="44"/>
      <c r="AZ61" s="44"/>
      <c r="BA61" s="43"/>
      <c r="BB61" s="44"/>
      <c r="BC61" s="44"/>
      <c r="BD61" s="43"/>
      <c r="BE61" s="44"/>
      <c r="BF61" s="44"/>
      <c r="BG61" s="43"/>
      <c r="BH61" s="44"/>
      <c r="BI61" s="44"/>
      <c r="BJ61" s="43"/>
      <c r="BK61" s="44"/>
      <c r="BL61" s="44"/>
      <c r="BM61" s="43"/>
      <c r="BN61" s="44"/>
      <c r="BO61" s="44"/>
      <c r="BP61" s="43"/>
      <c r="BQ61" s="44"/>
      <c r="BR61" s="44"/>
      <c r="BS61" s="43"/>
      <c r="BT61" s="44"/>
      <c r="BU61" s="44"/>
      <c r="BV61" s="43"/>
      <c r="BW61" s="44"/>
      <c r="BX61" s="44"/>
      <c r="BY61" s="43"/>
      <c r="BZ61" s="44"/>
      <c r="CA61" s="44"/>
      <c r="CB61" s="43"/>
      <c r="CC61" s="44"/>
      <c r="CD61" s="44"/>
      <c r="CE61" s="43"/>
      <c r="CF61" s="44"/>
      <c r="CG61" s="44"/>
      <c r="CH61" s="43"/>
      <c r="CI61" s="44"/>
      <c r="CJ61" s="44"/>
      <c r="CK61" s="43"/>
      <c r="CL61" s="44"/>
      <c r="CM61" s="44"/>
      <c r="CN61" s="43"/>
      <c r="CO61" s="44"/>
      <c r="CP61" s="44"/>
      <c r="CQ61" s="43"/>
      <c r="CR61" s="44"/>
      <c r="CS61" s="44"/>
      <c r="CT61" s="43"/>
      <c r="CU61" s="44"/>
      <c r="CV61" s="44"/>
      <c r="CW61" s="66"/>
    </row>
    <row r="62" spans="2:101" ht="36.6" customHeight="1" x14ac:dyDescent="0.3">
      <c r="B62" s="81" t="s">
        <v>139</v>
      </c>
      <c r="C62" s="40" t="s">
        <v>110</v>
      </c>
      <c r="D62" s="42">
        <v>16733.25</v>
      </c>
      <c r="E62" s="41">
        <v>10.108180216461111</v>
      </c>
      <c r="F62" s="48">
        <v>12</v>
      </c>
      <c r="G62" s="43">
        <v>1.8918197835388888</v>
      </c>
      <c r="H62" s="43">
        <f t="shared" si="2"/>
        <v>15.765164862824074</v>
      </c>
      <c r="I62" s="44"/>
      <c r="J62" s="44"/>
      <c r="K62" s="43"/>
      <c r="L62" s="44">
        <f>15.5*E62</f>
        <v>156.67679335514723</v>
      </c>
      <c r="M62" s="44">
        <f>15.5*F62</f>
        <v>186</v>
      </c>
      <c r="N62" s="43">
        <f>15.5*G62</f>
        <v>29.323206644852775</v>
      </c>
      <c r="O62" s="44">
        <f>8*E62</f>
        <v>80.86544173168889</v>
      </c>
      <c r="P62" s="44">
        <f>8*F62</f>
        <v>96</v>
      </c>
      <c r="Q62" s="43">
        <f>8*G62</f>
        <v>15.13455826831111</v>
      </c>
      <c r="R62" s="44"/>
      <c r="S62" s="44"/>
      <c r="T62" s="43"/>
      <c r="U62" s="44">
        <f>1.5*E62</f>
        <v>15.162270324691667</v>
      </c>
      <c r="V62" s="44">
        <f>1.5*F62</f>
        <v>18</v>
      </c>
      <c r="W62" s="43">
        <f>1.5*G62</f>
        <v>2.8377296753083332</v>
      </c>
      <c r="X62" s="44"/>
      <c r="Y62" s="44"/>
      <c r="Z62" s="43"/>
      <c r="AA62" s="44"/>
      <c r="AB62" s="44"/>
      <c r="AC62" s="43"/>
      <c r="AD62" s="44"/>
      <c r="AE62" s="44"/>
      <c r="AF62" s="43"/>
      <c r="AG62" s="44"/>
      <c r="AH62" s="44"/>
      <c r="AI62" s="43"/>
      <c r="AJ62" s="44">
        <f>46.5*E62</f>
        <v>470.03038006544165</v>
      </c>
      <c r="AK62" s="44">
        <f>46.5*F62</f>
        <v>558</v>
      </c>
      <c r="AL62" s="43">
        <f>46.5*G62</f>
        <v>87.969619934558324</v>
      </c>
      <c r="AM62" s="44"/>
      <c r="AN62" s="44"/>
      <c r="AO62" s="43"/>
      <c r="AP62" s="44"/>
      <c r="AQ62" s="44"/>
      <c r="AR62" s="43"/>
      <c r="AS62" s="44"/>
      <c r="AT62" s="44"/>
      <c r="AU62" s="43"/>
      <c r="AV62" s="44"/>
      <c r="AW62" s="44"/>
      <c r="AX62" s="43"/>
      <c r="AY62" s="44"/>
      <c r="AZ62" s="44"/>
      <c r="BA62" s="43"/>
      <c r="BB62" s="44"/>
      <c r="BC62" s="44"/>
      <c r="BD62" s="43"/>
      <c r="BE62" s="44"/>
      <c r="BF62" s="44"/>
      <c r="BG62" s="43"/>
      <c r="BH62" s="44"/>
      <c r="BI62" s="44"/>
      <c r="BJ62" s="43"/>
      <c r="BK62" s="44"/>
      <c r="BL62" s="44"/>
      <c r="BM62" s="43"/>
      <c r="BN62" s="44"/>
      <c r="BO62" s="44"/>
      <c r="BP62" s="43"/>
      <c r="BQ62" s="44"/>
      <c r="BR62" s="44"/>
      <c r="BS62" s="43"/>
      <c r="BT62" s="44"/>
      <c r="BU62" s="44"/>
      <c r="BV62" s="43"/>
      <c r="BW62" s="44"/>
      <c r="BX62" s="44"/>
      <c r="BY62" s="43"/>
      <c r="BZ62" s="44"/>
      <c r="CA62" s="44"/>
      <c r="CB62" s="43"/>
      <c r="CC62" s="44"/>
      <c r="CD62" s="44"/>
      <c r="CE62" s="43"/>
      <c r="CF62" s="44"/>
      <c r="CG62" s="44"/>
      <c r="CH62" s="43"/>
      <c r="CI62" s="44"/>
      <c r="CJ62" s="44"/>
      <c r="CK62" s="43"/>
      <c r="CL62" s="44"/>
      <c r="CM62" s="44"/>
      <c r="CN62" s="43"/>
      <c r="CO62" s="44"/>
      <c r="CP62" s="44"/>
      <c r="CQ62" s="43"/>
      <c r="CR62" s="44"/>
      <c r="CS62" s="44"/>
      <c r="CT62" s="43"/>
      <c r="CU62" s="44"/>
      <c r="CV62" s="44"/>
      <c r="CW62" s="66"/>
    </row>
    <row r="63" spans="2:101" ht="36.6" customHeight="1" x14ac:dyDescent="0.25">
      <c r="B63" s="81" t="s">
        <v>140</v>
      </c>
      <c r="C63" s="40" t="s">
        <v>141</v>
      </c>
      <c r="D63" s="42">
        <v>475837</v>
      </c>
      <c r="E63" s="47">
        <v>300.12113025470677</v>
      </c>
      <c r="F63" s="50">
        <v>308</v>
      </c>
      <c r="G63" s="43">
        <v>7.8788697452932759</v>
      </c>
      <c r="H63" s="43">
        <f t="shared" si="2"/>
        <v>2.5580745926276869</v>
      </c>
      <c r="I63" s="44"/>
      <c r="J63" s="44"/>
      <c r="K63" s="43"/>
      <c r="L63" s="44">
        <f>E63*8.5</f>
        <v>2551.0296071650077</v>
      </c>
      <c r="M63" s="44">
        <f>F63*8.5</f>
        <v>2618</v>
      </c>
      <c r="N63" s="43">
        <f>G63*8.5</f>
        <v>66.97039283499285</v>
      </c>
      <c r="O63" s="44"/>
      <c r="P63" s="44"/>
      <c r="Q63" s="43"/>
      <c r="R63" s="44"/>
      <c r="S63" s="44"/>
      <c r="T63" s="43"/>
      <c r="U63" s="44"/>
      <c r="V63" s="44"/>
      <c r="W63" s="43"/>
      <c r="X63" s="44"/>
      <c r="Y63" s="44"/>
      <c r="Z63" s="43"/>
      <c r="AA63" s="44"/>
      <c r="AB63" s="44"/>
      <c r="AC63" s="43"/>
      <c r="AD63" s="44"/>
      <c r="AE63" s="44"/>
      <c r="AF63" s="43"/>
      <c r="AG63" s="44">
        <f>E63*0.01</f>
        <v>3.0012113025470679</v>
      </c>
      <c r="AH63" s="44">
        <f>F63*0.01</f>
        <v>3.08</v>
      </c>
      <c r="AI63" s="43">
        <f>G63*0.01</f>
        <v>7.8788697452932765E-2</v>
      </c>
      <c r="AJ63" s="44"/>
      <c r="AK63" s="44"/>
      <c r="AL63" s="43"/>
      <c r="AM63" s="44"/>
      <c r="AN63" s="44"/>
      <c r="AO63" s="43"/>
      <c r="AP63" s="44"/>
      <c r="AQ63" s="44"/>
      <c r="AR63" s="43"/>
      <c r="AS63" s="44"/>
      <c r="AT63" s="44"/>
      <c r="AU63" s="43"/>
      <c r="AV63" s="44">
        <f>E63*11</f>
        <v>3301.3324328017743</v>
      </c>
      <c r="AW63" s="44">
        <f>F63*11</f>
        <v>3388</v>
      </c>
      <c r="AX63" s="43">
        <f>G63*11</f>
        <v>86.667567198226038</v>
      </c>
      <c r="AY63" s="44">
        <f>E63*0.8</f>
        <v>240.09690420376543</v>
      </c>
      <c r="AZ63" s="44">
        <f>F63*0.8</f>
        <v>246.4</v>
      </c>
      <c r="BA63" s="43">
        <f>G63*0.8</f>
        <v>6.3030957962346212</v>
      </c>
      <c r="BB63" s="44">
        <f>E63*0.5</f>
        <v>150.06056512735339</v>
      </c>
      <c r="BC63" s="44">
        <f>F63*0.5</f>
        <v>154</v>
      </c>
      <c r="BD63" s="43">
        <f>G63*0.5</f>
        <v>3.9394348726466379</v>
      </c>
      <c r="BE63" s="44">
        <f>E63*0.25</f>
        <v>75.030282563676693</v>
      </c>
      <c r="BF63" s="44">
        <f>F63*0.25</f>
        <v>77</v>
      </c>
      <c r="BG63" s="43">
        <f>G63*0.25</f>
        <v>1.969717436323319</v>
      </c>
      <c r="BH63" s="44"/>
      <c r="BI63" s="44"/>
      <c r="BJ63" s="43"/>
      <c r="BK63" s="44"/>
      <c r="BL63" s="44"/>
      <c r="BM63" s="43"/>
      <c r="BN63" s="44"/>
      <c r="BO63" s="44"/>
      <c r="BP63" s="43"/>
      <c r="BQ63" s="44"/>
      <c r="BR63" s="44"/>
      <c r="BS63" s="43"/>
      <c r="BT63" s="44"/>
      <c r="BU63" s="44"/>
      <c r="BV63" s="43"/>
      <c r="BW63" s="44"/>
      <c r="BX63" s="44"/>
      <c r="BY63" s="43"/>
      <c r="BZ63" s="44"/>
      <c r="CA63" s="44"/>
      <c r="CB63" s="43"/>
      <c r="CC63" s="44"/>
      <c r="CD63" s="44"/>
      <c r="CE63" s="43"/>
      <c r="CF63" s="44"/>
      <c r="CG63" s="44"/>
      <c r="CH63" s="43"/>
      <c r="CI63" s="44"/>
      <c r="CJ63" s="44"/>
      <c r="CK63" s="43"/>
      <c r="CL63" s="44"/>
      <c r="CM63" s="44"/>
      <c r="CN63" s="43"/>
      <c r="CO63" s="44"/>
      <c r="CP63" s="44"/>
      <c r="CQ63" s="43"/>
      <c r="CR63" s="44"/>
      <c r="CS63" s="44"/>
      <c r="CT63" s="43"/>
      <c r="CU63" s="44"/>
      <c r="CV63" s="44"/>
      <c r="CW63" s="66"/>
    </row>
    <row r="64" spans="2:101" ht="36.6" customHeight="1" x14ac:dyDescent="0.3">
      <c r="B64" s="81" t="s">
        <v>142</v>
      </c>
      <c r="C64" s="40" t="s">
        <v>143</v>
      </c>
      <c r="D64" s="42">
        <v>234732</v>
      </c>
      <c r="E64" s="41">
        <v>171.02513661202184</v>
      </c>
      <c r="F64" s="48">
        <v>140</v>
      </c>
      <c r="G64" s="43">
        <v>-31.025136612021853</v>
      </c>
      <c r="H64" s="43">
        <f t="shared" si="2"/>
        <v>-22.160811865729897</v>
      </c>
      <c r="I64" s="44"/>
      <c r="J64" s="44"/>
      <c r="K64" s="43"/>
      <c r="L64" s="44">
        <f>8.5*E64</f>
        <v>1453.7136612021857</v>
      </c>
      <c r="M64" s="44">
        <f>8.5*F64</f>
        <v>1190</v>
      </c>
      <c r="N64" s="43">
        <f>8.5*G64</f>
        <v>-263.71366120218573</v>
      </c>
      <c r="O64" s="44"/>
      <c r="P64" s="44"/>
      <c r="Q64" s="43"/>
      <c r="R64" s="44"/>
      <c r="S64" s="44"/>
      <c r="T64" s="43"/>
      <c r="U64" s="44"/>
      <c r="V64" s="44"/>
      <c r="W64" s="43"/>
      <c r="X64" s="44"/>
      <c r="Y64" s="44"/>
      <c r="Z64" s="43"/>
      <c r="AA64" s="44"/>
      <c r="AB64" s="44"/>
      <c r="AC64" s="43"/>
      <c r="AD64" s="44"/>
      <c r="AE64" s="44"/>
      <c r="AF64" s="43"/>
      <c r="AG64" s="44"/>
      <c r="AH64" s="44"/>
      <c r="AI64" s="43"/>
      <c r="AJ64" s="44"/>
      <c r="AK64" s="44"/>
      <c r="AL64" s="43"/>
      <c r="AM64" s="44"/>
      <c r="AN64" s="44"/>
      <c r="AO64" s="43"/>
      <c r="AP64" s="44"/>
      <c r="AQ64" s="44"/>
      <c r="AR64" s="43"/>
      <c r="AS64" s="44"/>
      <c r="AT64" s="44"/>
      <c r="AU64" s="43"/>
      <c r="AV64" s="44">
        <f>E64*15.9</f>
        <v>2719.2996721311474</v>
      </c>
      <c r="AW64" s="44">
        <f>F64*15.9</f>
        <v>2226</v>
      </c>
      <c r="AX64" s="43">
        <f>G64*15.9</f>
        <v>-493.29967213114747</v>
      </c>
      <c r="AY64" s="44"/>
      <c r="AZ64" s="44"/>
      <c r="BA64" s="43"/>
      <c r="BB64" s="44"/>
      <c r="BC64" s="44"/>
      <c r="BD64" s="43"/>
      <c r="BE64" s="44"/>
      <c r="BF64" s="44"/>
      <c r="BG64" s="43"/>
      <c r="BH64" s="44"/>
      <c r="BI64" s="44"/>
      <c r="BJ64" s="43"/>
      <c r="BK64" s="44"/>
      <c r="BL64" s="44"/>
      <c r="BM64" s="43"/>
      <c r="BN64" s="44"/>
      <c r="BO64" s="44"/>
      <c r="BP64" s="43"/>
      <c r="BQ64" s="44"/>
      <c r="BR64" s="44"/>
      <c r="BS64" s="43"/>
      <c r="BT64" s="44"/>
      <c r="BU64" s="44"/>
      <c r="BV64" s="43"/>
      <c r="BW64" s="44"/>
      <c r="BX64" s="44"/>
      <c r="BY64" s="43"/>
      <c r="BZ64" s="44"/>
      <c r="CA64" s="44"/>
      <c r="CB64" s="43"/>
      <c r="CC64" s="44"/>
      <c r="CD64" s="44"/>
      <c r="CE64" s="43"/>
      <c r="CF64" s="44"/>
      <c r="CG64" s="44"/>
      <c r="CH64" s="43"/>
      <c r="CI64" s="44"/>
      <c r="CJ64" s="44"/>
      <c r="CK64" s="43"/>
      <c r="CL64" s="44"/>
      <c r="CM64" s="44"/>
      <c r="CN64" s="43"/>
      <c r="CO64" s="44"/>
      <c r="CP64" s="44"/>
      <c r="CQ64" s="43"/>
      <c r="CR64" s="44"/>
      <c r="CS64" s="44"/>
      <c r="CT64" s="43"/>
      <c r="CU64" s="44"/>
      <c r="CV64" s="44"/>
      <c r="CW64" s="66"/>
    </row>
    <row r="65" spans="2:101" ht="36.6" customHeight="1" x14ac:dyDescent="0.3">
      <c r="B65" s="81" t="s">
        <v>144</v>
      </c>
      <c r="C65" s="40" t="s">
        <v>124</v>
      </c>
      <c r="D65" s="42">
        <v>3367.2</v>
      </c>
      <c r="E65" s="41">
        <v>3.8542202603607949</v>
      </c>
      <c r="F65" s="48">
        <v>11</v>
      </c>
      <c r="G65" s="43">
        <v>7.145779739639206</v>
      </c>
      <c r="H65" s="43">
        <f t="shared" si="2"/>
        <v>64.961633996720053</v>
      </c>
      <c r="I65" s="44">
        <f>39*E65</f>
        <v>150.314590154071</v>
      </c>
      <c r="J65" s="44">
        <f>39*F65</f>
        <v>429</v>
      </c>
      <c r="K65" s="43">
        <f>39*G65</f>
        <v>278.68540984592903</v>
      </c>
      <c r="L65" s="44"/>
      <c r="M65" s="44"/>
      <c r="N65" s="43"/>
      <c r="O65" s="44">
        <f>10.4*E65</f>
        <v>40.083890707752268</v>
      </c>
      <c r="P65" s="44">
        <f>10.4*F65</f>
        <v>114.4</v>
      </c>
      <c r="Q65" s="43">
        <f>10.4*G65</f>
        <v>74.316109292247745</v>
      </c>
      <c r="R65" s="44"/>
      <c r="S65" s="44"/>
      <c r="T65" s="43"/>
      <c r="U65" s="44">
        <f>0.5*E65</f>
        <v>1.9271101301803975</v>
      </c>
      <c r="V65" s="44">
        <f>0.5*F65</f>
        <v>5.5</v>
      </c>
      <c r="W65" s="43">
        <f>0.5*G65</f>
        <v>3.572889869819603</v>
      </c>
      <c r="X65" s="44"/>
      <c r="Y65" s="44"/>
      <c r="Z65" s="43"/>
      <c r="AA65" s="44"/>
      <c r="AB65" s="44"/>
      <c r="AC65" s="43"/>
      <c r="AD65" s="44"/>
      <c r="AE65" s="44"/>
      <c r="AF65" s="43"/>
      <c r="AG65" s="44">
        <f>0.005*E65</f>
        <v>1.9271101301803976E-2</v>
      </c>
      <c r="AH65" s="44">
        <f>0.005*F65</f>
        <v>5.5E-2</v>
      </c>
      <c r="AI65" s="43">
        <f>0.005*G65</f>
        <v>3.5728898698196031E-2</v>
      </c>
      <c r="AJ65" s="44"/>
      <c r="AK65" s="44"/>
      <c r="AL65" s="43"/>
      <c r="AM65" s="44">
        <f>11.7*E65</f>
        <v>45.094377046221297</v>
      </c>
      <c r="AN65" s="44">
        <f>11.7*F65</f>
        <v>128.69999999999999</v>
      </c>
      <c r="AO65" s="43">
        <f>11.7*G65</f>
        <v>83.605622953778706</v>
      </c>
      <c r="AP65" s="44"/>
      <c r="AQ65" s="44"/>
      <c r="AR65" s="43"/>
      <c r="AS65" s="44"/>
      <c r="AT65" s="44"/>
      <c r="AU65" s="43"/>
      <c r="AV65" s="44"/>
      <c r="AW65" s="44"/>
      <c r="AX65" s="43"/>
      <c r="AY65" s="44"/>
      <c r="AZ65" s="44"/>
      <c r="BA65" s="43"/>
      <c r="BB65" s="44"/>
      <c r="BC65" s="44"/>
      <c r="BD65" s="43"/>
      <c r="BE65" s="44"/>
      <c r="BF65" s="44"/>
      <c r="BG65" s="43"/>
      <c r="BH65" s="44"/>
      <c r="BI65" s="44"/>
      <c r="BJ65" s="43"/>
      <c r="BK65" s="44"/>
      <c r="BL65" s="44"/>
      <c r="BM65" s="43"/>
      <c r="BN65" s="44"/>
      <c r="BO65" s="44"/>
      <c r="BP65" s="43"/>
      <c r="BQ65" s="44"/>
      <c r="BR65" s="44"/>
      <c r="BS65" s="43"/>
      <c r="BT65" s="44"/>
      <c r="BU65" s="44"/>
      <c r="BV65" s="43"/>
      <c r="BW65" s="44"/>
      <c r="BX65" s="44"/>
      <c r="BY65" s="43"/>
      <c r="BZ65" s="44"/>
      <c r="CA65" s="44"/>
      <c r="CB65" s="43"/>
      <c r="CC65" s="44"/>
      <c r="CD65" s="44"/>
      <c r="CE65" s="43"/>
      <c r="CF65" s="44">
        <v>1.541688104144318</v>
      </c>
      <c r="CG65" s="44">
        <v>4.4000000000000004</v>
      </c>
      <c r="CH65" s="43">
        <v>2.8583118958556826</v>
      </c>
      <c r="CI65" s="44"/>
      <c r="CJ65" s="44"/>
      <c r="CK65" s="43"/>
      <c r="CL65" s="44"/>
      <c r="CM65" s="44"/>
      <c r="CN65" s="43"/>
      <c r="CO65" s="44">
        <v>3.6823732321490166</v>
      </c>
      <c r="CP65" s="44">
        <v>5.2</v>
      </c>
      <c r="CQ65" s="43">
        <v>1.5176267678509825</v>
      </c>
      <c r="CR65" s="44">
        <v>165.70679544670574</v>
      </c>
      <c r="CS65" s="44">
        <v>234</v>
      </c>
      <c r="CT65" s="43">
        <v>68.293204553294217</v>
      </c>
      <c r="CU65" s="44"/>
      <c r="CV65" s="44"/>
      <c r="CW65" s="66"/>
    </row>
    <row r="66" spans="2:101" ht="36.6" customHeight="1" x14ac:dyDescent="0.3">
      <c r="B66" s="81" t="s">
        <v>145</v>
      </c>
      <c r="C66" s="40" t="s">
        <v>124</v>
      </c>
      <c r="D66" s="42">
        <v>266880</v>
      </c>
      <c r="E66" s="41">
        <v>92.059330803725416</v>
      </c>
      <c r="F66" s="48">
        <v>130</v>
      </c>
      <c r="G66" s="43">
        <v>37.940669196274563</v>
      </c>
      <c r="H66" s="43">
        <f t="shared" si="2"/>
        <v>29.185130150980431</v>
      </c>
      <c r="I66" s="44"/>
      <c r="J66" s="44"/>
      <c r="K66" s="43"/>
      <c r="L66" s="44"/>
      <c r="M66" s="44"/>
      <c r="N66" s="43"/>
      <c r="O66" s="44"/>
      <c r="P66" s="44"/>
      <c r="Q66" s="43"/>
      <c r="R66" s="44"/>
      <c r="S66" s="44"/>
      <c r="T66" s="43"/>
      <c r="U66" s="44"/>
      <c r="V66" s="44"/>
      <c r="W66" s="43"/>
      <c r="X66" s="44"/>
      <c r="Y66" s="44"/>
      <c r="Z66" s="43"/>
      <c r="AA66" s="44"/>
      <c r="AB66" s="44"/>
      <c r="AC66" s="43"/>
      <c r="AD66" s="44"/>
      <c r="AE66" s="44"/>
      <c r="AF66" s="43"/>
      <c r="AG66" s="44">
        <f t="shared" ref="AG66:AI67" si="23">E66*0.01</f>
        <v>0.92059330803725414</v>
      </c>
      <c r="AH66" s="44">
        <f t="shared" si="23"/>
        <v>1.3</v>
      </c>
      <c r="AI66" s="43">
        <f t="shared" si="23"/>
        <v>0.37940669196274562</v>
      </c>
      <c r="AJ66" s="44"/>
      <c r="AK66" s="44"/>
      <c r="AL66" s="43"/>
      <c r="AM66" s="44"/>
      <c r="AN66" s="44"/>
      <c r="AO66" s="43"/>
      <c r="AP66" s="44"/>
      <c r="AQ66" s="44"/>
      <c r="AR66" s="43"/>
      <c r="AS66" s="44">
        <f>0.13*E66</f>
        <v>11.967713004484304</v>
      </c>
      <c r="AT66" s="44">
        <f>0.13*F66</f>
        <v>16.900000000000002</v>
      </c>
      <c r="AU66" s="43">
        <f>0.13*G66</f>
        <v>4.9322869955156934</v>
      </c>
      <c r="AV66" s="44"/>
      <c r="AW66" s="44"/>
      <c r="AX66" s="43"/>
      <c r="AY66" s="44">
        <f>E66*19</f>
        <v>1749.127285270783</v>
      </c>
      <c r="AZ66" s="44">
        <f>F66*19</f>
        <v>2470</v>
      </c>
      <c r="BA66" s="43">
        <f>G66*19</f>
        <v>720.87271472921668</v>
      </c>
      <c r="BB66" s="44"/>
      <c r="BC66" s="44"/>
      <c r="BD66" s="43"/>
      <c r="BE66" s="44"/>
      <c r="BF66" s="44"/>
      <c r="BG66" s="43"/>
      <c r="BH66" s="44"/>
      <c r="BI66" s="44"/>
      <c r="BJ66" s="43"/>
      <c r="BK66" s="44"/>
      <c r="BL66" s="44"/>
      <c r="BM66" s="43"/>
      <c r="BN66" s="44"/>
      <c r="BO66" s="44"/>
      <c r="BP66" s="43"/>
      <c r="BQ66" s="44"/>
      <c r="BR66" s="44"/>
      <c r="BS66" s="43"/>
      <c r="BT66" s="44"/>
      <c r="BU66" s="44"/>
      <c r="BV66" s="43"/>
      <c r="BW66" s="44"/>
      <c r="BX66" s="44"/>
      <c r="BY66" s="43"/>
      <c r="BZ66" s="44">
        <f>1.5*E66</f>
        <v>138.08899620558813</v>
      </c>
      <c r="CA66" s="44">
        <f>1.5*F66</f>
        <v>195</v>
      </c>
      <c r="CB66" s="43">
        <f>1.5*G66</f>
        <v>56.91100379441184</v>
      </c>
      <c r="CC66" s="44"/>
      <c r="CD66" s="44"/>
      <c r="CE66" s="43"/>
      <c r="CF66" s="44"/>
      <c r="CG66" s="44"/>
      <c r="CH66" s="43"/>
      <c r="CI66" s="44"/>
      <c r="CJ66" s="44"/>
      <c r="CK66" s="43"/>
      <c r="CL66" s="44">
        <v>3590.313901345291</v>
      </c>
      <c r="CM66" s="44">
        <v>5070</v>
      </c>
      <c r="CN66" s="43">
        <v>1479.6860986547078</v>
      </c>
      <c r="CO66" s="44"/>
      <c r="CP66" s="44"/>
      <c r="CQ66" s="43"/>
      <c r="CR66" s="44"/>
      <c r="CS66" s="44"/>
      <c r="CT66" s="43"/>
      <c r="CU66" s="44"/>
      <c r="CV66" s="44"/>
      <c r="CW66" s="66"/>
    </row>
    <row r="67" spans="2:101" ht="36.6" customHeight="1" x14ac:dyDescent="0.3">
      <c r="B67" s="81" t="s">
        <v>146</v>
      </c>
      <c r="C67" s="40" t="s">
        <v>147</v>
      </c>
      <c r="D67" s="42">
        <v>19364.8</v>
      </c>
      <c r="E67" s="41">
        <v>14.708420496298807</v>
      </c>
      <c r="F67" s="48">
        <v>18.5</v>
      </c>
      <c r="G67" s="43">
        <v>3.7915795037011923</v>
      </c>
      <c r="H67" s="43">
        <f t="shared" si="2"/>
        <v>20.495024344330769</v>
      </c>
      <c r="I67" s="44"/>
      <c r="J67" s="44"/>
      <c r="K67" s="43"/>
      <c r="L67" s="44">
        <f>E67*14.5</f>
        <v>213.27209719633271</v>
      </c>
      <c r="M67" s="44">
        <f>F67*14.5</f>
        <v>268.25</v>
      </c>
      <c r="N67" s="43">
        <f>G67*14.5</f>
        <v>54.977902803667291</v>
      </c>
      <c r="O67" s="44"/>
      <c r="P67" s="44"/>
      <c r="Q67" s="43"/>
      <c r="R67" s="44"/>
      <c r="S67" s="44"/>
      <c r="T67" s="43"/>
      <c r="U67" s="44"/>
      <c r="V67" s="44"/>
      <c r="W67" s="43"/>
      <c r="X67" s="44"/>
      <c r="Y67" s="44"/>
      <c r="Z67" s="43"/>
      <c r="AA67" s="44"/>
      <c r="AB67" s="44"/>
      <c r="AC67" s="43"/>
      <c r="AD67" s="44"/>
      <c r="AE67" s="44"/>
      <c r="AF67" s="43"/>
      <c r="AG67" s="44">
        <f t="shared" si="23"/>
        <v>0.14708420496298807</v>
      </c>
      <c r="AH67" s="44">
        <f t="shared" si="23"/>
        <v>0.185</v>
      </c>
      <c r="AI67" s="43">
        <f t="shared" si="23"/>
        <v>3.7915795037011923E-2</v>
      </c>
      <c r="AJ67" s="44">
        <f>45*E67</f>
        <v>661.87892233344633</v>
      </c>
      <c r="AK67" s="44">
        <f>45*F67</f>
        <v>832.5</v>
      </c>
      <c r="AL67" s="43">
        <f>45*G67</f>
        <v>170.62107766655365</v>
      </c>
      <c r="AM67" s="44"/>
      <c r="AN67" s="44"/>
      <c r="AO67" s="43"/>
      <c r="AP67" s="44"/>
      <c r="AQ67" s="44"/>
      <c r="AR67" s="43"/>
      <c r="AS67" s="44">
        <f>E67*0.4</f>
        <v>5.8833681985195234</v>
      </c>
      <c r="AT67" s="44">
        <f>F67*0.4</f>
        <v>7.4</v>
      </c>
      <c r="AU67" s="43">
        <f>G67*0.4</f>
        <v>1.5166318014804769</v>
      </c>
      <c r="AV67" s="44"/>
      <c r="AW67" s="44"/>
      <c r="AX67" s="43"/>
      <c r="AY67" s="44"/>
      <c r="AZ67" s="44"/>
      <c r="BA67" s="43"/>
      <c r="BB67" s="44"/>
      <c r="BC67" s="44"/>
      <c r="BD67" s="43"/>
      <c r="BE67" s="44"/>
      <c r="BF67" s="44"/>
      <c r="BG67" s="43"/>
      <c r="BH67" s="44"/>
      <c r="BI67" s="44"/>
      <c r="BJ67" s="43"/>
      <c r="BK67" s="44"/>
      <c r="BL67" s="44"/>
      <c r="BM67" s="43"/>
      <c r="BN67" s="44"/>
      <c r="BO67" s="44"/>
      <c r="BP67" s="43"/>
      <c r="BQ67" s="44"/>
      <c r="BR67" s="44"/>
      <c r="BS67" s="43"/>
      <c r="BT67" s="44"/>
      <c r="BU67" s="44"/>
      <c r="BV67" s="43"/>
      <c r="BW67" s="44"/>
      <c r="BX67" s="44"/>
      <c r="BY67" s="43"/>
      <c r="BZ67" s="44"/>
      <c r="CA67" s="44"/>
      <c r="CB67" s="43"/>
      <c r="CC67" s="44"/>
      <c r="CD67" s="44"/>
      <c r="CE67" s="43"/>
      <c r="CF67" s="44"/>
      <c r="CG67" s="44"/>
      <c r="CH67" s="43"/>
      <c r="CI67" s="44">
        <v>3.0887683042227492</v>
      </c>
      <c r="CJ67" s="44">
        <v>3.8849999999999998</v>
      </c>
      <c r="CK67" s="43">
        <v>0.79623169577725039</v>
      </c>
      <c r="CL67" s="44"/>
      <c r="CM67" s="44"/>
      <c r="CN67" s="43"/>
      <c r="CO67" s="44"/>
      <c r="CP67" s="44"/>
      <c r="CQ67" s="43"/>
      <c r="CR67" s="44"/>
      <c r="CS67" s="44"/>
      <c r="CT67" s="43"/>
      <c r="CU67" s="44">
        <v>61.775366084454994</v>
      </c>
      <c r="CV67" s="44">
        <v>77.7</v>
      </c>
      <c r="CW67" s="66">
        <v>15.924633915545009</v>
      </c>
    </row>
    <row r="68" spans="2:101" ht="36.6" customHeight="1" x14ac:dyDescent="0.3">
      <c r="B68" s="81" t="s">
        <v>139</v>
      </c>
      <c r="C68" s="40" t="s">
        <v>110</v>
      </c>
      <c r="D68" s="42">
        <v>35185</v>
      </c>
      <c r="E68" s="41">
        <v>19.480887079116801</v>
      </c>
      <c r="F68" s="48">
        <v>33</v>
      </c>
      <c r="G68" s="43">
        <v>13.519112920883158</v>
      </c>
      <c r="H68" s="43">
        <f t="shared" si="2"/>
        <v>40.967008851161083</v>
      </c>
      <c r="I68" s="44"/>
      <c r="J68" s="44"/>
      <c r="K68" s="43"/>
      <c r="L68" s="44">
        <f>15.5*E68</f>
        <v>301.95374972631043</v>
      </c>
      <c r="M68" s="44">
        <f>15.5*F68</f>
        <v>511.5</v>
      </c>
      <c r="N68" s="43">
        <f>15.5*G68</f>
        <v>209.54625027368894</v>
      </c>
      <c r="O68" s="44">
        <f>8*E68</f>
        <v>155.84709663293441</v>
      </c>
      <c r="P68" s="44">
        <f>8*F68</f>
        <v>264</v>
      </c>
      <c r="Q68" s="43">
        <f>8*G68</f>
        <v>108.15290336706526</v>
      </c>
      <c r="R68" s="44"/>
      <c r="S68" s="44"/>
      <c r="T68" s="43"/>
      <c r="U68" s="44">
        <f>1.5*E68</f>
        <v>29.221330618675204</v>
      </c>
      <c r="V68" s="44">
        <f>1.5*F68</f>
        <v>49.5</v>
      </c>
      <c r="W68" s="43">
        <f>1.5*G68</f>
        <v>20.278669381324736</v>
      </c>
      <c r="X68" s="44"/>
      <c r="Y68" s="44"/>
      <c r="Z68" s="43"/>
      <c r="AA68" s="44"/>
      <c r="AB68" s="44"/>
      <c r="AC68" s="43"/>
      <c r="AD68" s="44"/>
      <c r="AE68" s="44"/>
      <c r="AF68" s="43"/>
      <c r="AG68" s="44">
        <f>0.01*E68</f>
        <v>0.19480887079116802</v>
      </c>
      <c r="AH68" s="44">
        <f>0.01*F68</f>
        <v>0.33</v>
      </c>
      <c r="AI68" s="43">
        <f>0.01*G68</f>
        <v>0.13519112920883158</v>
      </c>
      <c r="AJ68" s="44">
        <f>E68*46.5</f>
        <v>905.8612491789313</v>
      </c>
      <c r="AK68" s="44">
        <f>F68*46.5</f>
        <v>1534.5</v>
      </c>
      <c r="AL68" s="43">
        <f>G68*46.5</f>
        <v>628.63875082106688</v>
      </c>
      <c r="AM68" s="44"/>
      <c r="AN68" s="44"/>
      <c r="AO68" s="43"/>
      <c r="AP68" s="44"/>
      <c r="AQ68" s="44"/>
      <c r="AR68" s="43"/>
      <c r="AS68" s="44"/>
      <c r="AT68" s="44"/>
      <c r="AU68" s="43"/>
      <c r="AV68" s="44"/>
      <c r="AW68" s="44"/>
      <c r="AX68" s="43"/>
      <c r="AY68" s="44"/>
      <c r="AZ68" s="44"/>
      <c r="BA68" s="43"/>
      <c r="BB68" s="44"/>
      <c r="BC68" s="44"/>
      <c r="BD68" s="43"/>
      <c r="BE68" s="44"/>
      <c r="BF68" s="44"/>
      <c r="BG68" s="43"/>
      <c r="BH68" s="44"/>
      <c r="BI68" s="44"/>
      <c r="BJ68" s="43"/>
      <c r="BK68" s="44"/>
      <c r="BL68" s="44"/>
      <c r="BM68" s="43"/>
      <c r="BN68" s="44"/>
      <c r="BO68" s="44"/>
      <c r="BP68" s="43"/>
      <c r="BQ68" s="44"/>
      <c r="BR68" s="44"/>
      <c r="BS68" s="43"/>
      <c r="BT68" s="44"/>
      <c r="BU68" s="44"/>
      <c r="BV68" s="43"/>
      <c r="BW68" s="44"/>
      <c r="BX68" s="44"/>
      <c r="BY68" s="43"/>
      <c r="BZ68" s="44"/>
      <c r="CA68" s="44"/>
      <c r="CB68" s="43"/>
      <c r="CC68" s="44"/>
      <c r="CD68" s="44"/>
      <c r="CE68" s="43"/>
      <c r="CF68" s="44"/>
      <c r="CG68" s="44"/>
      <c r="CH68" s="43"/>
      <c r="CI68" s="44"/>
      <c r="CJ68" s="44"/>
      <c r="CK68" s="43"/>
      <c r="CL68" s="44"/>
      <c r="CM68" s="44"/>
      <c r="CN68" s="43"/>
      <c r="CO68" s="44"/>
      <c r="CP68" s="44"/>
      <c r="CQ68" s="43"/>
      <c r="CR68" s="44"/>
      <c r="CS68" s="44"/>
      <c r="CT68" s="43"/>
      <c r="CU68" s="44"/>
      <c r="CV68" s="44"/>
      <c r="CW68" s="66"/>
    </row>
    <row r="69" spans="2:101" ht="16.8" thickBot="1" x14ac:dyDescent="0.35">
      <c r="B69" s="67"/>
      <c r="C69" s="68" t="s">
        <v>148</v>
      </c>
      <c r="D69" s="69"/>
      <c r="E69" s="70">
        <f t="shared" ref="E69:AJ69" si="24">SUM(E42:E68)</f>
        <v>954.955430910259</v>
      </c>
      <c r="F69" s="71">
        <f t="shared" si="24"/>
        <v>1104</v>
      </c>
      <c r="G69" s="72">
        <f t="shared" si="24"/>
        <v>143.04456908974092</v>
      </c>
      <c r="H69" s="72">
        <f t="shared" si="24"/>
        <v>547.91661745304168</v>
      </c>
      <c r="I69" s="72">
        <f t="shared" si="24"/>
        <v>4100.9375156312653</v>
      </c>
      <c r="J69" s="72">
        <f t="shared" si="24"/>
        <v>5715.65</v>
      </c>
      <c r="K69" s="72">
        <f t="shared" si="24"/>
        <v>1614.7124843687343</v>
      </c>
      <c r="L69" s="72">
        <f t="shared" si="24"/>
        <v>7383.2910920638114</v>
      </c>
      <c r="M69" s="72">
        <f t="shared" si="24"/>
        <v>8501.86</v>
      </c>
      <c r="N69" s="72">
        <f t="shared" si="24"/>
        <v>1031.5689079361896</v>
      </c>
      <c r="O69" s="72">
        <f t="shared" si="24"/>
        <v>1167.4726575161339</v>
      </c>
      <c r="P69" s="72">
        <f t="shared" si="24"/>
        <v>1662.2800000000002</v>
      </c>
      <c r="Q69" s="72">
        <f t="shared" si="24"/>
        <v>494.80734248386574</v>
      </c>
      <c r="R69" s="72">
        <f t="shared" si="24"/>
        <v>89.352392479962532</v>
      </c>
      <c r="S69" s="72">
        <f t="shared" si="24"/>
        <v>107.2</v>
      </c>
      <c r="T69" s="72">
        <f t="shared" si="24"/>
        <v>17.847607520037474</v>
      </c>
      <c r="U69" s="72">
        <f t="shared" si="24"/>
        <v>110.97885936137314</v>
      </c>
      <c r="V69" s="72">
        <f t="shared" si="24"/>
        <v>168.05</v>
      </c>
      <c r="W69" s="72">
        <f t="shared" si="24"/>
        <v>57.071140638626787</v>
      </c>
      <c r="X69" s="72">
        <f t="shared" si="24"/>
        <v>617.42046841294302</v>
      </c>
      <c r="Y69" s="72">
        <f t="shared" si="24"/>
        <v>1006.3000000000001</v>
      </c>
      <c r="Z69" s="72">
        <f t="shared" si="24"/>
        <v>388.87953158705704</v>
      </c>
      <c r="AA69" s="72">
        <f t="shared" si="24"/>
        <v>17.793097072419105</v>
      </c>
      <c r="AB69" s="72">
        <f t="shared" si="24"/>
        <v>29</v>
      </c>
      <c r="AC69" s="72">
        <f t="shared" si="24"/>
        <v>11.206902927580893</v>
      </c>
      <c r="AD69" s="72">
        <f t="shared" si="24"/>
        <v>3.9852663871927612</v>
      </c>
      <c r="AE69" s="72">
        <f t="shared" si="24"/>
        <v>6.8000000000000007</v>
      </c>
      <c r="AF69" s="72">
        <f t="shared" si="24"/>
        <v>2.8147336128072387</v>
      </c>
      <c r="AG69" s="72">
        <f t="shared" si="24"/>
        <v>6.6497624239521445</v>
      </c>
      <c r="AH69" s="72">
        <f t="shared" si="24"/>
        <v>8.0749999999999993</v>
      </c>
      <c r="AI69" s="72">
        <f t="shared" si="24"/>
        <v>1.3652375760478566</v>
      </c>
      <c r="AJ69" s="72">
        <f t="shared" si="24"/>
        <v>6362.3188385413978</v>
      </c>
      <c r="AK69" s="72">
        <f t="shared" ref="AK69:BP69" si="25">SUM(AK42:AK68)</f>
        <v>8579.5999999999985</v>
      </c>
      <c r="AL69" s="72">
        <f t="shared" si="25"/>
        <v>1957.4811614586008</v>
      </c>
      <c r="AM69" s="72">
        <f t="shared" si="25"/>
        <v>244.4308962870289</v>
      </c>
      <c r="AN69" s="72">
        <f t="shared" si="25"/>
        <v>340.26</v>
      </c>
      <c r="AO69" s="72">
        <f t="shared" si="25"/>
        <v>95.829103712971104</v>
      </c>
      <c r="AP69" s="72">
        <f t="shared" si="25"/>
        <v>0.67465466050133849</v>
      </c>
      <c r="AQ69" s="72">
        <f t="shared" si="25"/>
        <v>2.5499999999999998</v>
      </c>
      <c r="AR69" s="72">
        <f t="shared" si="25"/>
        <v>1.8753453394986614</v>
      </c>
      <c r="AS69" s="72">
        <f t="shared" si="25"/>
        <v>54.756445508885946</v>
      </c>
      <c r="AT69" s="72">
        <f t="shared" si="25"/>
        <v>74.325000000000003</v>
      </c>
      <c r="AU69" s="72">
        <f t="shared" si="25"/>
        <v>16.868554491114047</v>
      </c>
      <c r="AV69" s="72">
        <f t="shared" si="25"/>
        <v>7178.1720362764272</v>
      </c>
      <c r="AW69" s="72">
        <f t="shared" si="25"/>
        <v>6972.2359999999999</v>
      </c>
      <c r="AX69" s="72">
        <f t="shared" si="25"/>
        <v>-205.93603627642659</v>
      </c>
      <c r="AY69" s="72">
        <f t="shared" si="25"/>
        <v>2695.3397493444691</v>
      </c>
      <c r="AZ69" s="72">
        <f t="shared" si="25"/>
        <v>3534</v>
      </c>
      <c r="BA69" s="72">
        <f t="shared" si="25"/>
        <v>838.66025065553049</v>
      </c>
      <c r="BB69" s="72">
        <f t="shared" si="25"/>
        <v>157.06336486443968</v>
      </c>
      <c r="BC69" s="72">
        <f t="shared" si="25"/>
        <v>165.5</v>
      </c>
      <c r="BD69" s="72">
        <f t="shared" si="25"/>
        <v>8.4366351355603584</v>
      </c>
      <c r="BE69" s="72">
        <f t="shared" si="25"/>
        <v>77.08308323434494</v>
      </c>
      <c r="BF69" s="72">
        <f t="shared" si="25"/>
        <v>80.75</v>
      </c>
      <c r="BG69" s="72">
        <f t="shared" si="25"/>
        <v>3.6669167656550687</v>
      </c>
      <c r="BH69" s="72">
        <f t="shared" si="25"/>
        <v>4.5964538515196818</v>
      </c>
      <c r="BI69" s="72">
        <f t="shared" si="25"/>
        <v>5.5200000000000005</v>
      </c>
      <c r="BJ69" s="72">
        <f t="shared" si="25"/>
        <v>0.9235461484803188</v>
      </c>
      <c r="BK69" s="72">
        <f t="shared" si="25"/>
        <v>23.007249985052319</v>
      </c>
      <c r="BL69" s="72">
        <f t="shared" si="25"/>
        <v>27.630000000000003</v>
      </c>
      <c r="BM69" s="72">
        <f t="shared" si="25"/>
        <v>4.622750014947683</v>
      </c>
      <c r="BN69" s="72">
        <f t="shared" si="25"/>
        <v>19.631834050264313</v>
      </c>
      <c r="BO69" s="72">
        <f t="shared" si="25"/>
        <v>23.68</v>
      </c>
      <c r="BP69" s="72">
        <f t="shared" si="25"/>
        <v>4.0481659497356866</v>
      </c>
      <c r="BQ69" s="72">
        <f t="shared" ref="BQ69:CV69" si="26">SUM(BQ42:BQ68)</f>
        <v>19.188438696964102</v>
      </c>
      <c r="BR69" s="72">
        <f t="shared" si="26"/>
        <v>23.2</v>
      </c>
      <c r="BS69" s="72">
        <f t="shared" si="26"/>
        <v>4.0115613030358981</v>
      </c>
      <c r="BT69" s="72">
        <f t="shared" si="26"/>
        <v>340.66721126508656</v>
      </c>
      <c r="BU69" s="72">
        <f t="shared" si="26"/>
        <v>459.90000000000003</v>
      </c>
      <c r="BV69" s="72">
        <f t="shared" si="26"/>
        <v>94.032788734913424</v>
      </c>
      <c r="BW69" s="72">
        <f t="shared" si="26"/>
        <v>117.59626749369835</v>
      </c>
      <c r="BX69" s="72">
        <f t="shared" si="26"/>
        <v>146.874</v>
      </c>
      <c r="BY69" s="72">
        <f t="shared" si="26"/>
        <v>28.01773250630163</v>
      </c>
      <c r="BZ69" s="72">
        <f t="shared" si="26"/>
        <v>144.42661769629078</v>
      </c>
      <c r="CA69" s="72">
        <f t="shared" si="26"/>
        <v>203.75</v>
      </c>
      <c r="CB69" s="72">
        <f t="shared" si="26"/>
        <v>59.323382303709202</v>
      </c>
      <c r="CC69" s="72">
        <f t="shared" si="26"/>
        <v>197.8263</v>
      </c>
      <c r="CD69" s="72">
        <f t="shared" si="26"/>
        <v>198</v>
      </c>
      <c r="CE69" s="72">
        <f t="shared" si="26"/>
        <v>0.17370000000000002</v>
      </c>
      <c r="CF69" s="72">
        <f t="shared" si="26"/>
        <v>9.6745471041443185</v>
      </c>
      <c r="CG69" s="72">
        <f t="shared" si="26"/>
        <v>12.540000000000001</v>
      </c>
      <c r="CH69" s="72">
        <f t="shared" si="26"/>
        <v>2.8654528958556824</v>
      </c>
      <c r="CI69" s="72">
        <f t="shared" si="26"/>
        <v>3.0887683042227492</v>
      </c>
      <c r="CJ69" s="72">
        <f t="shared" si="26"/>
        <v>3.8849999999999998</v>
      </c>
      <c r="CK69" s="72">
        <f t="shared" si="26"/>
        <v>0.79623169577725039</v>
      </c>
      <c r="CL69" s="72">
        <f t="shared" si="26"/>
        <v>3590.313901345291</v>
      </c>
      <c r="CM69" s="72">
        <f t="shared" si="26"/>
        <v>5070</v>
      </c>
      <c r="CN69" s="72">
        <f t="shared" si="26"/>
        <v>1479.6860986547078</v>
      </c>
      <c r="CO69" s="72">
        <f t="shared" si="26"/>
        <v>3.6823732321490166</v>
      </c>
      <c r="CP69" s="72">
        <f t="shared" si="26"/>
        <v>5.2</v>
      </c>
      <c r="CQ69" s="72">
        <f t="shared" si="26"/>
        <v>1.5176267678509825</v>
      </c>
      <c r="CR69" s="72">
        <f t="shared" si="26"/>
        <v>165.70679544670574</v>
      </c>
      <c r="CS69" s="72">
        <f t="shared" si="26"/>
        <v>234</v>
      </c>
      <c r="CT69" s="72">
        <f t="shared" si="26"/>
        <v>68.293204553294217</v>
      </c>
      <c r="CU69" s="72">
        <f t="shared" si="26"/>
        <v>61.775366084454994</v>
      </c>
      <c r="CV69" s="72">
        <f t="shared" si="26"/>
        <v>77.7</v>
      </c>
      <c r="CW69" s="73">
        <f t="shared" ref="CW69" si="27">SUM(CW42:CW68)</f>
        <v>15.924633915545009</v>
      </c>
    </row>
    <row r="72" spans="2:101" x14ac:dyDescent="0.25">
      <c r="AL72" s="222" t="s">
        <v>78</v>
      </c>
      <c r="AM72" s="222"/>
      <c r="AN72" s="222"/>
    </row>
    <row r="73" spans="2:101" ht="14.4" thickBot="1" x14ac:dyDescent="0.3">
      <c r="AL73" s="223"/>
      <c r="AM73" s="223"/>
      <c r="AN73" s="223"/>
    </row>
    <row r="75" spans="2:101" ht="14.4" thickBot="1" x14ac:dyDescent="0.3"/>
    <row r="76" spans="2:101" ht="14.4" x14ac:dyDescent="0.3">
      <c r="B76" s="240"/>
      <c r="C76" s="242" t="s">
        <v>43</v>
      </c>
      <c r="D76" s="243"/>
      <c r="E76" s="243" t="s">
        <v>44</v>
      </c>
      <c r="F76" s="243"/>
      <c r="G76" s="243" t="s">
        <v>45</v>
      </c>
      <c r="H76" s="243"/>
      <c r="I76" s="243" t="s">
        <v>46</v>
      </c>
      <c r="J76" s="243"/>
      <c r="K76" s="243" t="s">
        <v>47</v>
      </c>
      <c r="L76" s="243"/>
      <c r="M76" s="243" t="s">
        <v>48</v>
      </c>
      <c r="N76" s="243"/>
      <c r="O76" s="243" t="s">
        <v>49</v>
      </c>
      <c r="P76" s="243"/>
      <c r="Q76" s="243" t="s">
        <v>50</v>
      </c>
      <c r="R76" s="243"/>
      <c r="S76" s="243" t="s">
        <v>51</v>
      </c>
      <c r="T76" s="243"/>
      <c r="U76" s="243" t="s">
        <v>52</v>
      </c>
      <c r="V76" s="243"/>
      <c r="W76" s="243" t="s">
        <v>53</v>
      </c>
      <c r="X76" s="243"/>
      <c r="Y76" s="243" t="s">
        <v>54</v>
      </c>
      <c r="Z76" s="243"/>
      <c r="AA76" s="243" t="s">
        <v>55</v>
      </c>
      <c r="AB76" s="243"/>
      <c r="AC76" s="243" t="s">
        <v>56</v>
      </c>
      <c r="AD76" s="243"/>
      <c r="AE76" s="243" t="s">
        <v>57</v>
      </c>
      <c r="AF76" s="243"/>
      <c r="AG76" s="243" t="s">
        <v>58</v>
      </c>
      <c r="AH76" s="243"/>
      <c r="AI76" s="243" t="s">
        <v>59</v>
      </c>
      <c r="AJ76" s="243"/>
      <c r="AK76" s="243" t="s">
        <v>60</v>
      </c>
      <c r="AL76" s="243"/>
      <c r="AM76" s="243" t="s">
        <v>61</v>
      </c>
      <c r="AN76" s="243"/>
      <c r="AO76" s="243" t="s">
        <v>62</v>
      </c>
      <c r="AP76" s="243"/>
      <c r="AQ76" s="243" t="s">
        <v>63</v>
      </c>
      <c r="AR76" s="243"/>
      <c r="AS76" s="243" t="s">
        <v>64</v>
      </c>
      <c r="AT76" s="243"/>
      <c r="AU76" s="243" t="s">
        <v>65</v>
      </c>
      <c r="AV76" s="243"/>
      <c r="AW76" s="243" t="s">
        <v>66</v>
      </c>
      <c r="AX76" s="243"/>
      <c r="AY76" s="243" t="s">
        <v>67</v>
      </c>
      <c r="AZ76" s="243"/>
      <c r="BA76" s="243" t="s">
        <v>68</v>
      </c>
      <c r="BB76" s="243"/>
      <c r="BC76" s="243" t="s">
        <v>69</v>
      </c>
      <c r="BD76" s="243"/>
      <c r="BE76" s="243" t="s">
        <v>70</v>
      </c>
      <c r="BF76" s="245"/>
    </row>
    <row r="77" spans="2:101" ht="29.4" thickBot="1" x14ac:dyDescent="0.3">
      <c r="B77" s="241"/>
      <c r="C77" s="10" t="s">
        <v>71</v>
      </c>
      <c r="D77" s="11" t="s">
        <v>72</v>
      </c>
      <c r="E77" s="11" t="s">
        <v>71</v>
      </c>
      <c r="F77" s="11" t="s">
        <v>72</v>
      </c>
      <c r="G77" s="11" t="s">
        <v>71</v>
      </c>
      <c r="H77" s="11" t="s">
        <v>72</v>
      </c>
      <c r="I77" s="11" t="s">
        <v>71</v>
      </c>
      <c r="J77" s="11" t="s">
        <v>72</v>
      </c>
      <c r="K77" s="11" t="s">
        <v>71</v>
      </c>
      <c r="L77" s="11" t="s">
        <v>72</v>
      </c>
      <c r="M77" s="11" t="s">
        <v>71</v>
      </c>
      <c r="N77" s="11" t="s">
        <v>72</v>
      </c>
      <c r="O77" s="11" t="s">
        <v>71</v>
      </c>
      <c r="P77" s="11" t="s">
        <v>72</v>
      </c>
      <c r="Q77" s="11" t="s">
        <v>71</v>
      </c>
      <c r="R77" s="11" t="s">
        <v>72</v>
      </c>
      <c r="S77" s="11" t="s">
        <v>71</v>
      </c>
      <c r="T77" s="11" t="s">
        <v>72</v>
      </c>
      <c r="U77" s="11" t="s">
        <v>71</v>
      </c>
      <c r="V77" s="11" t="s">
        <v>72</v>
      </c>
      <c r="W77" s="11" t="s">
        <v>71</v>
      </c>
      <c r="X77" s="11" t="s">
        <v>72</v>
      </c>
      <c r="Y77" s="11" t="s">
        <v>71</v>
      </c>
      <c r="Z77" s="11" t="s">
        <v>72</v>
      </c>
      <c r="AA77" s="11" t="s">
        <v>71</v>
      </c>
      <c r="AB77" s="11" t="s">
        <v>72</v>
      </c>
      <c r="AC77" s="11" t="s">
        <v>71</v>
      </c>
      <c r="AD77" s="11" t="s">
        <v>72</v>
      </c>
      <c r="AE77" s="11" t="s">
        <v>71</v>
      </c>
      <c r="AF77" s="11" t="s">
        <v>72</v>
      </c>
      <c r="AG77" s="11" t="s">
        <v>71</v>
      </c>
      <c r="AH77" s="11" t="s">
        <v>72</v>
      </c>
      <c r="AI77" s="11" t="s">
        <v>71</v>
      </c>
      <c r="AJ77" s="11" t="s">
        <v>72</v>
      </c>
      <c r="AK77" s="11" t="s">
        <v>71</v>
      </c>
      <c r="AL77" s="11" t="s">
        <v>72</v>
      </c>
      <c r="AM77" s="11" t="s">
        <v>71</v>
      </c>
      <c r="AN77" s="11" t="s">
        <v>72</v>
      </c>
      <c r="AO77" s="11" t="s">
        <v>71</v>
      </c>
      <c r="AP77" s="11" t="s">
        <v>72</v>
      </c>
      <c r="AQ77" s="11" t="s">
        <v>71</v>
      </c>
      <c r="AR77" s="11" t="s">
        <v>72</v>
      </c>
      <c r="AS77" s="11" t="s">
        <v>71</v>
      </c>
      <c r="AT77" s="11" t="s">
        <v>72</v>
      </c>
      <c r="AU77" s="11" t="s">
        <v>71</v>
      </c>
      <c r="AV77" s="11" t="s">
        <v>72</v>
      </c>
      <c r="AW77" s="11" t="s">
        <v>71</v>
      </c>
      <c r="AX77" s="11" t="s">
        <v>72</v>
      </c>
      <c r="AY77" s="11" t="s">
        <v>71</v>
      </c>
      <c r="AZ77" s="11" t="s">
        <v>72</v>
      </c>
      <c r="BA77" s="11" t="s">
        <v>71</v>
      </c>
      <c r="BB77" s="11" t="s">
        <v>72</v>
      </c>
      <c r="BC77" s="11" t="s">
        <v>71</v>
      </c>
      <c r="BD77" s="11" t="s">
        <v>72</v>
      </c>
      <c r="BE77" s="11" t="s">
        <v>71</v>
      </c>
      <c r="BF77" s="12" t="s">
        <v>72</v>
      </c>
    </row>
    <row r="78" spans="2:101" ht="14.4" x14ac:dyDescent="0.3">
      <c r="B78" s="77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3"/>
    </row>
    <row r="79" spans="2:101" ht="14.4" x14ac:dyDescent="0.25">
      <c r="B79" s="78" t="s">
        <v>73</v>
      </c>
      <c r="C79" s="4"/>
      <c r="D79" s="5"/>
      <c r="E79" s="5">
        <v>2802.4764133869353</v>
      </c>
      <c r="F79" s="5">
        <v>3377.5</v>
      </c>
      <c r="G79" s="5">
        <v>98.67471406333533</v>
      </c>
      <c r="H79" s="5">
        <v>270</v>
      </c>
      <c r="I79" s="5">
        <v>4417.1350492177862</v>
      </c>
      <c r="J79" s="5">
        <v>5179.3999999999996</v>
      </c>
      <c r="K79" s="5">
        <v>124.62589150546677</v>
      </c>
      <c r="L79" s="5">
        <v>134.4</v>
      </c>
      <c r="M79" s="5"/>
      <c r="N79" s="5"/>
      <c r="O79" s="5">
        <v>9.5712193779678625</v>
      </c>
      <c r="P79" s="5">
        <v>25.2</v>
      </c>
      <c r="Q79" s="5">
        <v>1.0254877904965567</v>
      </c>
      <c r="R79" s="5">
        <v>2.4</v>
      </c>
      <c r="S79" s="5"/>
      <c r="T79" s="5"/>
      <c r="U79" s="5">
        <v>1.5692179526016297</v>
      </c>
      <c r="V79" s="5">
        <v>2.15</v>
      </c>
      <c r="W79" s="5"/>
      <c r="X79" s="5"/>
      <c r="Y79" s="5">
        <v>0.49223413943834715</v>
      </c>
      <c r="Z79" s="5">
        <v>1.26</v>
      </c>
      <c r="AA79" s="5"/>
      <c r="AB79" s="5"/>
      <c r="AC79" s="5">
        <v>77.891182190916723</v>
      </c>
      <c r="AD79" s="5">
        <v>84</v>
      </c>
      <c r="AE79" s="5">
        <v>38.945591095458362</v>
      </c>
      <c r="AF79" s="5">
        <v>42</v>
      </c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6"/>
    </row>
    <row r="80" spans="2:101" ht="14.4" x14ac:dyDescent="0.25">
      <c r="B80" s="78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6"/>
    </row>
    <row r="81" spans="2:58" ht="14.4" x14ac:dyDescent="0.25">
      <c r="B81" s="78" t="s">
        <v>74</v>
      </c>
      <c r="C81" s="4">
        <v>3611.7946000454895</v>
      </c>
      <c r="D81" s="5">
        <v>4790.5</v>
      </c>
      <c r="E81" s="5">
        <v>1471.9105319962944</v>
      </c>
      <c r="F81" s="5">
        <v>1915</v>
      </c>
      <c r="G81" s="5">
        <v>1463.9276893199221</v>
      </c>
      <c r="H81" s="5">
        <v>1851</v>
      </c>
      <c r="I81" s="5">
        <v>1369.042161320335</v>
      </c>
      <c r="J81" s="5">
        <v>1716</v>
      </c>
      <c r="K81" s="5">
        <v>524.56419969423837</v>
      </c>
      <c r="L81" s="5">
        <v>598</v>
      </c>
      <c r="M81" s="5">
        <v>901.5468760777793</v>
      </c>
      <c r="N81" s="5">
        <v>1157</v>
      </c>
      <c r="O81" s="5">
        <v>54.602718674559554</v>
      </c>
      <c r="P81" s="5">
        <v>59.1</v>
      </c>
      <c r="Q81" s="5">
        <v>3.6468603348788591</v>
      </c>
      <c r="R81" s="5">
        <v>3.73</v>
      </c>
      <c r="S81" s="5">
        <v>77.112209249995331</v>
      </c>
      <c r="T81" s="5">
        <v>110.6</v>
      </c>
      <c r="U81" s="5">
        <v>0.57213793992477457</v>
      </c>
      <c r="V81" s="5">
        <v>1.47</v>
      </c>
      <c r="W81" s="5">
        <v>97.113261058185742</v>
      </c>
      <c r="X81" s="5">
        <v>116.60000000000001</v>
      </c>
      <c r="Y81" s="5">
        <v>1.4168430554690905</v>
      </c>
      <c r="Z81" s="5">
        <v>6</v>
      </c>
      <c r="AA81" s="5">
        <v>25.335552488712594</v>
      </c>
      <c r="AB81" s="5">
        <v>29</v>
      </c>
      <c r="AC81" s="5">
        <v>15.670181250000001</v>
      </c>
      <c r="AD81" s="5">
        <v>18</v>
      </c>
      <c r="AE81" s="5">
        <v>8.4150434176672384</v>
      </c>
      <c r="AF81" s="5">
        <v>7.37</v>
      </c>
      <c r="AG81" s="5">
        <v>281.33876500857627</v>
      </c>
      <c r="AH81" s="5">
        <v>246.8</v>
      </c>
      <c r="AI81" s="5"/>
      <c r="AJ81" s="5"/>
      <c r="AK81" s="5"/>
      <c r="AL81" s="5"/>
      <c r="AM81" s="5"/>
      <c r="AN81" s="5"/>
      <c r="AO81" s="5"/>
      <c r="AP81" s="5"/>
      <c r="AQ81" s="5">
        <v>276.314858490566</v>
      </c>
      <c r="AR81" s="5">
        <v>242</v>
      </c>
      <c r="AS81" s="5">
        <v>121.82973306174955</v>
      </c>
      <c r="AT81" s="5">
        <v>107.25</v>
      </c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6"/>
    </row>
    <row r="82" spans="2:58" ht="14.4" x14ac:dyDescent="0.25">
      <c r="B82" s="78"/>
      <c r="C82" s="4"/>
      <c r="D82" s="5"/>
      <c r="E82" s="5"/>
      <c r="F82" s="5"/>
      <c r="G82" s="5"/>
      <c r="H82" s="5"/>
      <c r="I82" s="5"/>
      <c r="J82" s="5"/>
      <c r="K82" s="5"/>
      <c r="L82" s="5">
        <v>2546</v>
      </c>
      <c r="M82" s="5"/>
      <c r="N82" s="5"/>
      <c r="O82" s="5"/>
      <c r="P82" s="5"/>
      <c r="Q82" s="5"/>
      <c r="R82" s="5"/>
      <c r="S82" s="5"/>
      <c r="T82" s="5"/>
      <c r="U82" s="5"/>
      <c r="V82" s="5">
        <v>3.0000000000000013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6"/>
    </row>
    <row r="83" spans="2:58" ht="14.4" x14ac:dyDescent="0.25">
      <c r="B83" s="78" t="s">
        <v>75</v>
      </c>
      <c r="C83" s="4">
        <v>743.93827776473347</v>
      </c>
      <c r="D83" s="5">
        <v>1131</v>
      </c>
      <c r="E83" s="5">
        <v>559.84538744781628</v>
      </c>
      <c r="F83" s="5">
        <v>668</v>
      </c>
      <c r="G83" s="5">
        <v>1728.3797139763064</v>
      </c>
      <c r="H83" s="5">
        <v>2047</v>
      </c>
      <c r="I83" s="5"/>
      <c r="J83" s="5"/>
      <c r="K83" s="5">
        <v>1974.1812694032426</v>
      </c>
      <c r="L83" s="5"/>
      <c r="M83" s="5">
        <v>255.49760929315897</v>
      </c>
      <c r="N83" s="5">
        <v>414</v>
      </c>
      <c r="O83" s="5">
        <v>189.11962355268895</v>
      </c>
      <c r="P83" s="5">
        <v>331.6</v>
      </c>
      <c r="Q83" s="5">
        <v>26.294908816284334</v>
      </c>
      <c r="R83" s="5">
        <v>29.910000000000004</v>
      </c>
      <c r="S83" s="5">
        <v>20.246558081983625</v>
      </c>
      <c r="T83" s="5">
        <v>35.5</v>
      </c>
      <c r="U83" s="5">
        <v>1.610972818530932</v>
      </c>
      <c r="V83" s="5"/>
      <c r="W83" s="5"/>
      <c r="X83" s="5"/>
      <c r="Y83" s="5">
        <v>6.55298402105287</v>
      </c>
      <c r="Z83" s="5">
        <v>6.75</v>
      </c>
      <c r="AA83" s="5">
        <v>209.82874501056585</v>
      </c>
      <c r="AB83" s="5">
        <v>340</v>
      </c>
      <c r="AC83" s="5"/>
      <c r="AD83" s="5"/>
      <c r="AE83" s="5"/>
      <c r="AF83" s="5"/>
      <c r="AG83" s="5">
        <v>4052.2668161434981</v>
      </c>
      <c r="AH83" s="5">
        <v>5227</v>
      </c>
      <c r="AI83" s="5"/>
      <c r="AJ83" s="5"/>
      <c r="AK83" s="5">
        <v>7.6301361822023956</v>
      </c>
      <c r="AL83" s="5">
        <v>11.6</v>
      </c>
      <c r="AM83" s="5">
        <v>187.027699206623</v>
      </c>
      <c r="AN83" s="5">
        <v>241.29999999999995</v>
      </c>
      <c r="AO83" s="5">
        <v>4.1561710934805109</v>
      </c>
      <c r="AP83" s="5">
        <v>5.4800000000000022</v>
      </c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6"/>
    </row>
    <row r="84" spans="2:58" ht="14.4" x14ac:dyDescent="0.25">
      <c r="B84" s="78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6"/>
    </row>
    <row r="85" spans="2:58" ht="15" thickBot="1" x14ac:dyDescent="0.3">
      <c r="B85" s="79" t="s">
        <v>76</v>
      </c>
      <c r="C85" s="7">
        <v>663.07522996208763</v>
      </c>
      <c r="D85" s="8">
        <v>1041.48</v>
      </c>
      <c r="E85" s="8">
        <v>959.9697560758932</v>
      </c>
      <c r="F85" s="8">
        <v>1430.47</v>
      </c>
      <c r="G85" s="8">
        <v>3691.971169890202</v>
      </c>
      <c r="H85" s="8">
        <v>4867.3200000000006</v>
      </c>
      <c r="I85" s="8">
        <v>911.74812040091319</v>
      </c>
      <c r="J85" s="8">
        <v>1254.5940000000001</v>
      </c>
      <c r="K85" s="8">
        <v>10.110966358284275</v>
      </c>
      <c r="L85" s="8">
        <v>26.4</v>
      </c>
      <c r="M85" s="8">
        <v>218.60812165816307</v>
      </c>
      <c r="N85" s="8">
        <v>210</v>
      </c>
      <c r="O85" s="8">
        <v>211.29546791578042</v>
      </c>
      <c r="P85" s="8">
        <v>313.5</v>
      </c>
      <c r="Q85" s="8">
        <v>16.135192362302696</v>
      </c>
      <c r="R85" s="8">
        <v>32.655000000000001</v>
      </c>
      <c r="S85" s="8">
        <v>27.288112545257931</v>
      </c>
      <c r="T85" s="8">
        <v>17.25</v>
      </c>
      <c r="U85" s="8">
        <v>1.5016092855446348</v>
      </c>
      <c r="V85" s="8">
        <v>3.8799999999999994</v>
      </c>
      <c r="W85" s="8">
        <v>11.388182741116752</v>
      </c>
      <c r="X85" s="8">
        <v>16</v>
      </c>
      <c r="Y85" s="8">
        <v>7.5319185370651898</v>
      </c>
      <c r="Z85" s="8">
        <v>14.135</v>
      </c>
      <c r="AA85" s="8">
        <v>156.59952662889521</v>
      </c>
      <c r="AB85" s="8">
        <v>180.69</v>
      </c>
      <c r="AC85" s="8">
        <v>6.3193539739276714</v>
      </c>
      <c r="AD85" s="8"/>
      <c r="AE85" s="8">
        <v>3.1596769869638357</v>
      </c>
      <c r="AF85" s="8">
        <v>8.25</v>
      </c>
      <c r="AG85" s="8"/>
      <c r="AH85" s="8"/>
      <c r="AI85" s="8">
        <v>3.5552533190236009</v>
      </c>
      <c r="AJ85" s="8">
        <v>4.5</v>
      </c>
      <c r="AK85" s="8">
        <v>12.185452124645893</v>
      </c>
      <c r="AL85" s="8">
        <v>14.06</v>
      </c>
      <c r="AM85" s="8"/>
      <c r="AN85" s="8"/>
      <c r="AO85" s="8"/>
      <c r="AP85" s="8"/>
      <c r="AQ85" s="8"/>
      <c r="AR85" s="8"/>
      <c r="AS85" s="8"/>
      <c r="AT85" s="8"/>
      <c r="AU85" s="8">
        <v>42.273071962004806</v>
      </c>
      <c r="AV85" s="8">
        <v>53.4</v>
      </c>
      <c r="AW85" s="8">
        <v>296.40288951841364</v>
      </c>
      <c r="AX85" s="8">
        <v>342</v>
      </c>
      <c r="AY85" s="8">
        <v>36.770854505718361</v>
      </c>
      <c r="AZ85" s="8">
        <v>49.739999999999995</v>
      </c>
      <c r="BA85" s="8">
        <v>96.201799189076269</v>
      </c>
      <c r="BB85" s="8">
        <v>144.23000000000002</v>
      </c>
      <c r="BC85" s="8">
        <v>28.704972151150432</v>
      </c>
      <c r="BD85" s="8">
        <v>41.82</v>
      </c>
      <c r="BE85" s="8">
        <v>9.0720862300482228</v>
      </c>
      <c r="BF85" s="9">
        <v>11.8</v>
      </c>
    </row>
    <row r="86" spans="2:58" ht="14.4" thickBot="1" x14ac:dyDescent="0.3"/>
    <row r="87" spans="2:58" ht="15" thickBot="1" x14ac:dyDescent="0.35">
      <c r="B87" s="80" t="s">
        <v>77</v>
      </c>
      <c r="C87" s="244">
        <f>SUM(D79:D85)-SUM(C79:C85)</f>
        <v>1944.1718922276887</v>
      </c>
      <c r="D87" s="244"/>
      <c r="E87" s="244">
        <f>SUM(F79:F85)-SUM(E79:E85)</f>
        <v>1596.7679110930612</v>
      </c>
      <c r="F87" s="244"/>
      <c r="G87" s="244">
        <f>SUM(H79:H85)-SUM(G79:G85)</f>
        <v>2052.366712750234</v>
      </c>
      <c r="H87" s="244"/>
      <c r="I87" s="244">
        <f>SUM(J79:J85)-SUM(I79:I85)</f>
        <v>1452.0686690609646</v>
      </c>
      <c r="J87" s="244"/>
      <c r="K87" s="244">
        <f>SUM(L79:L85)-SUM(K79:K85)</f>
        <v>671.31767303876813</v>
      </c>
      <c r="L87" s="244"/>
      <c r="M87" s="244">
        <f>SUM(N79:N85)-SUM(M79:M85)</f>
        <v>405.34739297089868</v>
      </c>
      <c r="N87" s="244"/>
      <c r="O87" s="244">
        <f>SUM(P79:P85)-SUM(O79:O85)</f>
        <v>264.81097047900329</v>
      </c>
      <c r="P87" s="244"/>
      <c r="Q87" s="244">
        <f>SUM(R79:R85)-SUM(Q79:Q85)</f>
        <v>21.592550696037563</v>
      </c>
      <c r="R87" s="244"/>
      <c r="S87" s="244">
        <f>SUM(T79:T85)-SUM(S79:S85)</f>
        <v>38.70312012276311</v>
      </c>
      <c r="T87" s="244"/>
      <c r="U87" s="244">
        <f>SUM(V79:V85)-SUM(U79:U85)</f>
        <v>5.2460620033980288</v>
      </c>
      <c r="V87" s="244"/>
      <c r="W87" s="244">
        <f>SUM(X79:X85)-SUM(W79:W85)</f>
        <v>24.09855620069753</v>
      </c>
      <c r="X87" s="244"/>
      <c r="Y87" s="244">
        <f>SUM(Z79:Z85)-SUM(Y79:Y85)</f>
        <v>12.151020246974502</v>
      </c>
      <c r="Z87" s="244"/>
      <c r="AA87" s="244">
        <f>SUM(AB79:AB85)-SUM(AA79:AA85)</f>
        <v>157.92617587182639</v>
      </c>
      <c r="AB87" s="244"/>
      <c r="AC87" s="244">
        <f>SUM(AD79:AD85)-SUM(AC79:AC85)</f>
        <v>2.1192825851556023</v>
      </c>
      <c r="AD87" s="244"/>
      <c r="AE87" s="244">
        <f>SUM(AF79:AF85)-SUM(AE79:AE85)</f>
        <v>7.0996884999105561</v>
      </c>
      <c r="AF87" s="244"/>
      <c r="AG87" s="244">
        <f>SUM(AH79:AH85)-SUM(AG79:AG85)</f>
        <v>1140.1944188479256</v>
      </c>
      <c r="AH87" s="244"/>
      <c r="AI87" s="244">
        <f>SUM(AJ79:AJ85)-SUM(AI79:AI85)</f>
        <v>0.94474668097639913</v>
      </c>
      <c r="AJ87" s="244"/>
      <c r="AK87" s="244">
        <f>SUM(AL79:AL85)-SUM(AK79:AK85)</f>
        <v>5.8444116931517094</v>
      </c>
      <c r="AL87" s="244"/>
      <c r="AM87" s="244">
        <f>SUM(AN79:AN85)-SUM(AM79:AM85)</f>
        <v>54.272300793376957</v>
      </c>
      <c r="AN87" s="244"/>
      <c r="AO87" s="244">
        <f>SUM(AP79:AP85)-SUM(AO79:AO85)</f>
        <v>1.3238289065194913</v>
      </c>
      <c r="AP87" s="244"/>
      <c r="AQ87" s="244">
        <f>SUM(AR79:AR85)-SUM(AQ79:AQ85)</f>
        <v>-34.314858490565996</v>
      </c>
      <c r="AR87" s="244"/>
      <c r="AS87" s="244">
        <f>SUM(AT79:AT85)-SUM(AS79:AS85)</f>
        <v>-14.57973306174955</v>
      </c>
      <c r="AT87" s="244"/>
      <c r="AU87" s="244">
        <f>SUM(AV79:AV85)-SUM(AU79:AU85)</f>
        <v>11.126928037995192</v>
      </c>
      <c r="AV87" s="244"/>
      <c r="AW87" s="244">
        <f>SUM(AX79:AX85)-SUM(AW79:AW85)</f>
        <v>45.597110481586355</v>
      </c>
      <c r="AX87" s="244"/>
      <c r="AY87" s="244">
        <f>SUM(AZ79:AZ85)-SUM(AY79:AY85)</f>
        <v>12.969145494281634</v>
      </c>
      <c r="AZ87" s="244"/>
      <c r="BA87" s="244">
        <f>SUM(BB79:BB85)-SUM(BA79:BA85)</f>
        <v>48.028200810923749</v>
      </c>
      <c r="BB87" s="244"/>
      <c r="BC87" s="244">
        <f>SUM(BD79:BD85)-SUM(BC79:BC85)</f>
        <v>13.115027848849568</v>
      </c>
      <c r="BD87" s="244"/>
      <c r="BE87" s="244">
        <f>SUM(BF79:BF85)-SUM(BE79:BE85)</f>
        <v>2.7279137699517779</v>
      </c>
      <c r="BF87" s="244"/>
    </row>
    <row r="95" spans="2:58" x14ac:dyDescent="0.25">
      <c r="D95" s="5"/>
    </row>
  </sheetData>
  <mergeCells count="183">
    <mergeCell ref="AL36:AN37"/>
    <mergeCell ref="AL72:AN73"/>
    <mergeCell ref="AM87:AN87"/>
    <mergeCell ref="AO87:AP87"/>
    <mergeCell ref="AQ87:AR87"/>
    <mergeCell ref="M87:N87"/>
    <mergeCell ref="O87:P87"/>
    <mergeCell ref="Q87:R87"/>
    <mergeCell ref="S87:T87"/>
    <mergeCell ref="U87:V87"/>
    <mergeCell ref="W87:X87"/>
    <mergeCell ref="AA87:AB87"/>
    <mergeCell ref="AC87:AD87"/>
    <mergeCell ref="AE87:AF87"/>
    <mergeCell ref="AG87:AH87"/>
    <mergeCell ref="AI87:AJ87"/>
    <mergeCell ref="AK87:AL87"/>
    <mergeCell ref="AW87:AX87"/>
    <mergeCell ref="AY87:AZ87"/>
    <mergeCell ref="BA87:BB87"/>
    <mergeCell ref="AM76:AN76"/>
    <mergeCell ref="AO76:AP76"/>
    <mergeCell ref="AQ76:AR76"/>
    <mergeCell ref="AS76:AT76"/>
    <mergeCell ref="BC87:BD87"/>
    <mergeCell ref="BE87:BF87"/>
    <mergeCell ref="AW76:AX76"/>
    <mergeCell ref="AY76:AZ76"/>
    <mergeCell ref="BA76:BB76"/>
    <mergeCell ref="BC76:BD76"/>
    <mergeCell ref="BE76:BF76"/>
    <mergeCell ref="C87:D87"/>
    <mergeCell ref="E87:F87"/>
    <mergeCell ref="G87:H87"/>
    <mergeCell ref="I87:J87"/>
    <mergeCell ref="K87:L87"/>
    <mergeCell ref="Y87:Z87"/>
    <mergeCell ref="S76:T76"/>
    <mergeCell ref="U76:V76"/>
    <mergeCell ref="AU76:AV76"/>
    <mergeCell ref="Y76:Z76"/>
    <mergeCell ref="AA76:AB76"/>
    <mergeCell ref="AC76:AD76"/>
    <mergeCell ref="AE76:AF76"/>
    <mergeCell ref="AG76:AH76"/>
    <mergeCell ref="AI76:AJ76"/>
    <mergeCell ref="AK76:AL76"/>
    <mergeCell ref="W76:X76"/>
    <mergeCell ref="AS87:AT87"/>
    <mergeCell ref="AU87:AV87"/>
    <mergeCell ref="B76:B77"/>
    <mergeCell ref="C76:D76"/>
    <mergeCell ref="E76:F76"/>
    <mergeCell ref="G76:H76"/>
    <mergeCell ref="I76:J76"/>
    <mergeCell ref="K76:L76"/>
    <mergeCell ref="M76:N76"/>
    <mergeCell ref="O76:P76"/>
    <mergeCell ref="Q76:R76"/>
    <mergeCell ref="BT39:BV39"/>
    <mergeCell ref="CR39:CT39"/>
    <mergeCell ref="CU39:CW39"/>
    <mergeCell ref="BZ39:CB39"/>
    <mergeCell ref="CC39:CE39"/>
    <mergeCell ref="CF39:CH39"/>
    <mergeCell ref="CI39:CK39"/>
    <mergeCell ref="CL39:CN39"/>
    <mergeCell ref="CO39:CQ39"/>
    <mergeCell ref="BW39:BY39"/>
    <mergeCell ref="BB39:BD39"/>
    <mergeCell ref="BE39:BG39"/>
    <mergeCell ref="BH39:BJ39"/>
    <mergeCell ref="BK39:BM39"/>
    <mergeCell ref="BN39:BP39"/>
    <mergeCell ref="BQ39:BS39"/>
    <mergeCell ref="X39:Z39"/>
    <mergeCell ref="AA39:AC39"/>
    <mergeCell ref="AD39:AF39"/>
    <mergeCell ref="AG39:AI39"/>
    <mergeCell ref="AJ39:AL39"/>
    <mergeCell ref="AP39:AR39"/>
    <mergeCell ref="AS39:AU39"/>
    <mergeCell ref="AV39:AX39"/>
    <mergeCell ref="AY39:BA39"/>
    <mergeCell ref="AN23:AO23"/>
    <mergeCell ref="AN24:AO24"/>
    <mergeCell ref="AN25:AO25"/>
    <mergeCell ref="AN27:AO27"/>
    <mergeCell ref="AP28:AQ28"/>
    <mergeCell ref="AR28:AS28"/>
    <mergeCell ref="AG28:AH28"/>
    <mergeCell ref="AI28:AJ28"/>
    <mergeCell ref="U28:V28"/>
    <mergeCell ref="W28:X28"/>
    <mergeCell ref="Y28:Z28"/>
    <mergeCell ref="AA28:AB28"/>
    <mergeCell ref="BH28:BI28"/>
    <mergeCell ref="BJ28:BK28"/>
    <mergeCell ref="BL28:BM28"/>
    <mergeCell ref="AT28:AU28"/>
    <mergeCell ref="AV28:AW28"/>
    <mergeCell ref="AX28:AY28"/>
    <mergeCell ref="BZ28:CA28"/>
    <mergeCell ref="BN28:BO28"/>
    <mergeCell ref="BP28:BQ28"/>
    <mergeCell ref="BR28:BS28"/>
    <mergeCell ref="BT28:BU28"/>
    <mergeCell ref="BV28:BW28"/>
    <mergeCell ref="BX28:BY28"/>
    <mergeCell ref="AZ28:BA28"/>
    <mergeCell ref="BB28:BC28"/>
    <mergeCell ref="BD28:BE28"/>
    <mergeCell ref="BZ13:CA13"/>
    <mergeCell ref="AN28:AO28"/>
    <mergeCell ref="AN16:AO16"/>
    <mergeCell ref="AN17:AO17"/>
    <mergeCell ref="AN18:AO18"/>
    <mergeCell ref="AN19:AO19"/>
    <mergeCell ref="AN20:AO20"/>
    <mergeCell ref="AN21:AO21"/>
    <mergeCell ref="AN22:AO22"/>
    <mergeCell ref="AN15:AO15"/>
    <mergeCell ref="BL13:BM13"/>
    <mergeCell ref="BN13:BO13"/>
    <mergeCell ref="BP13:BQ13"/>
    <mergeCell ref="BR13:BS13"/>
    <mergeCell ref="AN13:AO14"/>
    <mergeCell ref="AP13:AQ13"/>
    <mergeCell ref="AR13:AS13"/>
    <mergeCell ref="AT13:AU13"/>
    <mergeCell ref="AV13:AW13"/>
    <mergeCell ref="BV13:BW13"/>
    <mergeCell ref="AZ13:BA13"/>
    <mergeCell ref="BB13:BC13"/>
    <mergeCell ref="BD13:BE13"/>
    <mergeCell ref="BF28:BG28"/>
    <mergeCell ref="BF13:BG13"/>
    <mergeCell ref="BH13:BI13"/>
    <mergeCell ref="BJ13:BK13"/>
    <mergeCell ref="Q9:S10"/>
    <mergeCell ref="BT13:BU13"/>
    <mergeCell ref="AX13:AY13"/>
    <mergeCell ref="AG12:AH12"/>
    <mergeCell ref="AI12:AJ12"/>
    <mergeCell ref="BX13:BY13"/>
    <mergeCell ref="BG10:BI11"/>
    <mergeCell ref="AI3:AP6"/>
    <mergeCell ref="B39:H39"/>
    <mergeCell ref="C28:D28"/>
    <mergeCell ref="E28:F28"/>
    <mergeCell ref="G28:H28"/>
    <mergeCell ref="I28:J28"/>
    <mergeCell ref="K28:L28"/>
    <mergeCell ref="M28:N28"/>
    <mergeCell ref="O28:P28"/>
    <mergeCell ref="W12:X12"/>
    <mergeCell ref="B12:B13"/>
    <mergeCell ref="C12:D12"/>
    <mergeCell ref="E12:F12"/>
    <mergeCell ref="G12:H12"/>
    <mergeCell ref="I12:J12"/>
    <mergeCell ref="K12:L12"/>
    <mergeCell ref="M12:N12"/>
    <mergeCell ref="O12:P12"/>
    <mergeCell ref="AC28:AD28"/>
    <mergeCell ref="AE28:AF28"/>
    <mergeCell ref="AK32:AO33"/>
    <mergeCell ref="AK8:AN9"/>
    <mergeCell ref="Q28:R28"/>
    <mergeCell ref="S28:T28"/>
    <mergeCell ref="Y12:Z12"/>
    <mergeCell ref="AA12:AB12"/>
    <mergeCell ref="AC12:AD12"/>
    <mergeCell ref="AE12:AF12"/>
    <mergeCell ref="Q12:R12"/>
    <mergeCell ref="S12:T12"/>
    <mergeCell ref="U12:V12"/>
    <mergeCell ref="AM39:AO39"/>
    <mergeCell ref="I39:K39"/>
    <mergeCell ref="L39:N39"/>
    <mergeCell ref="O39:Q39"/>
    <mergeCell ref="R39:T39"/>
    <mergeCell ref="U39:W39"/>
  </mergeCells>
  <conditionalFormatting sqref="G42:G6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Chemicals Testing</vt:lpstr>
      <vt:lpstr>Lab Trails summery</vt:lpstr>
      <vt:lpstr>Consumption 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Kalita</dc:creator>
  <cp:lastModifiedBy>Abhijit Kalita</cp:lastModifiedBy>
  <dcterms:created xsi:type="dcterms:W3CDTF">2024-07-24T12:05:43Z</dcterms:created>
  <dcterms:modified xsi:type="dcterms:W3CDTF">2025-01-03T13:35:12Z</dcterms:modified>
</cp:coreProperties>
</file>