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codeName="ThisWorkbook" defaultThemeVersion="166925"/>
  <xr:revisionPtr revIDLastSave="0" documentId="13_ncr:1_{A7DC2829-84E0-4C65-8187-0CAC3C333573}" xr6:coauthVersionLast="47" xr6:coauthVersionMax="47" xr10:uidLastSave="{00000000-0000-0000-0000-000000000000}"/>
  <bookViews>
    <workbookView xWindow="-108" yWindow="-108" windowWidth="23256" windowHeight="12456" xr2:uid="{23EB1AB5-5E82-4BD8-8620-77C919C016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92" i="1" l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91" i="1"/>
  <c r="U112" i="1"/>
  <c r="V112" i="1"/>
  <c r="W112" i="1"/>
  <c r="X112" i="1"/>
  <c r="Y112" i="1"/>
  <c r="U113" i="1"/>
  <c r="V113" i="1"/>
  <c r="W113" i="1"/>
  <c r="X113" i="1"/>
  <c r="Y113" i="1"/>
  <c r="U114" i="1"/>
  <c r="V114" i="1"/>
  <c r="W114" i="1"/>
  <c r="X114" i="1"/>
  <c r="Y114" i="1"/>
  <c r="T114" i="1"/>
  <c r="T113" i="1"/>
  <c r="T112" i="1"/>
  <c r="U111" i="1"/>
  <c r="V111" i="1"/>
  <c r="W111" i="1"/>
  <c r="X111" i="1"/>
  <c r="Y111" i="1"/>
  <c r="T111" i="1"/>
  <c r="E42" i="1"/>
  <c r="P107" i="1"/>
  <c r="K107" i="1" s="1"/>
  <c r="O107" i="1" s="1"/>
  <c r="K91" i="1"/>
  <c r="O91" i="1" s="1"/>
  <c r="K92" i="1"/>
  <c r="O92" i="1" s="1"/>
  <c r="K93" i="1"/>
  <c r="O93" i="1" s="1"/>
  <c r="K94" i="1"/>
  <c r="K95" i="1"/>
  <c r="K96" i="1"/>
  <c r="K97" i="1"/>
  <c r="K98" i="1"/>
  <c r="O98" i="1" s="1"/>
  <c r="K99" i="1"/>
  <c r="K100" i="1"/>
  <c r="K101" i="1"/>
  <c r="K102" i="1"/>
  <c r="K103" i="1"/>
  <c r="O103" i="1" s="1"/>
  <c r="K104" i="1"/>
  <c r="O104" i="1" s="1"/>
  <c r="K105" i="1"/>
  <c r="K106" i="1"/>
  <c r="K108" i="1"/>
  <c r="K109" i="1"/>
  <c r="K90" i="1"/>
  <c r="O94" i="1"/>
  <c r="N109" i="1"/>
  <c r="O95" i="1"/>
  <c r="P110" i="1"/>
  <c r="K110" i="1" s="1"/>
  <c r="P10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O106" i="1" s="1"/>
  <c r="P108" i="1"/>
  <c r="N90" i="1"/>
  <c r="C50" i="1" s="1"/>
  <c r="L70" i="1" s="1"/>
  <c r="I91" i="1"/>
  <c r="J91" i="1"/>
  <c r="L91" i="1"/>
  <c r="M91" i="1"/>
  <c r="I92" i="1"/>
  <c r="J92" i="1"/>
  <c r="L92" i="1"/>
  <c r="M92" i="1"/>
  <c r="I93" i="1"/>
  <c r="J93" i="1"/>
  <c r="L93" i="1"/>
  <c r="M93" i="1"/>
  <c r="I94" i="1"/>
  <c r="J94" i="1"/>
  <c r="L94" i="1"/>
  <c r="M94" i="1"/>
  <c r="I95" i="1"/>
  <c r="J95" i="1"/>
  <c r="L95" i="1"/>
  <c r="M95" i="1"/>
  <c r="I96" i="1"/>
  <c r="J96" i="1"/>
  <c r="L96" i="1"/>
  <c r="M96" i="1"/>
  <c r="I97" i="1"/>
  <c r="J97" i="1"/>
  <c r="L97" i="1"/>
  <c r="M97" i="1"/>
  <c r="I98" i="1"/>
  <c r="J98" i="1"/>
  <c r="L98" i="1"/>
  <c r="M98" i="1"/>
  <c r="I99" i="1"/>
  <c r="J99" i="1"/>
  <c r="L99" i="1"/>
  <c r="M99" i="1"/>
  <c r="I100" i="1"/>
  <c r="J100" i="1"/>
  <c r="L100" i="1"/>
  <c r="M100" i="1"/>
  <c r="I101" i="1"/>
  <c r="J101" i="1"/>
  <c r="L101" i="1"/>
  <c r="M101" i="1"/>
  <c r="I102" i="1"/>
  <c r="J102" i="1"/>
  <c r="L102" i="1"/>
  <c r="M102" i="1"/>
  <c r="I103" i="1"/>
  <c r="J103" i="1"/>
  <c r="L103" i="1"/>
  <c r="M103" i="1"/>
  <c r="I104" i="1"/>
  <c r="J104" i="1"/>
  <c r="L104" i="1"/>
  <c r="M104" i="1"/>
  <c r="I105" i="1"/>
  <c r="J105" i="1"/>
  <c r="L105" i="1"/>
  <c r="M105" i="1"/>
  <c r="I106" i="1"/>
  <c r="J106" i="1"/>
  <c r="L106" i="1"/>
  <c r="M106" i="1"/>
  <c r="I107" i="1"/>
  <c r="J107" i="1"/>
  <c r="L107" i="1"/>
  <c r="M107" i="1"/>
  <c r="I108" i="1"/>
  <c r="J108" i="1"/>
  <c r="L108" i="1"/>
  <c r="M108" i="1"/>
  <c r="J109" i="1"/>
  <c r="L109" i="1"/>
  <c r="M109" i="1"/>
  <c r="L110" i="1"/>
  <c r="M110" i="1"/>
  <c r="L90" i="1"/>
  <c r="M90" i="1"/>
  <c r="E52" i="1"/>
  <c r="L72" i="1" s="1"/>
  <c r="J90" i="1"/>
  <c r="I90" i="1"/>
  <c r="C70" i="1" a="1"/>
  <c r="C70" i="1"/>
  <c r="D70" i="1"/>
  <c r="E70" i="1"/>
  <c r="F70" i="1"/>
  <c r="G70" i="1"/>
  <c r="H70" i="1"/>
  <c r="C71" i="1"/>
  <c r="D71" i="1"/>
  <c r="E71" i="1"/>
  <c r="F71" i="1"/>
  <c r="G71" i="1"/>
  <c r="H71" i="1"/>
  <c r="C72" i="1"/>
  <c r="D72" i="1"/>
  <c r="E72" i="1"/>
  <c r="F72" i="1"/>
  <c r="G72" i="1"/>
  <c r="H72" i="1"/>
  <c r="C43" i="1"/>
  <c r="D43" i="1"/>
  <c r="E43" i="1"/>
  <c r="C44" i="1"/>
  <c r="D44" i="1"/>
  <c r="E44" i="1"/>
  <c r="D42" i="1"/>
  <c r="C42" i="1"/>
  <c r="C36" i="1"/>
  <c r="D36" i="1"/>
  <c r="E36" i="1"/>
  <c r="C37" i="1"/>
  <c r="D37" i="1"/>
  <c r="E37" i="1"/>
  <c r="C38" i="1"/>
  <c r="D38" i="1"/>
  <c r="E38" i="1"/>
  <c r="C39" i="1"/>
  <c r="D39" i="1"/>
  <c r="E39" i="1"/>
  <c r="C40" i="1"/>
  <c r="D40" i="1"/>
  <c r="E40" i="1"/>
  <c r="D35" i="1"/>
  <c r="E35" i="1"/>
  <c r="C35" i="1"/>
  <c r="D73" i="1" a="1"/>
  <c r="C73" i="1" a="1"/>
  <c r="C56" i="1" a="1"/>
  <c r="C54" i="1" a="1"/>
  <c r="C27" i="1" a="1"/>
  <c r="C30" i="1" a="1"/>
  <c r="C28" i="1" a="1"/>
  <c r="C26" i="1" a="1"/>
  <c r="C29" i="1" a="1"/>
  <c r="C25" i="1" a="1"/>
  <c r="N92" i="1" l="1"/>
  <c r="O110" i="1"/>
  <c r="O101" i="1"/>
  <c r="O105" i="1"/>
  <c r="N105" i="1"/>
  <c r="O108" i="1"/>
  <c r="N108" i="1"/>
  <c r="O102" i="1"/>
  <c r="N102" i="1"/>
  <c r="O100" i="1"/>
  <c r="N100" i="1"/>
  <c r="O99" i="1"/>
  <c r="N99" i="1"/>
  <c r="N97" i="1"/>
  <c r="O97" i="1"/>
  <c r="O96" i="1"/>
  <c r="N96" i="1"/>
  <c r="O109" i="1"/>
  <c r="N110" i="1"/>
  <c r="N94" i="1"/>
  <c r="N107" i="1"/>
  <c r="N91" i="1"/>
  <c r="N106" i="1"/>
  <c r="N101" i="1"/>
  <c r="N93" i="1"/>
  <c r="N103" i="1"/>
  <c r="N98" i="1"/>
  <c r="O90" i="1"/>
  <c r="D51" i="1" s="1"/>
  <c r="N104" i="1"/>
  <c r="N95" i="1"/>
  <c r="D74" i="1"/>
  <c r="D73" i="1"/>
  <c r="D75" i="1"/>
  <c r="C73" i="1"/>
  <c r="C75" i="1"/>
  <c r="C74" i="1"/>
  <c r="C56" i="1"/>
  <c r="D56" i="1"/>
  <c r="E56" i="1"/>
  <c r="E54" i="1"/>
  <c r="C54" i="1"/>
  <c r="D54" i="1"/>
  <c r="D29" i="1"/>
  <c r="E29" i="1"/>
  <c r="C29" i="1"/>
  <c r="D26" i="1"/>
  <c r="E26" i="1"/>
  <c r="C26" i="1"/>
  <c r="C28" i="1"/>
  <c r="D28" i="1"/>
  <c r="E28" i="1"/>
  <c r="C30" i="1"/>
  <c r="D30" i="1"/>
  <c r="E30" i="1"/>
  <c r="C27" i="1"/>
  <c r="D27" i="1"/>
  <c r="E27" i="1"/>
  <c r="C25" i="1"/>
  <c r="D25" i="1"/>
  <c r="E25" i="1"/>
  <c r="C55" i="1" a="1"/>
  <c r="G73" i="1" a="1"/>
  <c r="F73" i="1" a="1"/>
  <c r="H73" i="1" a="1"/>
  <c r="E73" i="1" a="1"/>
  <c r="C55" i="1" l="1"/>
  <c r="L73" i="1" s="1"/>
  <c r="D55" i="1"/>
  <c r="L74" i="1" s="1"/>
  <c r="E55" i="1"/>
  <c r="L75" i="1" s="1"/>
  <c r="L71" i="1"/>
  <c r="O70" i="1" s="1" a="1"/>
  <c r="E73" i="1"/>
  <c r="E75" i="1"/>
  <c r="E74" i="1"/>
  <c r="H75" i="1"/>
  <c r="H74" i="1"/>
  <c r="H73" i="1"/>
  <c r="F74" i="1"/>
  <c r="F73" i="1"/>
  <c r="F75" i="1"/>
  <c r="G75" i="1"/>
  <c r="G73" i="1"/>
  <c r="G74" i="1"/>
  <c r="O72" i="1" l="1"/>
  <c r="O75" i="1"/>
  <c r="O70" i="1"/>
  <c r="O71" i="1"/>
  <c r="O74" i="1"/>
  <c r="O73" i="1"/>
  <c r="T88" i="1" l="1" a="1"/>
  <c r="W88" i="1" l="1"/>
  <c r="Y88" i="1"/>
  <c r="T88" i="1"/>
  <c r="U88" i="1"/>
  <c r="V88" i="1"/>
  <c r="X88" i="1"/>
</calcChain>
</file>

<file path=xl/sharedStrings.xml><?xml version="1.0" encoding="utf-8"?>
<sst xmlns="http://schemas.openxmlformats.org/spreadsheetml/2006/main" count="193" uniqueCount="106">
  <si>
    <t>Inboard (P1)</t>
  </si>
  <si>
    <t>x</t>
  </si>
  <si>
    <t>y</t>
  </si>
  <si>
    <t>z</t>
  </si>
  <si>
    <t>Outboard (P2)</t>
  </si>
  <si>
    <t>Fx</t>
  </si>
  <si>
    <t>Fy</t>
  </si>
  <si>
    <t>Fz</t>
  </si>
  <si>
    <t>Moment Center</t>
  </si>
  <si>
    <t>Up-Fore</t>
  </si>
  <si>
    <t>Up-Aft</t>
  </si>
  <si>
    <t>Low-Fore</t>
  </si>
  <si>
    <t>Low-Aft</t>
  </si>
  <si>
    <t>Push/Pull</t>
  </si>
  <si>
    <t>Tie/Toe</t>
  </si>
  <si>
    <t>m</t>
  </si>
  <si>
    <t>m_carPlusDriver</t>
  </si>
  <si>
    <t>h_centerOfGravity</t>
  </si>
  <si>
    <t>Track</t>
  </si>
  <si>
    <t>Wheelbase</t>
  </si>
  <si>
    <t>kg</t>
  </si>
  <si>
    <t>Inputs</t>
  </si>
  <si>
    <t>Unit Vectors</t>
  </si>
  <si>
    <t>Moment Arm (Dist to Moment Center)</t>
  </si>
  <si>
    <t>Calculations</t>
  </si>
  <si>
    <r>
      <rPr>
        <sz val="11"/>
        <color theme="1"/>
        <rFont val="Calibri"/>
        <family val="2"/>
      </rPr>
      <t>Σ</t>
    </r>
    <r>
      <rPr>
        <sz val="11"/>
        <color theme="1"/>
        <rFont val="Calibri"/>
        <family val="2"/>
        <scheme val="minor"/>
      </rPr>
      <t>Fx</t>
    </r>
  </si>
  <si>
    <t>ΣFy</t>
  </si>
  <si>
    <t>ΣFz</t>
  </si>
  <si>
    <t>ΣMx</t>
  </si>
  <si>
    <t>ΣMy</t>
  </si>
  <si>
    <t>ΣMz</t>
  </si>
  <si>
    <t>*</t>
  </si>
  <si>
    <t>F_Up-Fore</t>
  </si>
  <si>
    <t>F_Up-Aft</t>
  </si>
  <si>
    <t>F_Low-Fore</t>
  </si>
  <si>
    <t>F_Low-Aft</t>
  </si>
  <si>
    <t>F_Push/Pull</t>
  </si>
  <si>
    <t>F_Tie/Toe</t>
  </si>
  <si>
    <t>=</t>
  </si>
  <si>
    <t>Loadcase Name</t>
  </si>
  <si>
    <t>Failure Mode</t>
  </si>
  <si>
    <t>Long G</t>
  </si>
  <si>
    <t>Lat G</t>
  </si>
  <si>
    <t>Velocity</t>
  </si>
  <si>
    <t>Aero Down</t>
  </si>
  <si>
    <t>Aero Drag</t>
  </si>
  <si>
    <t>+ for accel</t>
  </si>
  <si>
    <t>+outside for wheel</t>
  </si>
  <si>
    <t>None</t>
  </si>
  <si>
    <t>Fatigue</t>
  </si>
  <si>
    <t>Static</t>
  </si>
  <si>
    <t>Max Braking</t>
  </si>
  <si>
    <t>Max Turn</t>
  </si>
  <si>
    <t>Max Speed</t>
  </si>
  <si>
    <t>Max Accel</t>
  </si>
  <si>
    <t>Combined 1</t>
  </si>
  <si>
    <t>Combined 2</t>
  </si>
  <si>
    <t>Yield/Buckle</t>
  </si>
  <si>
    <t>Max Bump</t>
  </si>
  <si>
    <t>Inside No WT</t>
  </si>
  <si>
    <t>Reverse Braking</t>
  </si>
  <si>
    <t>Fx-Added Height</t>
  </si>
  <si>
    <t>For Driveshafts</t>
  </si>
  <si>
    <t>r_tireLoaded</t>
  </si>
  <si>
    <t>A</t>
  </si>
  <si>
    <t>X</t>
  </si>
  <si>
    <t>b</t>
  </si>
  <si>
    <t>ctrl + shft + enter!</t>
  </si>
  <si>
    <t>Array Equation</t>
  </si>
  <si>
    <t>X = A-1 * b</t>
  </si>
  <si>
    <t>Highest Operating Force</t>
  </si>
  <si>
    <t>Fatigue (only in tension)</t>
  </si>
  <si>
    <t>N</t>
  </si>
  <si>
    <t>Buckling</t>
  </si>
  <si>
    <t>Comp</t>
  </si>
  <si>
    <t>Tens</t>
  </si>
  <si>
    <t>Column PPTYs</t>
  </si>
  <si>
    <t>OD</t>
  </si>
  <si>
    <t>in</t>
  </si>
  <si>
    <t>Wall</t>
  </si>
  <si>
    <t>Length</t>
  </si>
  <si>
    <t>Fy_car</t>
  </si>
  <si>
    <t>Fx_car</t>
  </si>
  <si>
    <t>Fz_%</t>
  </si>
  <si>
    <t>WT_lateral</t>
  </si>
  <si>
    <t>WT_long</t>
  </si>
  <si>
    <t>M from Fx</t>
  </si>
  <si>
    <t>M from Fy</t>
  </si>
  <si>
    <t>M from Fz</t>
  </si>
  <si>
    <t>Array Equation ctrl + shft + enter!</t>
  </si>
  <si>
    <t>Locations of Applied Forces from Tire on Ground</t>
  </si>
  <si>
    <t>Applied Forces</t>
  </si>
  <si>
    <t>Force Vectors</t>
  </si>
  <si>
    <t>Loadcase #:</t>
  </si>
  <si>
    <t>Mx</t>
  </si>
  <si>
    <t>My</t>
  </si>
  <si>
    <t>Mz</t>
  </si>
  <si>
    <t>Fatigue in Tension</t>
  </si>
  <si>
    <t>Buckling/Compression</t>
  </si>
  <si>
    <t>Compression Yield</t>
  </si>
  <si>
    <t>Tension Yield</t>
  </si>
  <si>
    <t>Euler Buckling</t>
  </si>
  <si>
    <t>no driveshafts for front wheels</t>
  </si>
  <si>
    <t>we use min because Tension is negative</t>
  </si>
  <si>
    <t>wrong force</t>
  </si>
  <si>
    <t>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</si>
</sst>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_ ;[Red]\-#,##0\ "/>
    <numFmt numFmtId="166" formatCode="0.000"/>
  </numFmts>
  <fonts count="1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B7DEE8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ABF8F"/>
        <bgColor rgb="FF000000"/>
      </patternFill>
    </fill>
    <fill>
      <patternFill patternType="solid">
        <fgColor rgb="FFCCC0DA"/>
        <bgColor rgb="FF000000"/>
      </patternFill>
    </fill>
    <fill>
      <patternFill patternType="solid">
        <fgColor rgb="FFEDBAB9"/>
        <bgColor rgb="FF000000"/>
      </patternFill>
    </fill>
    <fill>
      <patternFill patternType="solid">
        <fgColor rgb="FFEDBAB9"/>
        <bgColor indexed="64"/>
      </patternFill>
    </fill>
    <fill>
      <patternFill patternType="solid">
        <fgColor rgb="FFD3C3E3"/>
        <bgColor indexed="64"/>
      </patternFill>
    </fill>
    <fill>
      <patternFill patternType="solid">
        <fgColor theme="9"/>
        <bgColor indexed="64"/>
      </patternFill>
    </fill>
  </fills>
  <borders count="3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 style="thin">
        <color rgb="FF7030A0"/>
      </right>
      <top/>
      <bottom/>
      <diagonal/>
    </border>
    <border>
      <left style="thin">
        <color rgb="FF7030A0"/>
      </left>
      <right style="thin">
        <color rgb="FF7030A0"/>
      </right>
      <top/>
      <bottom style="thin">
        <color rgb="FF7030A0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2" fontId="2" fillId="3" borderId="2" applyAlignment="0" applyProtection="0"/>
  </cellStyleXfs>
  <cellXfs count="134">
    <xf numFmtId="0" fontId="0" fillId="0" borderId="0" xfId="0"/>
    <xf numFmtId="0" fontId="0" fillId="0" borderId="0" xfId="0" applyProtection="1">
      <protection locked="0"/>
    </xf>
    <xf numFmtId="0" fontId="3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6" fillId="0" borderId="0" xfId="0" applyFont="1" applyProtection="1">
      <protection locked="0"/>
    </xf>
    <xf numFmtId="1" fontId="5" fillId="0" borderId="5" xfId="0" applyNumberFormat="1" applyFont="1" applyBorder="1" applyAlignment="1" applyProtection="1">
      <alignment horizontal="center"/>
      <protection locked="0"/>
    </xf>
    <xf numFmtId="0" fontId="5" fillId="0" borderId="6" xfId="0" applyFont="1" applyBorder="1" applyAlignment="1" applyProtection="1">
      <alignment horizontal="center"/>
      <protection locked="0"/>
    </xf>
    <xf numFmtId="1" fontId="7" fillId="4" borderId="0" xfId="1" applyNumberFormat="1" applyFont="1" applyFill="1" applyBorder="1" applyProtection="1">
      <protection locked="0"/>
    </xf>
    <xf numFmtId="0" fontId="5" fillId="0" borderId="18" xfId="0" applyFont="1" applyBorder="1" applyAlignment="1" applyProtection="1">
      <alignment horizontal="centerContinuous"/>
      <protection locked="0"/>
    </xf>
    <xf numFmtId="0" fontId="5" fillId="0" borderId="8" xfId="0" applyFont="1" applyBorder="1" applyAlignment="1" applyProtection="1">
      <alignment horizontal="centerContinuous"/>
      <protection locked="0"/>
    </xf>
    <xf numFmtId="0" fontId="5" fillId="0" borderId="9" xfId="0" applyFont="1" applyBorder="1" applyAlignment="1" applyProtection="1">
      <alignment horizontal="centerContinuous"/>
      <protection locked="0"/>
    </xf>
    <xf numFmtId="0" fontId="5" fillId="0" borderId="21" xfId="0" applyFont="1" applyBorder="1" applyAlignment="1" applyProtection="1">
      <alignment horizontal="center"/>
      <protection locked="0"/>
    </xf>
    <xf numFmtId="0" fontId="3" fillId="0" borderId="0" xfId="0" applyFont="1"/>
    <xf numFmtId="0" fontId="0" fillId="0" borderId="8" xfId="0" applyBorder="1" applyAlignment="1" applyProtection="1">
      <alignment horizontal="centerContinuous"/>
      <protection locked="0"/>
    </xf>
    <xf numFmtId="0" fontId="0" fillId="0" borderId="7" xfId="0" applyBorder="1" applyAlignment="1" applyProtection="1">
      <alignment horizontal="left"/>
      <protection locked="0"/>
    </xf>
    <xf numFmtId="0" fontId="8" fillId="0" borderId="18" xfId="0" applyFont="1" applyBorder="1" applyAlignment="1" applyProtection="1">
      <alignment horizontal="centerContinuous"/>
      <protection locked="0"/>
    </xf>
    <xf numFmtId="0" fontId="8" fillId="0" borderId="8" xfId="0" applyFont="1" applyBorder="1" applyAlignment="1" applyProtection="1">
      <alignment horizontal="centerContinuous"/>
      <protection locked="0"/>
    </xf>
    <xf numFmtId="0" fontId="8" fillId="0" borderId="9" xfId="0" applyFont="1" applyBorder="1" applyAlignment="1" applyProtection="1">
      <alignment horizontal="centerContinuous"/>
      <protection locked="0"/>
    </xf>
    <xf numFmtId="1" fontId="7" fillId="5" borderId="18" xfId="1" applyNumberFormat="1" applyFont="1" applyFill="1" applyBorder="1" applyProtection="1">
      <protection locked="0"/>
    </xf>
    <xf numFmtId="0" fontId="0" fillId="6" borderId="18" xfId="0" applyFill="1" applyBorder="1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center"/>
    </xf>
    <xf numFmtId="0" fontId="6" fillId="0" borderId="0" xfId="0" quotePrefix="1" applyFont="1" applyProtection="1">
      <protection locked="0"/>
    </xf>
    <xf numFmtId="0" fontId="6" fillId="0" borderId="18" xfId="0" applyFont="1" applyBorder="1"/>
    <xf numFmtId="0" fontId="5" fillId="0" borderId="18" xfId="0" applyFont="1" applyBorder="1"/>
    <xf numFmtId="0" fontId="5" fillId="0" borderId="8" xfId="0" applyFont="1" applyBorder="1"/>
    <xf numFmtId="0" fontId="5" fillId="0" borderId="9" xfId="0" applyFont="1" applyBorder="1"/>
    <xf numFmtId="1" fontId="5" fillId="0" borderId="8" xfId="0" applyNumberFormat="1" applyFont="1" applyBorder="1" applyAlignment="1">
      <alignment horizontal="right"/>
    </xf>
    <xf numFmtId="1" fontId="5" fillId="0" borderId="9" xfId="0" applyNumberFormat="1" applyFont="1" applyBorder="1"/>
    <xf numFmtId="0" fontId="6" fillId="0" borderId="20" xfId="0" applyFont="1" applyBorder="1"/>
    <xf numFmtId="0" fontId="5" fillId="0" borderId="20" xfId="0" applyFont="1" applyBorder="1"/>
    <xf numFmtId="0" fontId="5" fillId="0" borderId="15" xfId="0" applyFont="1" applyBorder="1"/>
    <xf numFmtId="0" fontId="5" fillId="0" borderId="16" xfId="0" applyFont="1" applyBorder="1"/>
    <xf numFmtId="1" fontId="5" fillId="0" borderId="15" xfId="0" applyNumberFormat="1" applyFont="1" applyBorder="1" applyAlignment="1">
      <alignment horizontal="right"/>
    </xf>
    <xf numFmtId="1" fontId="5" fillId="0" borderId="16" xfId="0" applyNumberFormat="1" applyFont="1" applyBorder="1"/>
    <xf numFmtId="0" fontId="7" fillId="8" borderId="19" xfId="1" applyFont="1" applyFill="1" applyBorder="1" applyProtection="1">
      <protection locked="0"/>
    </xf>
    <xf numFmtId="0" fontId="5" fillId="8" borderId="19" xfId="0" applyFont="1" applyFill="1" applyBorder="1" applyProtection="1">
      <protection locked="0"/>
    </xf>
    <xf numFmtId="2" fontId="5" fillId="8" borderId="0" xfId="0" applyNumberFormat="1" applyFont="1" applyFill="1" applyProtection="1">
      <protection locked="0"/>
    </xf>
    <xf numFmtId="2" fontId="5" fillId="8" borderId="11" xfId="0" applyNumberFormat="1" applyFont="1" applyFill="1" applyBorder="1" applyProtection="1">
      <protection locked="0"/>
    </xf>
    <xf numFmtId="1" fontId="5" fillId="9" borderId="0" xfId="0" applyNumberFormat="1" applyFont="1" applyFill="1" applyProtection="1">
      <protection locked="0"/>
    </xf>
    <xf numFmtId="0" fontId="7" fillId="8" borderId="19" xfId="1" quotePrefix="1" applyFont="1" applyFill="1" applyBorder="1" applyProtection="1">
      <protection locked="0"/>
    </xf>
    <xf numFmtId="1" fontId="7" fillId="9" borderId="0" xfId="1" applyNumberFormat="1" applyFont="1" applyFill="1" applyBorder="1" applyProtection="1">
      <protection locked="0"/>
    </xf>
    <xf numFmtId="0" fontId="5" fillId="8" borderId="20" xfId="0" applyFont="1" applyFill="1" applyBorder="1" applyProtection="1">
      <protection locked="0"/>
    </xf>
    <xf numFmtId="2" fontId="5" fillId="8" borderId="15" xfId="0" applyNumberFormat="1" applyFont="1" applyFill="1" applyBorder="1" applyProtection="1">
      <protection locked="0"/>
    </xf>
    <xf numFmtId="2" fontId="5" fillId="8" borderId="16" xfId="0" applyNumberFormat="1" applyFont="1" applyFill="1" applyBorder="1" applyProtection="1">
      <protection locked="0"/>
    </xf>
    <xf numFmtId="0" fontId="7" fillId="8" borderId="18" xfId="1" applyFont="1" applyFill="1" applyBorder="1" applyProtection="1">
      <protection locked="0"/>
    </xf>
    <xf numFmtId="0" fontId="5" fillId="8" borderId="18" xfId="0" applyFont="1" applyFill="1" applyBorder="1" applyProtection="1">
      <protection locked="0"/>
    </xf>
    <xf numFmtId="2" fontId="5" fillId="8" borderId="8" xfId="0" applyNumberFormat="1" applyFont="1" applyFill="1" applyBorder="1" applyProtection="1">
      <protection locked="0"/>
    </xf>
    <xf numFmtId="164" fontId="5" fillId="8" borderId="9" xfId="0" applyNumberFormat="1" applyFont="1" applyFill="1" applyBorder="1" applyProtection="1">
      <protection locked="0"/>
    </xf>
    <xf numFmtId="1" fontId="5" fillId="9" borderId="8" xfId="0" applyNumberFormat="1" applyFont="1" applyFill="1" applyBorder="1" applyProtection="1">
      <protection locked="0"/>
    </xf>
    <xf numFmtId="164" fontId="5" fillId="8" borderId="11" xfId="0" applyNumberFormat="1" applyFont="1" applyFill="1" applyBorder="1" applyProtection="1">
      <protection locked="0"/>
    </xf>
    <xf numFmtId="0" fontId="7" fillId="8" borderId="20" xfId="1" applyFont="1" applyFill="1" applyBorder="1" applyProtection="1">
      <protection locked="0"/>
    </xf>
    <xf numFmtId="164" fontId="5" fillId="8" borderId="16" xfId="0" applyNumberFormat="1" applyFont="1" applyFill="1" applyBorder="1" applyProtection="1">
      <protection locked="0"/>
    </xf>
    <xf numFmtId="1" fontId="7" fillId="9" borderId="15" xfId="1" applyNumberFormat="1" applyFont="1" applyFill="1" applyBorder="1" applyProtection="1">
      <protection locked="0"/>
    </xf>
    <xf numFmtId="2" fontId="7" fillId="4" borderId="0" xfId="1" applyNumberFormat="1" applyFont="1" applyFill="1" applyBorder="1" applyProtection="1">
      <protection locked="0"/>
    </xf>
    <xf numFmtId="0" fontId="0" fillId="0" borderId="0" xfId="0" applyAlignment="1">
      <alignment horizontal="right"/>
    </xf>
    <xf numFmtId="0" fontId="0" fillId="6" borderId="22" xfId="0" applyFill="1" applyBorder="1"/>
    <xf numFmtId="0" fontId="0" fillId="6" borderId="23" xfId="0" applyFill="1" applyBorder="1"/>
    <xf numFmtId="0" fontId="0" fillId="6" borderId="24" xfId="0" applyFill="1" applyBorder="1"/>
    <xf numFmtId="0" fontId="0" fillId="6" borderId="17" xfId="0" applyFill="1" applyBorder="1" applyAlignment="1">
      <alignment horizontal="center"/>
    </xf>
    <xf numFmtId="0" fontId="5" fillId="0" borderId="17" xfId="0" applyFont="1" applyBorder="1" applyAlignment="1" applyProtection="1">
      <alignment horizontal="center"/>
      <protection locked="0"/>
    </xf>
    <xf numFmtId="0" fontId="5" fillId="0" borderId="22" xfId="0" applyFont="1" applyBorder="1" applyProtection="1">
      <protection locked="0"/>
    </xf>
    <xf numFmtId="0" fontId="5" fillId="0" borderId="23" xfId="0" applyFont="1" applyBorder="1" applyProtection="1">
      <protection locked="0"/>
    </xf>
    <xf numFmtId="0" fontId="5" fillId="0" borderId="24" xfId="0" applyFont="1" applyBorder="1" applyProtection="1">
      <protection locked="0"/>
    </xf>
    <xf numFmtId="0" fontId="9" fillId="6" borderId="20" xfId="0" applyFont="1" applyFill="1" applyBorder="1"/>
    <xf numFmtId="0" fontId="9" fillId="6" borderId="15" xfId="0" applyFont="1" applyFill="1" applyBorder="1"/>
    <xf numFmtId="0" fontId="9" fillId="6" borderId="19" xfId="0" applyFont="1" applyFill="1" applyBorder="1"/>
    <xf numFmtId="0" fontId="9" fillId="6" borderId="8" xfId="0" applyFont="1" applyFill="1" applyBorder="1"/>
    <xf numFmtId="0" fontId="9" fillId="6" borderId="9" xfId="0" applyFont="1" applyFill="1" applyBorder="1"/>
    <xf numFmtId="0" fontId="9" fillId="6" borderId="11" xfId="0" applyFont="1" applyFill="1" applyBorder="1"/>
    <xf numFmtId="0" fontId="9" fillId="0" borderId="0" xfId="0" applyFont="1"/>
    <xf numFmtId="0" fontId="3" fillId="6" borderId="22" xfId="0" applyFont="1" applyFill="1" applyBorder="1"/>
    <xf numFmtId="0" fontId="3" fillId="6" borderId="23" xfId="0" applyFont="1" applyFill="1" applyBorder="1"/>
    <xf numFmtId="0" fontId="3" fillId="6" borderId="24" xfId="0" applyFont="1" applyFill="1" applyBorder="1"/>
    <xf numFmtId="0" fontId="3" fillId="6" borderId="17" xfId="0" applyFont="1" applyFill="1" applyBorder="1" applyAlignment="1">
      <alignment horizontal="center"/>
    </xf>
    <xf numFmtId="1" fontId="7" fillId="4" borderId="21" xfId="1" applyNumberFormat="1" applyFont="1" applyFill="1" applyBorder="1" applyProtection="1">
      <protection locked="0"/>
    </xf>
    <xf numFmtId="1" fontId="7" fillId="4" borderId="5" xfId="1" applyNumberFormat="1" applyFont="1" applyFill="1" applyBorder="1" applyProtection="1">
      <protection locked="0"/>
    </xf>
    <xf numFmtId="1" fontId="7" fillId="4" borderId="6" xfId="1" applyNumberFormat="1" applyFont="1" applyFill="1" applyBorder="1" applyProtection="1">
      <protection locked="0"/>
    </xf>
    <xf numFmtId="1" fontId="9" fillId="0" borderId="0" xfId="0" applyNumberFormat="1" applyFont="1"/>
    <xf numFmtId="0" fontId="9" fillId="0" borderId="0" xfId="0" applyFont="1" applyProtection="1">
      <protection locked="0"/>
    </xf>
    <xf numFmtId="165" fontId="2" fillId="3" borderId="3" xfId="2" applyNumberFormat="1" applyBorder="1" applyProtection="1">
      <protection locked="0"/>
    </xf>
    <xf numFmtId="165" fontId="2" fillId="3" borderId="4" xfId="2" applyNumberFormat="1" applyBorder="1" applyProtection="1">
      <protection locked="0"/>
    </xf>
    <xf numFmtId="165" fontId="2" fillId="3" borderId="25" xfId="2" applyNumberFormat="1" applyBorder="1" applyProtection="1">
      <protection locked="0"/>
    </xf>
    <xf numFmtId="165" fontId="4" fillId="0" borderId="0" xfId="0" applyNumberFormat="1" applyFont="1" applyProtection="1">
      <protection locked="0"/>
    </xf>
    <xf numFmtId="165" fontId="2" fillId="3" borderId="14" xfId="2" applyNumberFormat="1" applyBorder="1" applyProtection="1">
      <protection locked="0"/>
    </xf>
    <xf numFmtId="165" fontId="2" fillId="3" borderId="15" xfId="2" applyNumberFormat="1" applyBorder="1" applyProtection="1">
      <protection locked="0"/>
    </xf>
    <xf numFmtId="165" fontId="2" fillId="3" borderId="26" xfId="2" applyNumberFormat="1" applyBorder="1" applyProtection="1">
      <protection locked="0"/>
    </xf>
    <xf numFmtId="165" fontId="2" fillId="3" borderId="10" xfId="2" applyNumberFormat="1" applyBorder="1" applyProtection="1">
      <protection locked="0"/>
    </xf>
    <xf numFmtId="165" fontId="2" fillId="3" borderId="0" xfId="2" applyNumberFormat="1" applyBorder="1" applyProtection="1">
      <protection locked="0"/>
    </xf>
    <xf numFmtId="165" fontId="2" fillId="3" borderId="27" xfId="2" applyNumberFormat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1" fontId="0" fillId="0" borderId="3" xfId="0" applyNumberFormat="1" applyBorder="1" applyProtection="1">
      <protection locked="0"/>
    </xf>
    <xf numFmtId="0" fontId="0" fillId="0" borderId="0" xfId="0" applyAlignment="1" applyProtection="1">
      <alignment horizontal="right"/>
      <protection locked="0"/>
    </xf>
    <xf numFmtId="1" fontId="0" fillId="0" borderId="10" xfId="0" applyNumberFormat="1" applyBorder="1" applyProtection="1">
      <protection locked="0"/>
    </xf>
    <xf numFmtId="1" fontId="0" fillId="0" borderId="13" xfId="0" applyNumberFormat="1" applyBorder="1" applyProtection="1">
      <protection locked="0"/>
    </xf>
    <xf numFmtId="1" fontId="0" fillId="0" borderId="12" xfId="0" applyNumberFormat="1" applyBorder="1" applyProtection="1">
      <protection locked="0"/>
    </xf>
    <xf numFmtId="0" fontId="0" fillId="0" borderId="0" xfId="0" applyAlignment="1" applyProtection="1">
      <alignment horizontal="left"/>
      <protection locked="0"/>
    </xf>
    <xf numFmtId="166" fontId="3" fillId="7" borderId="10" xfId="0" applyNumberFormat="1" applyFont="1" applyFill="1" applyBorder="1" applyProtection="1">
      <protection locked="0"/>
    </xf>
    <xf numFmtId="166" fontId="3" fillId="7" borderId="0" xfId="0" applyNumberFormat="1" applyFont="1" applyFill="1" applyProtection="1">
      <protection locked="0"/>
    </xf>
    <xf numFmtId="166" fontId="3" fillId="7" borderId="27" xfId="0" applyNumberFormat="1" applyFont="1" applyFill="1" applyBorder="1" applyProtection="1">
      <protection locked="0"/>
    </xf>
    <xf numFmtId="166" fontId="0" fillId="0" borderId="10" xfId="0" applyNumberFormat="1" applyBorder="1"/>
    <xf numFmtId="166" fontId="0" fillId="0" borderId="0" xfId="0" applyNumberFormat="1"/>
    <xf numFmtId="166" fontId="0" fillId="0" borderId="27" xfId="0" applyNumberFormat="1" applyBorder="1"/>
    <xf numFmtId="1" fontId="9" fillId="0" borderId="0" xfId="0" quotePrefix="1" applyNumberFormat="1" applyFont="1"/>
    <xf numFmtId="0" fontId="10" fillId="0" borderId="0" xfId="0" applyFont="1"/>
    <xf numFmtId="0" fontId="11" fillId="8" borderId="19" xfId="1" quotePrefix="1" applyFont="1" applyFill="1" applyBorder="1" applyProtection="1">
      <protection locked="0"/>
    </xf>
    <xf numFmtId="0" fontId="8" fillId="8" borderId="19" xfId="0" applyFont="1" applyFill="1" applyBorder="1" applyProtection="1">
      <protection locked="0"/>
    </xf>
    <xf numFmtId="2" fontId="8" fillId="8" borderId="0" xfId="0" applyNumberFormat="1" applyFont="1" applyFill="1" applyProtection="1">
      <protection locked="0"/>
    </xf>
    <xf numFmtId="2" fontId="8" fillId="8" borderId="11" xfId="0" applyNumberFormat="1" applyFont="1" applyFill="1" applyBorder="1" applyProtection="1">
      <protection locked="0"/>
    </xf>
    <xf numFmtId="1" fontId="8" fillId="9" borderId="0" xfId="0" applyNumberFormat="1" applyFont="1" applyFill="1" applyProtection="1">
      <protection locked="0"/>
    </xf>
    <xf numFmtId="0" fontId="5" fillId="0" borderId="0" xfId="0" applyFont="1" applyAlignment="1" applyProtection="1">
      <alignment horizontal="centerContinuous"/>
      <protection locked="0"/>
    </xf>
    <xf numFmtId="1" fontId="5" fillId="4" borderId="0" xfId="0" applyNumberFormat="1" applyFont="1" applyFill="1"/>
    <xf numFmtId="0" fontId="8" fillId="0" borderId="21" xfId="0" applyFont="1" applyBorder="1" applyAlignment="1" applyProtection="1">
      <alignment horizontal="centerContinuous"/>
      <protection locked="0"/>
    </xf>
    <xf numFmtId="0" fontId="5" fillId="0" borderId="5" xfId="0" applyFont="1" applyBorder="1" applyAlignment="1" applyProtection="1">
      <alignment horizontal="centerContinuous"/>
      <protection locked="0"/>
    </xf>
    <xf numFmtId="0" fontId="5" fillId="0" borderId="6" xfId="0" applyFont="1" applyBorder="1" applyAlignment="1" applyProtection="1">
      <alignment horizontal="centerContinuous"/>
      <protection locked="0"/>
    </xf>
    <xf numFmtId="0" fontId="5" fillId="0" borderId="21" xfId="0" applyFont="1" applyBorder="1" applyAlignment="1" applyProtection="1">
      <alignment horizontal="centerContinuous"/>
      <protection locked="0"/>
    </xf>
    <xf numFmtId="0" fontId="5" fillId="0" borderId="22" xfId="0" applyFont="1" applyBorder="1"/>
    <xf numFmtId="0" fontId="5" fillId="0" borderId="24" xfId="0" applyFont="1" applyBorder="1"/>
    <xf numFmtId="2" fontId="7" fillId="10" borderId="28" xfId="1" applyNumberFormat="1" applyFont="1" applyFill="1" applyBorder="1" applyProtection="1">
      <protection locked="0"/>
    </xf>
    <xf numFmtId="2" fontId="7" fillId="10" borderId="29" xfId="1" applyNumberFormat="1" applyFont="1" applyFill="1" applyBorder="1" applyProtection="1">
      <protection locked="0"/>
    </xf>
    <xf numFmtId="2" fontId="7" fillId="10" borderId="30" xfId="1" applyNumberFormat="1" applyFont="1" applyFill="1" applyBorder="1" applyProtection="1">
      <protection locked="0"/>
    </xf>
    <xf numFmtId="2" fontId="0" fillId="11" borderId="31" xfId="0" applyNumberFormat="1" applyFill="1" applyBorder="1"/>
    <xf numFmtId="1" fontId="0" fillId="12" borderId="32" xfId="0" applyNumberFormat="1" applyFill="1" applyBorder="1"/>
    <xf numFmtId="1" fontId="0" fillId="12" borderId="33" xfId="0" applyNumberFormat="1" applyFill="1" applyBorder="1"/>
    <xf numFmtId="1" fontId="0" fillId="12" borderId="34" xfId="0" applyNumberFormat="1" applyFill="1" applyBorder="1"/>
    <xf numFmtId="0" fontId="12" fillId="6" borderId="21" xfId="0" applyFont="1" applyFill="1" applyBorder="1"/>
    <xf numFmtId="0" fontId="12" fillId="6" borderId="5" xfId="0" applyFont="1" applyFill="1" applyBorder="1"/>
    <xf numFmtId="0" fontId="12" fillId="6" borderId="6" xfId="0" applyFont="1" applyFill="1" applyBorder="1"/>
    <xf numFmtId="1" fontId="7" fillId="0" borderId="18" xfId="1" applyNumberFormat="1" applyFont="1" applyFill="1" applyBorder="1" applyProtection="1">
      <protection locked="0"/>
    </xf>
    <xf numFmtId="0" fontId="0" fillId="0" borderId="18" xfId="0" applyFill="1" applyBorder="1"/>
    <xf numFmtId="9" fontId="5" fillId="0" borderId="15" xfId="0" applyNumberFormat="1" applyFont="1" applyBorder="1" applyAlignment="1">
      <alignment horizontal="right"/>
    </xf>
    <xf numFmtId="10" fontId="0" fillId="13" borderId="0" xfId="0" applyNumberFormat="1" applyFill="1"/>
    <xf numFmtId="0" fontId="0" fillId="0" borderId="0" xfId="0" applyFill="1" applyBorder="1" applyProtection="1">
      <protection locked="0"/>
    </xf>
  </cellXfs>
  <cellStyles count="3">
    <cellStyle name="Input" xfId="1" builtinId="20"/>
    <cellStyle name="Normal" xfId="0" builtinId="0"/>
    <cellStyle name="Output 2" xfId="2" xr:uid="{D2E30622-5AA9-421D-B6B4-5F5961525AA3}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D3C3E3"/>
      <color rgb="FFE4C2DF"/>
      <color rgb="FFEDBA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315079</xdr:colOff>
      <xdr:row>114</xdr:row>
      <xdr:rowOff>35907</xdr:rowOff>
    </xdr:from>
    <xdr:to>
      <xdr:col>11</xdr:col>
      <xdr:colOff>248864</xdr:colOff>
      <xdr:row>133</xdr:row>
      <xdr:rowOff>25354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125F91-3B15-49D4-9C86-922756D05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5479" y="21295707"/>
          <a:ext cx="4937585" cy="3528514"/>
        </a:xfrm>
        <a:prstGeom prst="rect">
          <a:avLst/>
        </a:prstGeom>
      </xdr:spPr>
    </xdr:pic>
    <xdr:clientData/>
  </xdr:twoCellAnchor>
  <xdr:twoCellAnchor editAs="oneCell">
    <xdr:from>
      <xdr:col>12</xdr:col>
      <xdr:colOff>614840</xdr:colOff>
      <xdr:row>67</xdr:row>
      <xdr:rowOff>116417</xdr:rowOff>
    </xdr:from>
    <xdr:to>
      <xdr:col>16</xdr:col>
      <xdr:colOff>279693</xdr:colOff>
      <xdr:row>68</xdr:row>
      <xdr:rowOff>84667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8FAACD-4639-4A07-A456-B6B3A2739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57632" y="12350750"/>
          <a:ext cx="2247187" cy="148166"/>
        </a:xfrm>
        <a:prstGeom prst="rect">
          <a:avLst/>
        </a:prstGeom>
        <a:ln w="28575">
          <a:solidFill>
            <a:schemeClr val="accent1"/>
          </a:solidFill>
        </a:ln>
      </xdr:spPr>
    </xdr:pic>
    <xdr:clientData/>
  </xdr:twoCellAnchor>
  <xdr:twoCellAnchor>
    <xdr:from>
      <xdr:col>4</xdr:col>
      <xdr:colOff>89601</xdr:colOff>
      <xdr:row>57</xdr:row>
      <xdr:rowOff>47625</xdr:rowOff>
    </xdr:from>
    <xdr:to>
      <xdr:col>11</xdr:col>
      <xdr:colOff>388966</xdr:colOff>
      <xdr:row>66</xdr:row>
      <xdr:rowOff>127000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A79358A0-BBC6-410D-A7FA-5ED688BD39C5}"/>
            </a:ext>
          </a:extLst>
        </xdr:cNvPr>
        <xdr:cNvGrpSpPr/>
      </xdr:nvGrpSpPr>
      <xdr:grpSpPr>
        <a:xfrm>
          <a:off x="2622130" y="10267390"/>
          <a:ext cx="4680865" cy="1693022"/>
          <a:chOff x="167995" y="4512129"/>
          <a:chExt cx="7204634" cy="2345871"/>
        </a:xfrm>
      </xdr:grpSpPr>
      <xdr:pic>
        <xdr:nvPicPr>
          <xdr:cNvPr id="8" name="Picture 7">
            <a:extLst>
              <a:ext uri="{FF2B5EF4-FFF2-40B4-BE49-F238E27FC236}">
                <a16:creationId xmlns:a16="http://schemas.microsoft.com/office/drawing/2014/main" id="{606966D6-54F8-42A3-8959-A403B35ACCF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67995" y="4512129"/>
            <a:ext cx="7204634" cy="2345871"/>
          </a:xfrm>
          <a:prstGeom prst="rect">
            <a:avLst/>
          </a:prstGeom>
        </xdr:spPr>
      </xdr:pic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AF6685C5-F568-4DCB-A8CE-B9CB848EF0D7}"/>
              </a:ext>
            </a:extLst>
          </xdr:cNvPr>
          <xdr:cNvSpPr/>
        </xdr:nvSpPr>
        <xdr:spPr>
          <a:xfrm>
            <a:off x="448347" y="4624717"/>
            <a:ext cx="433396" cy="980002"/>
          </a:xfrm>
          <a:prstGeom prst="rect">
            <a:avLst/>
          </a:prstGeom>
          <a:solidFill>
            <a:schemeClr val="accent5">
              <a:lumMod val="40000"/>
              <a:lumOff val="60000"/>
              <a:alpha val="3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CA"/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885A1E00-D9CF-4FCE-84F6-899D4DA0974E}"/>
              </a:ext>
            </a:extLst>
          </xdr:cNvPr>
          <xdr:cNvSpPr/>
        </xdr:nvSpPr>
        <xdr:spPr>
          <a:xfrm>
            <a:off x="1171255" y="4624717"/>
            <a:ext cx="433396" cy="980002"/>
          </a:xfrm>
          <a:prstGeom prst="rect">
            <a:avLst/>
          </a:prstGeom>
          <a:solidFill>
            <a:schemeClr val="accent5">
              <a:lumMod val="40000"/>
              <a:lumOff val="60000"/>
              <a:alpha val="3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CA"/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2A22AA8E-253E-4921-A519-DCFCF7D93023}"/>
              </a:ext>
            </a:extLst>
          </xdr:cNvPr>
          <xdr:cNvSpPr/>
        </xdr:nvSpPr>
        <xdr:spPr>
          <a:xfrm>
            <a:off x="1894163" y="4624717"/>
            <a:ext cx="433396" cy="980002"/>
          </a:xfrm>
          <a:prstGeom prst="rect">
            <a:avLst/>
          </a:prstGeom>
          <a:solidFill>
            <a:schemeClr val="accent5">
              <a:lumMod val="40000"/>
              <a:lumOff val="60000"/>
              <a:alpha val="3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CA"/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E244026B-241F-4C2B-803E-B7634E9E7EA2}"/>
              </a:ext>
            </a:extLst>
          </xdr:cNvPr>
          <xdr:cNvSpPr/>
        </xdr:nvSpPr>
        <xdr:spPr>
          <a:xfrm>
            <a:off x="2617071" y="4624717"/>
            <a:ext cx="433396" cy="980002"/>
          </a:xfrm>
          <a:prstGeom prst="rect">
            <a:avLst/>
          </a:prstGeom>
          <a:solidFill>
            <a:schemeClr val="accent5">
              <a:lumMod val="40000"/>
              <a:lumOff val="60000"/>
              <a:alpha val="3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CA"/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BC69474A-C358-490E-844C-1E78C9CA5FE6}"/>
              </a:ext>
            </a:extLst>
          </xdr:cNvPr>
          <xdr:cNvSpPr/>
        </xdr:nvSpPr>
        <xdr:spPr>
          <a:xfrm>
            <a:off x="3339979" y="4624717"/>
            <a:ext cx="433396" cy="980002"/>
          </a:xfrm>
          <a:prstGeom prst="rect">
            <a:avLst/>
          </a:prstGeom>
          <a:solidFill>
            <a:schemeClr val="accent5">
              <a:lumMod val="40000"/>
              <a:lumOff val="60000"/>
              <a:alpha val="3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CA"/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D0E5F73D-8CF4-4B88-9CF3-B59E8B22FCD3}"/>
              </a:ext>
            </a:extLst>
          </xdr:cNvPr>
          <xdr:cNvSpPr/>
        </xdr:nvSpPr>
        <xdr:spPr>
          <a:xfrm>
            <a:off x="4062888" y="4624717"/>
            <a:ext cx="433396" cy="980002"/>
          </a:xfrm>
          <a:prstGeom prst="rect">
            <a:avLst/>
          </a:prstGeom>
          <a:solidFill>
            <a:schemeClr val="accent5">
              <a:lumMod val="40000"/>
              <a:lumOff val="60000"/>
              <a:alpha val="3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CA"/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69F1D02A-28E5-46BA-8805-FAD1BCF977CF}"/>
              </a:ext>
            </a:extLst>
          </xdr:cNvPr>
          <xdr:cNvSpPr/>
        </xdr:nvSpPr>
        <xdr:spPr>
          <a:xfrm>
            <a:off x="370114" y="5634715"/>
            <a:ext cx="658586" cy="987076"/>
          </a:xfrm>
          <a:prstGeom prst="rect">
            <a:avLst/>
          </a:prstGeom>
          <a:solidFill>
            <a:srgbClr val="8F8FE5">
              <a:alpha val="30000"/>
            </a:srgbClr>
          </a:solidFill>
          <a:ln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CA"/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7043E049-3069-46B1-93AC-8E1F6162F2D4}"/>
              </a:ext>
            </a:extLst>
          </xdr:cNvPr>
          <xdr:cNvSpPr/>
        </xdr:nvSpPr>
        <xdr:spPr>
          <a:xfrm>
            <a:off x="1086150" y="5634715"/>
            <a:ext cx="658586" cy="987076"/>
          </a:xfrm>
          <a:prstGeom prst="rect">
            <a:avLst/>
          </a:prstGeom>
          <a:solidFill>
            <a:srgbClr val="8F8FE5">
              <a:alpha val="30000"/>
            </a:srgbClr>
          </a:solidFill>
          <a:ln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CA"/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73B203E5-68B8-4517-BF9C-AFB3F65E5288}"/>
              </a:ext>
            </a:extLst>
          </xdr:cNvPr>
          <xdr:cNvSpPr/>
        </xdr:nvSpPr>
        <xdr:spPr>
          <a:xfrm>
            <a:off x="1802186" y="5634715"/>
            <a:ext cx="658586" cy="987076"/>
          </a:xfrm>
          <a:prstGeom prst="rect">
            <a:avLst/>
          </a:prstGeom>
          <a:solidFill>
            <a:srgbClr val="8F8FE5">
              <a:alpha val="30000"/>
            </a:srgbClr>
          </a:solidFill>
          <a:ln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CA"/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327AD94B-35F5-40E1-9C0E-695F71C2E60F}"/>
              </a:ext>
            </a:extLst>
          </xdr:cNvPr>
          <xdr:cNvSpPr/>
        </xdr:nvSpPr>
        <xdr:spPr>
          <a:xfrm>
            <a:off x="2518222" y="5634715"/>
            <a:ext cx="658586" cy="987076"/>
          </a:xfrm>
          <a:prstGeom prst="rect">
            <a:avLst/>
          </a:prstGeom>
          <a:solidFill>
            <a:srgbClr val="8F8FE5">
              <a:alpha val="30000"/>
            </a:srgbClr>
          </a:solidFill>
          <a:ln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CA"/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260642B8-0EFD-487B-9F9D-6FC2DB8B1B7E}"/>
              </a:ext>
            </a:extLst>
          </xdr:cNvPr>
          <xdr:cNvSpPr/>
        </xdr:nvSpPr>
        <xdr:spPr>
          <a:xfrm>
            <a:off x="3234258" y="5634715"/>
            <a:ext cx="658586" cy="987076"/>
          </a:xfrm>
          <a:prstGeom prst="rect">
            <a:avLst/>
          </a:prstGeom>
          <a:solidFill>
            <a:srgbClr val="8F8FE5">
              <a:alpha val="30000"/>
            </a:srgbClr>
          </a:solidFill>
          <a:ln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CA"/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9BFDA211-C9FF-4126-A97E-378070896CDB}"/>
              </a:ext>
            </a:extLst>
          </xdr:cNvPr>
          <xdr:cNvSpPr/>
        </xdr:nvSpPr>
        <xdr:spPr>
          <a:xfrm>
            <a:off x="3950293" y="5634715"/>
            <a:ext cx="658586" cy="987076"/>
          </a:xfrm>
          <a:prstGeom prst="rect">
            <a:avLst/>
          </a:prstGeom>
          <a:solidFill>
            <a:srgbClr val="8F8FE5">
              <a:alpha val="30000"/>
            </a:srgbClr>
          </a:solidFill>
          <a:ln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CA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7030C-6E70-4C70-A8FF-34180A512EDF}">
  <sheetPr codeName="Sheet1"/>
  <dimension ref="A2:AC124"/>
  <sheetViews>
    <sheetView tabSelected="1" topLeftCell="A96" zoomScale="68" zoomScaleNormal="90" workbookViewId="0">
      <selection activeCell="AA126" sqref="AA126"/>
    </sheetView>
  </sheetViews>
  <sheetFormatPr defaultRowHeight="14.4" x14ac:dyDescent="0.3"/>
  <cols>
    <col min="1" max="1" width="4.88671875" customWidth="1"/>
    <col min="2" max="2" width="14.33203125" customWidth="1"/>
    <col min="7" max="7" width="9.109375" customWidth="1"/>
    <col min="9" max="9" width="9.5546875" customWidth="1"/>
    <col min="10" max="10" width="9.88671875" bestFit="1" customWidth="1"/>
    <col min="18" max="18" width="32.77734375" customWidth="1"/>
  </cols>
  <sheetData>
    <row r="2" spans="2:5" x14ac:dyDescent="0.3">
      <c r="B2" s="3"/>
      <c r="C2" s="113" t="s">
        <v>21</v>
      </c>
      <c r="D2" s="114"/>
      <c r="E2" s="115"/>
    </row>
    <row r="3" spans="2:5" x14ac:dyDescent="0.3">
      <c r="B3" s="3"/>
      <c r="C3" s="116" t="s">
        <v>0</v>
      </c>
      <c r="D3" s="114"/>
      <c r="E3" s="115"/>
    </row>
    <row r="4" spans="2:5" x14ac:dyDescent="0.3">
      <c r="B4" s="4"/>
      <c r="C4" s="11" t="s">
        <v>1</v>
      </c>
      <c r="D4" s="5" t="s">
        <v>2</v>
      </c>
      <c r="E4" s="6" t="s">
        <v>3</v>
      </c>
    </row>
    <row r="5" spans="2:5" x14ac:dyDescent="0.3">
      <c r="B5" s="3" t="s">
        <v>9</v>
      </c>
      <c r="C5" s="7">
        <v>-460</v>
      </c>
      <c r="D5" s="7">
        <v>188</v>
      </c>
      <c r="E5" s="7">
        <v>225</v>
      </c>
    </row>
    <row r="6" spans="2:5" x14ac:dyDescent="0.3">
      <c r="B6" s="3" t="s">
        <v>10</v>
      </c>
      <c r="C6" s="7">
        <v>-705</v>
      </c>
      <c r="D6" s="7">
        <v>200</v>
      </c>
      <c r="E6" s="7">
        <v>188</v>
      </c>
    </row>
    <row r="7" spans="2:5" x14ac:dyDescent="0.3">
      <c r="B7" s="3" t="s">
        <v>11</v>
      </c>
      <c r="C7" s="7">
        <v>-530</v>
      </c>
      <c r="D7" s="7">
        <v>225</v>
      </c>
      <c r="E7" s="7">
        <v>65</v>
      </c>
    </row>
    <row r="8" spans="2:5" x14ac:dyDescent="0.3">
      <c r="B8" s="3" t="s">
        <v>12</v>
      </c>
      <c r="C8" s="7">
        <v>-733</v>
      </c>
      <c r="D8" s="7">
        <v>230</v>
      </c>
      <c r="E8" s="7">
        <v>87</v>
      </c>
    </row>
    <row r="9" spans="2:5" x14ac:dyDescent="0.3">
      <c r="B9" s="3" t="s">
        <v>13</v>
      </c>
      <c r="C9" s="7">
        <v>-590</v>
      </c>
      <c r="D9" s="7">
        <v>250</v>
      </c>
      <c r="E9" s="7">
        <v>110</v>
      </c>
    </row>
    <row r="10" spans="2:5" x14ac:dyDescent="0.3">
      <c r="B10" s="3" t="s">
        <v>14</v>
      </c>
      <c r="C10" s="7">
        <v>-500</v>
      </c>
      <c r="D10" s="7">
        <v>130</v>
      </c>
      <c r="E10" s="7">
        <v>180</v>
      </c>
    </row>
    <row r="11" spans="2:5" x14ac:dyDescent="0.3">
      <c r="B11" s="3"/>
      <c r="C11" s="111" t="s">
        <v>4</v>
      </c>
      <c r="D11" s="111"/>
      <c r="E11" s="111"/>
    </row>
    <row r="12" spans="2:5" x14ac:dyDescent="0.3">
      <c r="B12" s="3" t="s">
        <v>9</v>
      </c>
      <c r="C12" s="7">
        <v>-610</v>
      </c>
      <c r="D12" s="7">
        <v>505</v>
      </c>
      <c r="E12" s="7">
        <v>352</v>
      </c>
    </row>
    <row r="13" spans="2:5" x14ac:dyDescent="0.3">
      <c r="B13" s="3" t="s">
        <v>10</v>
      </c>
      <c r="C13" s="112">
        <v>-610</v>
      </c>
      <c r="D13" s="112">
        <v>505</v>
      </c>
      <c r="E13" s="112">
        <v>352</v>
      </c>
    </row>
    <row r="14" spans="2:5" x14ac:dyDescent="0.3">
      <c r="B14" s="3" t="s">
        <v>11</v>
      </c>
      <c r="C14" s="7">
        <v>-590</v>
      </c>
      <c r="D14" s="7">
        <v>520</v>
      </c>
      <c r="E14" s="7">
        <v>135</v>
      </c>
    </row>
    <row r="15" spans="2:5" x14ac:dyDescent="0.3">
      <c r="B15" s="3" t="s">
        <v>12</v>
      </c>
      <c r="C15" s="112">
        <v>-590</v>
      </c>
      <c r="D15" s="112">
        <v>520</v>
      </c>
      <c r="E15" s="112">
        <v>135</v>
      </c>
    </row>
    <row r="16" spans="2:5" x14ac:dyDescent="0.3">
      <c r="B16" s="3" t="s">
        <v>13</v>
      </c>
      <c r="C16" s="7">
        <v>-610</v>
      </c>
      <c r="D16" s="7">
        <v>505</v>
      </c>
      <c r="E16" s="7">
        <v>352</v>
      </c>
    </row>
    <row r="17" spans="2:7" x14ac:dyDescent="0.3">
      <c r="B17" s="3" t="s">
        <v>14</v>
      </c>
      <c r="C17" s="7">
        <v>-500</v>
      </c>
      <c r="D17" s="7">
        <v>520</v>
      </c>
      <c r="E17" s="7">
        <v>200</v>
      </c>
    </row>
    <row r="18" spans="2:7" x14ac:dyDescent="0.3">
      <c r="B18" s="3"/>
      <c r="C18" t="s">
        <v>90</v>
      </c>
      <c r="D18" s="111"/>
      <c r="E18" s="111"/>
    </row>
    <row r="19" spans="2:7" x14ac:dyDescent="0.3">
      <c r="B19" s="3" t="s">
        <v>5</v>
      </c>
      <c r="C19" s="7">
        <v>-587</v>
      </c>
      <c r="D19" s="7">
        <v>580</v>
      </c>
      <c r="E19" s="7">
        <v>0</v>
      </c>
    </row>
    <row r="20" spans="2:7" x14ac:dyDescent="0.3">
      <c r="B20" s="3" t="s">
        <v>6</v>
      </c>
      <c r="C20" s="7">
        <v>-587</v>
      </c>
      <c r="D20" s="7">
        <v>580</v>
      </c>
      <c r="E20" s="7">
        <v>0</v>
      </c>
    </row>
    <row r="21" spans="2:7" x14ac:dyDescent="0.3">
      <c r="B21" s="3" t="s">
        <v>7</v>
      </c>
      <c r="C21" s="7">
        <v>-587</v>
      </c>
      <c r="D21" s="7">
        <v>580</v>
      </c>
      <c r="E21" s="7">
        <v>0</v>
      </c>
    </row>
    <row r="23" spans="2:7" x14ac:dyDescent="0.3">
      <c r="C23" s="15" t="s">
        <v>24</v>
      </c>
      <c r="D23" s="16"/>
      <c r="E23" s="17"/>
    </row>
    <row r="24" spans="2:7" x14ac:dyDescent="0.3">
      <c r="C24" s="8" t="s">
        <v>22</v>
      </c>
      <c r="D24" s="9"/>
      <c r="E24" s="10"/>
    </row>
    <row r="25" spans="2:7" x14ac:dyDescent="0.3">
      <c r="B25" s="3" t="s">
        <v>9</v>
      </c>
      <c r="C25" s="119">
        <f t="array" ref="C25:E25">Unit_Vector(C12:E12-C5:E5)</f>
        <v>-0.40216067051016863</v>
      </c>
      <c r="D25" s="120">
        <v>0.84989955034482301</v>
      </c>
      <c r="E25" s="121">
        <v>0.34049603436527609</v>
      </c>
    </row>
    <row r="26" spans="2:7" x14ac:dyDescent="0.3">
      <c r="B26" s="3" t="s">
        <v>10</v>
      </c>
      <c r="C26" s="119">
        <f t="array" ref="C26:E26">Unit_Vector(C13:E13-C6:E6)</f>
        <v>0.26455725027884663</v>
      </c>
      <c r="D26" s="120">
        <v>0.84936801405313922</v>
      </c>
      <c r="E26" s="121">
        <v>0.45670935837611426</v>
      </c>
      <c r="G26" s="21" t="s">
        <v>68</v>
      </c>
    </row>
    <row r="27" spans="2:7" x14ac:dyDescent="0.3">
      <c r="B27" s="3" t="s">
        <v>11</v>
      </c>
      <c r="C27" s="119">
        <f t="array" ref="C27:E27">Unit_Vector(C14:E14-C7:E7)</f>
        <v>-0.19413003247977711</v>
      </c>
      <c r="D27" s="120">
        <v>0.95447265969223749</v>
      </c>
      <c r="E27" s="121">
        <v>0.22648503789307331</v>
      </c>
      <c r="G27" s="21" t="s">
        <v>67</v>
      </c>
    </row>
    <row r="28" spans="2:7" x14ac:dyDescent="0.3">
      <c r="B28" s="3" t="s">
        <v>12</v>
      </c>
      <c r="C28" s="119">
        <f t="array" ref="C28:E28">Unit_Vector(C15:E15-C8:E8)</f>
        <v>0.43746436046881881</v>
      </c>
      <c r="D28" s="120">
        <v>0.88716548626543679</v>
      </c>
      <c r="E28" s="121">
        <v>0.14684118393358953</v>
      </c>
    </row>
    <row r="29" spans="2:7" x14ac:dyDescent="0.3">
      <c r="B29" s="3" t="s">
        <v>13</v>
      </c>
      <c r="C29" s="119">
        <f t="array" ref="C29:E29">Unit_Vector(C16:E16-C9:E9)</f>
        <v>-5.6798702777881106E-2</v>
      </c>
      <c r="D29" s="120">
        <v>0.72418346041798409</v>
      </c>
      <c r="E29" s="121">
        <v>0.68726430361236146</v>
      </c>
    </row>
    <row r="30" spans="2:7" x14ac:dyDescent="0.3">
      <c r="B30" s="3" t="s">
        <v>14</v>
      </c>
      <c r="C30" s="119">
        <f t="array" ref="C30:E30">Unit_Vector(C17:E17-C10:E10)</f>
        <v>0</v>
      </c>
      <c r="D30" s="120">
        <v>0.99868766347658855</v>
      </c>
      <c r="E30" s="121">
        <v>5.121475197315839E-2</v>
      </c>
    </row>
    <row r="32" spans="2:7" x14ac:dyDescent="0.3">
      <c r="C32" s="14" t="s">
        <v>23</v>
      </c>
      <c r="D32" s="13"/>
      <c r="E32" s="13"/>
    </row>
    <row r="33" spans="2:8" x14ac:dyDescent="0.3">
      <c r="B33" s="3" t="s">
        <v>8</v>
      </c>
      <c r="C33" s="76">
        <v>0</v>
      </c>
      <c r="D33" s="77">
        <v>0</v>
      </c>
      <c r="E33" s="78">
        <v>0</v>
      </c>
    </row>
    <row r="34" spans="2:8" x14ac:dyDescent="0.3">
      <c r="B34" s="3"/>
    </row>
    <row r="35" spans="2:8" x14ac:dyDescent="0.3">
      <c r="B35" s="3" t="s">
        <v>9</v>
      </c>
      <c r="C35" s="18">
        <f>C5-C$33</f>
        <v>-460</v>
      </c>
      <c r="D35" s="18">
        <f t="shared" ref="D35:E35" si="0">D5-D$33</f>
        <v>188</v>
      </c>
      <c r="E35" s="18">
        <f t="shared" si="0"/>
        <v>225</v>
      </c>
    </row>
    <row r="36" spans="2:8" x14ac:dyDescent="0.3">
      <c r="B36" s="3" t="s">
        <v>10</v>
      </c>
      <c r="C36" s="18">
        <f t="shared" ref="C36:E36" si="1">C6-C$33</f>
        <v>-705</v>
      </c>
      <c r="D36" s="18">
        <f t="shared" si="1"/>
        <v>200</v>
      </c>
      <c r="E36" s="18">
        <f t="shared" si="1"/>
        <v>188</v>
      </c>
    </row>
    <row r="37" spans="2:8" x14ac:dyDescent="0.3">
      <c r="B37" s="3" t="s">
        <v>11</v>
      </c>
      <c r="C37" s="18">
        <f t="shared" ref="C37:E37" si="2">C7-C$33</f>
        <v>-530</v>
      </c>
      <c r="D37" s="18">
        <f t="shared" si="2"/>
        <v>225</v>
      </c>
      <c r="E37" s="18">
        <f t="shared" si="2"/>
        <v>65</v>
      </c>
    </row>
    <row r="38" spans="2:8" x14ac:dyDescent="0.3">
      <c r="B38" s="3" t="s">
        <v>12</v>
      </c>
      <c r="C38" s="18">
        <f t="shared" ref="C38:E38" si="3">C8-C$33</f>
        <v>-733</v>
      </c>
      <c r="D38" s="18">
        <f t="shared" si="3"/>
        <v>230</v>
      </c>
      <c r="E38" s="18">
        <f t="shared" si="3"/>
        <v>87</v>
      </c>
    </row>
    <row r="39" spans="2:8" x14ac:dyDescent="0.3">
      <c r="B39" s="3" t="s">
        <v>13</v>
      </c>
      <c r="C39" s="18">
        <f t="shared" ref="C39:E39" si="4">C9-C$33</f>
        <v>-590</v>
      </c>
      <c r="D39" s="18">
        <f t="shared" si="4"/>
        <v>250</v>
      </c>
      <c r="E39" s="18">
        <f t="shared" si="4"/>
        <v>110</v>
      </c>
    </row>
    <row r="40" spans="2:8" x14ac:dyDescent="0.3">
      <c r="B40" s="3" t="s">
        <v>14</v>
      </c>
      <c r="C40" s="18">
        <f t="shared" ref="C40:E40" si="5">C10-C$33</f>
        <v>-500</v>
      </c>
      <c r="D40" s="18">
        <f t="shared" si="5"/>
        <v>130</v>
      </c>
      <c r="E40" s="18">
        <f t="shared" si="5"/>
        <v>180</v>
      </c>
    </row>
    <row r="41" spans="2:8" x14ac:dyDescent="0.3">
      <c r="B41" s="3"/>
      <c r="C41" s="129"/>
      <c r="D41" s="129"/>
      <c r="E41" s="129"/>
    </row>
    <row r="42" spans="2:8" x14ac:dyDescent="0.3">
      <c r="B42" s="3" t="s">
        <v>5</v>
      </c>
      <c r="C42" s="18">
        <f>C19-C$33</f>
        <v>-587</v>
      </c>
      <c r="D42" s="18">
        <f t="shared" ref="D42:E42" si="6">D19-D$33</f>
        <v>580</v>
      </c>
      <c r="E42" s="18">
        <f>0+VLOOKUP(C48,$A$89:$Q$110,17,FALSE)</f>
        <v>0</v>
      </c>
    </row>
    <row r="43" spans="2:8" x14ac:dyDescent="0.3">
      <c r="B43" s="3" t="s">
        <v>6</v>
      </c>
      <c r="C43" s="18">
        <f t="shared" ref="C43:E43" si="7">C20-C$33</f>
        <v>-587</v>
      </c>
      <c r="D43" s="18">
        <f t="shared" si="7"/>
        <v>580</v>
      </c>
      <c r="E43" s="18">
        <f t="shared" si="7"/>
        <v>0</v>
      </c>
    </row>
    <row r="44" spans="2:8" x14ac:dyDescent="0.3">
      <c r="B44" s="3" t="s">
        <v>7</v>
      </c>
      <c r="C44" s="18">
        <f t="shared" ref="C44:E44" si="8">C21-C$33</f>
        <v>-587</v>
      </c>
      <c r="D44" s="18">
        <f t="shared" si="8"/>
        <v>580</v>
      </c>
      <c r="E44" s="18">
        <f t="shared" si="8"/>
        <v>0</v>
      </c>
    </row>
    <row r="45" spans="2:8" x14ac:dyDescent="0.3">
      <c r="B45" s="3"/>
    </row>
    <row r="46" spans="2:8" x14ac:dyDescent="0.3">
      <c r="B46" s="3"/>
      <c r="C46" s="15" t="s">
        <v>91</v>
      </c>
      <c r="D46" s="16"/>
      <c r="E46" s="17"/>
    </row>
    <row r="47" spans="2:8" x14ac:dyDescent="0.3">
      <c r="B47" s="3"/>
      <c r="C47" s="116" t="s">
        <v>92</v>
      </c>
      <c r="D47" s="114"/>
      <c r="E47" s="115"/>
      <c r="H47" s="130"/>
    </row>
    <row r="48" spans="2:8" x14ac:dyDescent="0.3">
      <c r="B48" t="s">
        <v>93</v>
      </c>
      <c r="C48" s="7">
        <v>6</v>
      </c>
    </row>
    <row r="49" spans="2:8" x14ac:dyDescent="0.3">
      <c r="C49" t="s">
        <v>1</v>
      </c>
      <c r="D49" t="s">
        <v>2</v>
      </c>
      <c r="E49" t="s">
        <v>3</v>
      </c>
    </row>
    <row r="50" spans="2:8" x14ac:dyDescent="0.3">
      <c r="B50" t="s">
        <v>5</v>
      </c>
      <c r="C50" s="19">
        <f>VLOOKUP($C$48,$A$89:$Q$110,14,FALSE)</f>
        <v>956.47500000000002</v>
      </c>
      <c r="D50" s="68">
        <v>0</v>
      </c>
      <c r="E50" s="69">
        <v>0</v>
      </c>
    </row>
    <row r="51" spans="2:8" x14ac:dyDescent="0.3">
      <c r="B51" t="s">
        <v>6</v>
      </c>
      <c r="C51" s="67">
        <v>0</v>
      </c>
      <c r="D51" s="19">
        <f>VLOOKUP($C$48,$A$89:$Q$110,15,FALSE)</f>
        <v>0</v>
      </c>
      <c r="E51" s="70">
        <v>0</v>
      </c>
    </row>
    <row r="52" spans="2:8" x14ac:dyDescent="0.3">
      <c r="B52" t="s">
        <v>7</v>
      </c>
      <c r="C52" s="65">
        <v>0</v>
      </c>
      <c r="D52" s="66">
        <v>0</v>
      </c>
      <c r="E52" s="19">
        <f>VLOOKUP($C$48,$A$89:$Q$110,16,FALSE)</f>
        <v>956.47500000000002</v>
      </c>
    </row>
    <row r="53" spans="2:8" x14ac:dyDescent="0.3">
      <c r="C53" t="s">
        <v>94</v>
      </c>
      <c r="D53" t="s">
        <v>95</v>
      </c>
      <c r="E53" t="s">
        <v>96</v>
      </c>
    </row>
    <row r="54" spans="2:8" x14ac:dyDescent="0.3">
      <c r="B54" t="s">
        <v>86</v>
      </c>
      <c r="C54" s="126">
        <f t="array" ref="C54:E54">cross_product(C42:E42,C50:E50)</f>
        <v>0</v>
      </c>
      <c r="D54" s="127">
        <v>0</v>
      </c>
      <c r="E54" s="128">
        <v>-554755.5</v>
      </c>
      <c r="H54" s="21"/>
    </row>
    <row r="55" spans="2:8" x14ac:dyDescent="0.3">
      <c r="B55" t="s">
        <v>87</v>
      </c>
      <c r="C55" s="126">
        <f t="array" ref="C55:E55">cross_product(C43:E43,C51:E51)</f>
        <v>0</v>
      </c>
      <c r="D55" s="127">
        <v>0</v>
      </c>
      <c r="E55" s="128">
        <v>0</v>
      </c>
      <c r="G55" s="21" t="s">
        <v>89</v>
      </c>
      <c r="H55" s="21"/>
    </row>
    <row r="56" spans="2:8" x14ac:dyDescent="0.3">
      <c r="B56" t="s">
        <v>88</v>
      </c>
      <c r="C56" s="126">
        <f t="array" ref="C56:E56">cross_product(C44:E44,C52:E52)</f>
        <v>554755.5</v>
      </c>
      <c r="D56" s="127">
        <v>561450.82500000007</v>
      </c>
      <c r="E56" s="128">
        <v>0</v>
      </c>
      <c r="H56" s="21"/>
    </row>
    <row r="57" spans="2:8" x14ac:dyDescent="0.3">
      <c r="H57" s="21"/>
    </row>
    <row r="58" spans="2:8" x14ac:dyDescent="0.3">
      <c r="H58" s="21"/>
    </row>
    <row r="59" spans="2:8" x14ac:dyDescent="0.3">
      <c r="H59" s="21"/>
    </row>
    <row r="60" spans="2:8" x14ac:dyDescent="0.3">
      <c r="H60" s="21"/>
    </row>
    <row r="61" spans="2:8" x14ac:dyDescent="0.3">
      <c r="H61" s="21"/>
    </row>
    <row r="62" spans="2:8" x14ac:dyDescent="0.3">
      <c r="H62" s="21"/>
    </row>
    <row r="63" spans="2:8" x14ac:dyDescent="0.3">
      <c r="H63" s="21"/>
    </row>
    <row r="64" spans="2:8" x14ac:dyDescent="0.3">
      <c r="H64" s="21"/>
    </row>
    <row r="65" spans="2:16" x14ac:dyDescent="0.3">
      <c r="H65" s="21"/>
    </row>
    <row r="66" spans="2:16" x14ac:dyDescent="0.3">
      <c r="H66" s="21"/>
    </row>
    <row r="67" spans="2:16" x14ac:dyDescent="0.3">
      <c r="H67" s="21"/>
      <c r="O67" s="22" t="s">
        <v>89</v>
      </c>
    </row>
    <row r="68" spans="2:16" x14ac:dyDescent="0.3">
      <c r="H68" s="21" t="s">
        <v>89</v>
      </c>
    </row>
    <row r="69" spans="2:16" x14ac:dyDescent="0.3">
      <c r="C69" s="3" t="s">
        <v>9</v>
      </c>
      <c r="D69" s="3" t="s">
        <v>10</v>
      </c>
      <c r="E69" s="3" t="s">
        <v>11</v>
      </c>
      <c r="F69" s="3" t="s">
        <v>12</v>
      </c>
      <c r="G69" s="3" t="s">
        <v>13</v>
      </c>
      <c r="H69" s="3" t="s">
        <v>14</v>
      </c>
    </row>
    <row r="70" spans="2:16" x14ac:dyDescent="0.3">
      <c r="B70" t="s">
        <v>25</v>
      </c>
      <c r="C70" s="122">
        <f t="array" ref="C70:H72">TRANSPOSE(C25:E30)</f>
        <v>-0.40216067051016863</v>
      </c>
      <c r="D70" s="122">
        <v>0.26455725027884663</v>
      </c>
      <c r="E70" s="122">
        <v>-0.19413003247977711</v>
      </c>
      <c r="F70" s="122">
        <v>0.43746436046881881</v>
      </c>
      <c r="G70" s="122">
        <v>-5.6798702777881106E-2</v>
      </c>
      <c r="H70" s="122">
        <v>0</v>
      </c>
      <c r="J70" s="62" t="s">
        <v>32</v>
      </c>
      <c r="L70" s="57">
        <f>-C50</f>
        <v>-956.47500000000002</v>
      </c>
      <c r="O70" s="72">
        <f t="array" ref="O70:O75">MMULT(MINVERSE(C70:H75),(L70:L75))</f>
        <v>480.27917135795178</v>
      </c>
      <c r="P70" s="3" t="s">
        <v>9</v>
      </c>
    </row>
    <row r="71" spans="2:16" x14ac:dyDescent="0.3">
      <c r="B71" t="s">
        <v>26</v>
      </c>
      <c r="C71" s="122">
        <v>0.84989955034482301</v>
      </c>
      <c r="D71" s="122">
        <v>0.84936801405313922</v>
      </c>
      <c r="E71" s="122">
        <v>0.95447265969223749</v>
      </c>
      <c r="F71" s="122">
        <v>0.88716548626543679</v>
      </c>
      <c r="G71" s="122">
        <v>0.72418346041798409</v>
      </c>
      <c r="H71" s="122">
        <v>0.99868766347658855</v>
      </c>
      <c r="J71" s="63" t="s">
        <v>33</v>
      </c>
      <c r="L71" s="58">
        <f>-D51</f>
        <v>0</v>
      </c>
      <c r="O71" s="73">
        <v>2676.9686129564179</v>
      </c>
      <c r="P71" s="3" t="s">
        <v>10</v>
      </c>
    </row>
    <row r="72" spans="2:16" x14ac:dyDescent="0.3">
      <c r="B72" t="s">
        <v>27</v>
      </c>
      <c r="C72" s="122">
        <v>0.34049603436527609</v>
      </c>
      <c r="D72" s="122">
        <v>0.45670935837611426</v>
      </c>
      <c r="E72" s="122">
        <v>0.22648503789307331</v>
      </c>
      <c r="F72" s="122">
        <v>0.14684118393358953</v>
      </c>
      <c r="G72" s="122">
        <v>0.68726430361236146</v>
      </c>
      <c r="H72" s="122">
        <v>5.121475197315839E-2</v>
      </c>
      <c r="J72" s="63" t="s">
        <v>34</v>
      </c>
      <c r="L72" s="58">
        <f>-E52</f>
        <v>-956.47500000000002</v>
      </c>
      <c r="O72" s="73">
        <v>1973.8867450020243</v>
      </c>
      <c r="P72" s="3" t="s">
        <v>11</v>
      </c>
    </row>
    <row r="73" spans="2:16" x14ac:dyDescent="0.3">
      <c r="B73" t="s">
        <v>28</v>
      </c>
      <c r="C73" s="123">
        <f t="array" ref="C73:C75">TRANSPOSE(cross_product(C35:E35,C25:E25))</f>
        <v>-127.21414436691327</v>
      </c>
      <c r="D73" s="123">
        <f t="array" ref="D73:D75">TRANSPOSE(cross_product(C36:E36,C26:E26))</f>
        <v>-68.339314966767319</v>
      </c>
      <c r="E73" s="123">
        <f t="array" ref="E73:E75">TRANSPOSE(cross_product(C37:E37,C27:E27))</f>
        <v>-11.081589354053939</v>
      </c>
      <c r="F73" s="123">
        <f t="array" ref="F73:F75">TRANSPOSE(cross_product(C38:E38,C28:E28))</f>
        <v>-43.409925000367402</v>
      </c>
      <c r="G73" s="123">
        <f t="array" ref="G73:G75">TRANSPOSE(cross_product(C39:E39,C29:E29))</f>
        <v>92.155895257112121</v>
      </c>
      <c r="H73" s="123">
        <f t="array" ref="H73:H75">TRANSPOSE(cross_product(C40:E40,C30:E30))</f>
        <v>-173.10586166927536</v>
      </c>
      <c r="I73" s="20" t="s">
        <v>31</v>
      </c>
      <c r="J73" s="63" t="s">
        <v>35</v>
      </c>
      <c r="K73" s="22" t="s">
        <v>38</v>
      </c>
      <c r="L73" s="58">
        <f>-SUM(C54:C56)</f>
        <v>-554755.5</v>
      </c>
      <c r="O73" s="73">
        <v>-2938.7311236509559</v>
      </c>
      <c r="P73" s="3" t="s">
        <v>12</v>
      </c>
    </row>
    <row r="74" spans="2:16" x14ac:dyDescent="0.3">
      <c r="B74" t="s">
        <v>29</v>
      </c>
      <c r="C74" s="124">
        <v>66.142024943239065</v>
      </c>
      <c r="D74" s="124">
        <v>371.71686070758369</v>
      </c>
      <c r="E74" s="124">
        <v>107.41861797214335</v>
      </c>
      <c r="F74" s="124">
        <v>145.69398718410838</v>
      </c>
      <c r="G74" s="124">
        <v>399.23808182572634</v>
      </c>
      <c r="H74" s="124">
        <v>25.607375986579196</v>
      </c>
      <c r="J74" s="63" t="s">
        <v>36</v>
      </c>
      <c r="L74" s="58">
        <f>-SUM(D54:D56)</f>
        <v>-561450.82500000007</v>
      </c>
      <c r="O74" s="73">
        <v>-3472.6808558748671</v>
      </c>
      <c r="P74" s="3" t="s">
        <v>13</v>
      </c>
    </row>
    <row r="75" spans="2:16" x14ac:dyDescent="0.3">
      <c r="B75" t="s">
        <v>30</v>
      </c>
      <c r="C75" s="125">
        <v>-315.34758710270688</v>
      </c>
      <c r="D75" s="125">
        <v>-651.71589996323246</v>
      </c>
      <c r="E75" s="125">
        <v>-462.191252328936</v>
      </c>
      <c r="F75" s="125">
        <v>-750.90910434039347</v>
      </c>
      <c r="G75" s="125">
        <v>-413.06856595214032</v>
      </c>
      <c r="H75" s="125">
        <v>-499.34383173829428</v>
      </c>
      <c r="J75" s="64" t="s">
        <v>37</v>
      </c>
      <c r="L75" s="59">
        <f>-SUM(E54:E56)</f>
        <v>554755.5</v>
      </c>
      <c r="O75" s="74">
        <v>556.78806108045956</v>
      </c>
      <c r="P75" s="3" t="s">
        <v>14</v>
      </c>
    </row>
    <row r="76" spans="2:16" x14ac:dyDescent="0.3">
      <c r="O76" s="12"/>
    </row>
    <row r="77" spans="2:16" x14ac:dyDescent="0.3">
      <c r="E77" s="60" t="s">
        <v>64</v>
      </c>
      <c r="F77" s="20"/>
      <c r="G77" s="20"/>
      <c r="H77" s="20"/>
      <c r="I77" s="20" t="s">
        <v>31</v>
      </c>
      <c r="J77" s="61" t="s">
        <v>65</v>
      </c>
      <c r="K77" s="22" t="s">
        <v>38</v>
      </c>
      <c r="L77" s="60" t="s">
        <v>66</v>
      </c>
      <c r="O77" s="75" t="s">
        <v>69</v>
      </c>
    </row>
    <row r="79" spans="2:16" x14ac:dyDescent="0.3">
      <c r="C79" s="12" t="s">
        <v>21</v>
      </c>
    </row>
    <row r="80" spans="2:16" x14ac:dyDescent="0.3">
      <c r="B80" s="56" t="s">
        <v>16</v>
      </c>
      <c r="C80" s="7">
        <v>300</v>
      </c>
      <c r="D80" t="s">
        <v>20</v>
      </c>
    </row>
    <row r="81" spans="1:29" x14ac:dyDescent="0.3">
      <c r="B81" s="56" t="s">
        <v>17</v>
      </c>
      <c r="C81" s="55">
        <v>0.3</v>
      </c>
      <c r="D81" t="s">
        <v>15</v>
      </c>
    </row>
    <row r="82" spans="1:29" x14ac:dyDescent="0.3">
      <c r="B82" s="56" t="s">
        <v>18</v>
      </c>
      <c r="C82" s="55">
        <v>1.5</v>
      </c>
      <c r="D82" t="s">
        <v>15</v>
      </c>
    </row>
    <row r="83" spans="1:29" x14ac:dyDescent="0.3">
      <c r="B83" s="56" t="s">
        <v>19</v>
      </c>
      <c r="C83" s="55">
        <v>2</v>
      </c>
      <c r="D83" t="s">
        <v>15</v>
      </c>
    </row>
    <row r="84" spans="1:29" x14ac:dyDescent="0.3">
      <c r="B84" s="56" t="s">
        <v>63</v>
      </c>
      <c r="C84" s="55">
        <v>0.24</v>
      </c>
      <c r="D84" t="s">
        <v>15</v>
      </c>
    </row>
    <row r="86" spans="1:29" x14ac:dyDescent="0.3">
      <c r="A86" s="71">
        <v>1</v>
      </c>
      <c r="B86" s="71">
        <v>2</v>
      </c>
      <c r="C86" s="71">
        <v>3</v>
      </c>
      <c r="D86" s="71">
        <v>4</v>
      </c>
      <c r="E86" s="71">
        <v>5</v>
      </c>
      <c r="F86" s="71">
        <v>6</v>
      </c>
      <c r="G86" s="71">
        <v>7</v>
      </c>
      <c r="H86" s="71">
        <v>8</v>
      </c>
      <c r="I86" s="71">
        <v>9</v>
      </c>
      <c r="J86" s="71">
        <v>10</v>
      </c>
      <c r="K86" s="71">
        <v>11</v>
      </c>
      <c r="L86" s="71">
        <v>12</v>
      </c>
      <c r="M86" s="71">
        <v>13</v>
      </c>
      <c r="N86" s="71">
        <v>14</v>
      </c>
      <c r="O86" s="71">
        <v>15</v>
      </c>
      <c r="P86" s="71">
        <v>16</v>
      </c>
      <c r="Q86" s="71">
        <v>17</v>
      </c>
    </row>
    <row r="87" spans="1:29" x14ac:dyDescent="0.3">
      <c r="B87" s="4" t="s">
        <v>39</v>
      </c>
      <c r="C87" s="4" t="s">
        <v>40</v>
      </c>
      <c r="D87" s="4" t="s">
        <v>41</v>
      </c>
      <c r="E87" s="4" t="s">
        <v>42</v>
      </c>
      <c r="F87" s="4" t="s">
        <v>43</v>
      </c>
      <c r="G87" s="4" t="s">
        <v>44</v>
      </c>
      <c r="H87" s="4" t="s">
        <v>45</v>
      </c>
      <c r="I87" s="4" t="s">
        <v>84</v>
      </c>
      <c r="J87" s="4" t="s">
        <v>85</v>
      </c>
      <c r="K87" s="4" t="s">
        <v>83</v>
      </c>
      <c r="L87" s="4" t="s">
        <v>82</v>
      </c>
      <c r="M87" s="4" t="s">
        <v>81</v>
      </c>
      <c r="N87" s="4" t="s">
        <v>5</v>
      </c>
      <c r="O87" s="4" t="s">
        <v>6</v>
      </c>
      <c r="P87" s="4" t="s">
        <v>7</v>
      </c>
      <c r="Q87" s="4" t="s">
        <v>61</v>
      </c>
      <c r="S87" s="1"/>
      <c r="T87" s="12" t="s">
        <v>9</v>
      </c>
      <c r="U87" s="12" t="s">
        <v>10</v>
      </c>
      <c r="V87" s="12" t="s">
        <v>11</v>
      </c>
      <c r="W87" s="12" t="s">
        <v>12</v>
      </c>
      <c r="X87" s="12" t="s">
        <v>13</v>
      </c>
      <c r="Y87" s="12" t="s">
        <v>14</v>
      </c>
      <c r="Z87" s="2"/>
    </row>
    <row r="88" spans="1:29" ht="15" thickBot="1" x14ac:dyDescent="0.35">
      <c r="B88" s="4"/>
      <c r="C88" s="4"/>
      <c r="D88" s="23" t="s">
        <v>46</v>
      </c>
      <c r="E88" s="23" t="s">
        <v>47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3"/>
      <c r="Q88" s="4" t="s">
        <v>62</v>
      </c>
      <c r="S88" s="2"/>
      <c r="T88" s="104">
        <f t="array" ref="T88:Y88">TRANSPOSE(O70:O75)</f>
        <v>480.27917135795178</v>
      </c>
      <c r="U88" s="79">
        <v>2676.9686129564179</v>
      </c>
      <c r="V88" s="79">
        <v>1973.8867450020243</v>
      </c>
      <c r="W88" s="79">
        <v>-2938.7311236509559</v>
      </c>
      <c r="X88" s="79">
        <v>-3472.6808558748671</v>
      </c>
      <c r="Y88" s="79">
        <v>556.78806108045956</v>
      </c>
      <c r="Z88" s="80"/>
    </row>
    <row r="89" spans="1:29" x14ac:dyDescent="0.3">
      <c r="A89" s="71">
        <v>1</v>
      </c>
      <c r="B89" s="24" t="s">
        <v>48</v>
      </c>
      <c r="C89" s="25" t="s">
        <v>49</v>
      </c>
      <c r="D89" s="26"/>
      <c r="E89" s="26"/>
      <c r="F89" s="27"/>
      <c r="G89" s="26"/>
      <c r="H89" s="26"/>
      <c r="I89" s="26"/>
      <c r="J89" s="28"/>
      <c r="K89" s="28"/>
      <c r="L89" s="28"/>
      <c r="M89" s="28"/>
      <c r="N89" s="25">
        <v>0</v>
      </c>
      <c r="O89" s="26">
        <v>0</v>
      </c>
      <c r="P89" s="29">
        <v>0</v>
      </c>
      <c r="Q89" s="117">
        <v>0</v>
      </c>
      <c r="R89" t="s">
        <v>102</v>
      </c>
      <c r="S89" s="80">
        <v>1</v>
      </c>
      <c r="T89" s="81">
        <f t="dataTable" ref="T89:Y110" dt2D="0" dtr="0" r1="C48"/>
        <v>0</v>
      </c>
      <c r="U89" s="82">
        <v>0</v>
      </c>
      <c r="V89" s="82">
        <v>0</v>
      </c>
      <c r="W89" s="82">
        <v>0</v>
      </c>
      <c r="X89" s="82">
        <v>0</v>
      </c>
      <c r="Y89" s="83">
        <v>0</v>
      </c>
      <c r="Z89" s="84">
        <v>0</v>
      </c>
      <c r="AA89" t="s">
        <v>104</v>
      </c>
    </row>
    <row r="90" spans="1:29" x14ac:dyDescent="0.3">
      <c r="A90" s="71">
        <v>2</v>
      </c>
      <c r="B90" s="30" t="s">
        <v>50</v>
      </c>
      <c r="C90" s="31" t="s">
        <v>49</v>
      </c>
      <c r="D90" s="32"/>
      <c r="E90" s="32"/>
      <c r="F90" s="33"/>
      <c r="G90" s="32"/>
      <c r="H90" s="32"/>
      <c r="I90" s="32">
        <f>$C$80*E90*9.81*$C$81/$C$82</f>
        <v>0</v>
      </c>
      <c r="J90" s="32">
        <f>$C$80*D90*9.81*$C$81/$C$83</f>
        <v>0</v>
      </c>
      <c r="K90" s="131">
        <f>(P90/($C$80*9.81))</f>
        <v>0.25</v>
      </c>
      <c r="L90" s="34">
        <f>$C$80*D90*9.81</f>
        <v>0</v>
      </c>
      <c r="M90" s="34">
        <f>$C$80*E90*9.81</f>
        <v>0</v>
      </c>
      <c r="N90" s="31">
        <f>L90*K90</f>
        <v>0</v>
      </c>
      <c r="O90" s="31">
        <f>M90*K90</f>
        <v>0</v>
      </c>
      <c r="P90" s="35">
        <f>($C$80*9.81/4)+(I90+J90)/2</f>
        <v>735.75</v>
      </c>
      <c r="Q90" s="118">
        <v>0</v>
      </c>
      <c r="S90" s="80">
        <v>2</v>
      </c>
      <c r="T90" s="85">
        <v>992.09722756561041</v>
      </c>
      <c r="U90" s="86">
        <v>1285.5492186780771</v>
      </c>
      <c r="V90" s="86">
        <v>-95.56898542308636</v>
      </c>
      <c r="W90" s="86">
        <v>-211.96899514772531</v>
      </c>
      <c r="X90" s="86">
        <v>-2342.6096725322122</v>
      </c>
      <c r="Y90" s="87">
        <v>40.714796489266462</v>
      </c>
      <c r="Z90" s="84">
        <v>0</v>
      </c>
    </row>
    <row r="91" spans="1:29" x14ac:dyDescent="0.3">
      <c r="A91" s="71">
        <v>3</v>
      </c>
      <c r="B91" s="36" t="s">
        <v>51</v>
      </c>
      <c r="C91" s="37" t="s">
        <v>49</v>
      </c>
      <c r="D91" s="38">
        <v>-1.25</v>
      </c>
      <c r="E91" s="38">
        <v>0</v>
      </c>
      <c r="F91" s="39"/>
      <c r="G91" s="40"/>
      <c r="H91" s="40"/>
      <c r="I91" s="32">
        <f t="shared" ref="I91:I110" si="9">$C$80*E91*9.81*$C$81/$C$82</f>
        <v>0</v>
      </c>
      <c r="J91" s="32">
        <f t="shared" ref="J91:J110" si="10">$C$80*D91*9.81*$C$81/$C$83</f>
        <v>-551.8125</v>
      </c>
      <c r="K91" s="131">
        <f t="shared" ref="K91:K110" si="11">(P91/($C$80*9.81))</f>
        <v>0.15625</v>
      </c>
      <c r="L91" s="34">
        <f t="shared" ref="L91:L110" si="12">$C$80*D91*9.81</f>
        <v>-3678.75</v>
      </c>
      <c r="M91" s="34">
        <f t="shared" ref="M91:M110" si="13">$C$80*E91*9.81</f>
        <v>0</v>
      </c>
      <c r="N91" s="31">
        <f t="shared" ref="N91:N110" si="14">L91*K91</f>
        <v>-574.8046875</v>
      </c>
      <c r="O91" s="31">
        <f t="shared" ref="O91:O110" si="15">M91*K91</f>
        <v>0</v>
      </c>
      <c r="P91" s="35">
        <f t="shared" ref="P91:P110" si="16">($C$80*9.81/4)+(I91+J91)/2</f>
        <v>459.84375</v>
      </c>
      <c r="Q91" s="117">
        <v>0</v>
      </c>
      <c r="S91" s="80">
        <v>3</v>
      </c>
      <c r="T91" s="88">
        <v>1106.5074165538322</v>
      </c>
      <c r="U91" s="89">
        <v>199.04841271050509</v>
      </c>
      <c r="V91" s="89">
        <v>-1320.6239007764707</v>
      </c>
      <c r="W91" s="89">
        <v>1467.9829777675955</v>
      </c>
      <c r="X91" s="89">
        <v>-1207.3472222659316</v>
      </c>
      <c r="Y91" s="90">
        <v>-277.35302722089909</v>
      </c>
      <c r="Z91" s="84">
        <v>0</v>
      </c>
      <c r="AA91">
        <f>-P91/$E$29</f>
        <v>-669.0930222666799</v>
      </c>
      <c r="AB91" s="132">
        <f>X91/AA91</f>
        <v>1.8044534647451758</v>
      </c>
    </row>
    <row r="92" spans="1:29" x14ac:dyDescent="0.3">
      <c r="A92" s="71">
        <v>4</v>
      </c>
      <c r="B92" s="36" t="s">
        <v>52</v>
      </c>
      <c r="C92" s="37" t="s">
        <v>49</v>
      </c>
      <c r="D92" s="38">
        <v>0</v>
      </c>
      <c r="E92" s="38">
        <v>2</v>
      </c>
      <c r="F92" s="39"/>
      <c r="G92" s="40"/>
      <c r="H92" s="40"/>
      <c r="I92" s="32">
        <f t="shared" si="9"/>
        <v>1177.2</v>
      </c>
      <c r="J92" s="32">
        <f t="shared" si="10"/>
        <v>0</v>
      </c>
      <c r="K92" s="131">
        <f t="shared" si="11"/>
        <v>0.44999999999999996</v>
      </c>
      <c r="L92" s="34">
        <f t="shared" si="12"/>
        <v>0</v>
      </c>
      <c r="M92" s="34">
        <f t="shared" si="13"/>
        <v>5886</v>
      </c>
      <c r="N92" s="31">
        <f t="shared" si="14"/>
        <v>0</v>
      </c>
      <c r="O92" s="31">
        <f t="shared" si="15"/>
        <v>2648.7</v>
      </c>
      <c r="P92" s="35">
        <f t="shared" si="16"/>
        <v>1324.35</v>
      </c>
      <c r="Q92" s="118">
        <v>0</v>
      </c>
      <c r="S92" s="80">
        <v>4</v>
      </c>
      <c r="T92" s="88">
        <v>2322.3384830635341</v>
      </c>
      <c r="U92" s="89">
        <v>2966.204955327994</v>
      </c>
      <c r="V92" s="89">
        <v>-3568.5512702095584</v>
      </c>
      <c r="W92" s="89">
        <v>-1701.3252112244672</v>
      </c>
      <c r="X92" s="89">
        <v>-3534.0304694381921</v>
      </c>
      <c r="Y92" s="90">
        <v>333.31141707757342</v>
      </c>
      <c r="Z92" s="84">
        <v>0</v>
      </c>
      <c r="AA92">
        <f t="shared" ref="AA92:AA110" si="17">-P92/$E$29</f>
        <v>-1926.9879041280378</v>
      </c>
      <c r="AB92" s="132">
        <f t="shared" ref="AB92:AB110" si="18">X92/AA92</f>
        <v>1.8339660886648592</v>
      </c>
    </row>
    <row r="93" spans="1:29" x14ac:dyDescent="0.3">
      <c r="A93" s="71">
        <v>5</v>
      </c>
      <c r="B93" s="36" t="s">
        <v>53</v>
      </c>
      <c r="C93" s="37" t="s">
        <v>49</v>
      </c>
      <c r="D93" s="38">
        <v>0</v>
      </c>
      <c r="E93" s="38">
        <v>0</v>
      </c>
      <c r="F93" s="39"/>
      <c r="G93" s="40"/>
      <c r="H93" s="40"/>
      <c r="I93" s="32">
        <f t="shared" si="9"/>
        <v>0</v>
      </c>
      <c r="J93" s="32">
        <f t="shared" si="10"/>
        <v>0</v>
      </c>
      <c r="K93" s="131">
        <f t="shared" si="11"/>
        <v>0.25</v>
      </c>
      <c r="L93" s="34">
        <f t="shared" si="12"/>
        <v>0</v>
      </c>
      <c r="M93" s="34">
        <f t="shared" si="13"/>
        <v>0</v>
      </c>
      <c r="N93" s="31">
        <f t="shared" si="14"/>
        <v>0</v>
      </c>
      <c r="O93" s="31">
        <f t="shared" si="15"/>
        <v>0</v>
      </c>
      <c r="P93" s="35">
        <f t="shared" si="16"/>
        <v>735.75</v>
      </c>
      <c r="Q93" s="117">
        <v>0</v>
      </c>
      <c r="S93" s="80">
        <v>5</v>
      </c>
      <c r="T93" s="88">
        <v>992.09722756561041</v>
      </c>
      <c r="U93" s="89">
        <v>1285.5492186780771</v>
      </c>
      <c r="V93" s="89">
        <v>-95.56898542308636</v>
      </c>
      <c r="W93" s="89">
        <v>-211.96899514772531</v>
      </c>
      <c r="X93" s="89">
        <v>-2342.6096725322122</v>
      </c>
      <c r="Y93" s="90">
        <v>40.714796489266462</v>
      </c>
      <c r="Z93" s="84">
        <v>0</v>
      </c>
      <c r="AA93">
        <f t="shared" si="17"/>
        <v>-1070.5488356266878</v>
      </c>
      <c r="AB93" s="132">
        <f t="shared" si="18"/>
        <v>2.1882324230084036</v>
      </c>
      <c r="AC93" t="s">
        <v>105</v>
      </c>
    </row>
    <row r="94" spans="1:29" x14ac:dyDescent="0.3">
      <c r="A94" s="71">
        <v>6</v>
      </c>
      <c r="B94" s="41" t="s">
        <v>54</v>
      </c>
      <c r="C94" s="37" t="s">
        <v>49</v>
      </c>
      <c r="D94" s="38">
        <v>1</v>
      </c>
      <c r="E94" s="38">
        <v>0</v>
      </c>
      <c r="F94" s="39"/>
      <c r="G94" s="40"/>
      <c r="H94" s="40"/>
      <c r="I94" s="32">
        <f t="shared" si="9"/>
        <v>0</v>
      </c>
      <c r="J94" s="32">
        <f t="shared" si="10"/>
        <v>441.45</v>
      </c>
      <c r="K94" s="131">
        <f t="shared" si="11"/>
        <v>0.32500000000000001</v>
      </c>
      <c r="L94" s="34">
        <f t="shared" si="12"/>
        <v>2943</v>
      </c>
      <c r="M94" s="34">
        <f t="shared" si="13"/>
        <v>0</v>
      </c>
      <c r="N94" s="31">
        <f t="shared" si="14"/>
        <v>956.47500000000002</v>
      </c>
      <c r="O94" s="31">
        <f t="shared" si="15"/>
        <v>0</v>
      </c>
      <c r="P94" s="35">
        <f t="shared" si="16"/>
        <v>956.47500000000002</v>
      </c>
      <c r="Q94" s="118">
        <v>0</v>
      </c>
      <c r="S94" s="80">
        <v>6</v>
      </c>
      <c r="T94" s="88">
        <v>480.27917135795178</v>
      </c>
      <c r="U94" s="89">
        <v>2676.9686129564179</v>
      </c>
      <c r="V94" s="89">
        <v>1973.8867450020243</v>
      </c>
      <c r="W94" s="89">
        <v>-2938.7311236509559</v>
      </c>
      <c r="X94" s="89">
        <v>-3472.6808558748671</v>
      </c>
      <c r="Y94" s="90">
        <v>556.78806108045956</v>
      </c>
      <c r="Z94" s="84">
        <v>0</v>
      </c>
      <c r="AA94">
        <f t="shared" si="17"/>
        <v>-1391.7134863146941</v>
      </c>
      <c r="AB94" s="132">
        <f t="shared" si="18"/>
        <v>2.4952555896189863</v>
      </c>
    </row>
    <row r="95" spans="1:29" x14ac:dyDescent="0.3">
      <c r="A95" s="105">
        <v>7</v>
      </c>
      <c r="B95" s="106" t="s">
        <v>55</v>
      </c>
      <c r="C95" s="107" t="s">
        <v>49</v>
      </c>
      <c r="D95" s="108">
        <v>-1</v>
      </c>
      <c r="E95" s="108">
        <v>1</v>
      </c>
      <c r="F95" s="109"/>
      <c r="G95" s="110"/>
      <c r="H95" s="110"/>
      <c r="I95" s="32">
        <f t="shared" si="9"/>
        <v>588.6</v>
      </c>
      <c r="J95" s="32">
        <f t="shared" si="10"/>
        <v>-441.45</v>
      </c>
      <c r="K95" s="131">
        <f t="shared" si="11"/>
        <v>0.27500000000000002</v>
      </c>
      <c r="L95" s="34">
        <f t="shared" si="12"/>
        <v>-2943</v>
      </c>
      <c r="M95" s="34">
        <f t="shared" si="13"/>
        <v>2943</v>
      </c>
      <c r="N95" s="31">
        <f t="shared" si="14"/>
        <v>-809.32500000000005</v>
      </c>
      <c r="O95" s="31">
        <f t="shared" si="15"/>
        <v>809.32500000000005</v>
      </c>
      <c r="P95" s="35">
        <f t="shared" si="16"/>
        <v>809.32500000000005</v>
      </c>
      <c r="Q95" s="117">
        <v>0</v>
      </c>
      <c r="S95" s="80">
        <v>7</v>
      </c>
      <c r="T95" s="88">
        <v>1940.1737827916686</v>
      </c>
      <c r="U95" s="89">
        <v>762.36932594951361</v>
      </c>
      <c r="V95" s="89">
        <v>-2918.2913530010183</v>
      </c>
      <c r="W95" s="89">
        <v>1617.0204309991584</v>
      </c>
      <c r="X95" s="89">
        <v>-2006.7263404542475</v>
      </c>
      <c r="Y95" s="90">
        <v>-302.10378995033608</v>
      </c>
      <c r="Z95" s="84">
        <v>0</v>
      </c>
      <c r="AA95">
        <f t="shared" si="17"/>
        <v>-1177.6037191893565</v>
      </c>
      <c r="AB95" s="132">
        <f t="shared" si="18"/>
        <v>1.7040760892260476</v>
      </c>
    </row>
    <row r="96" spans="1:29" x14ac:dyDescent="0.3">
      <c r="A96" s="71">
        <v>8</v>
      </c>
      <c r="B96" s="41" t="s">
        <v>56</v>
      </c>
      <c r="C96" s="37" t="s">
        <v>49</v>
      </c>
      <c r="D96" s="38">
        <v>0.2</v>
      </c>
      <c r="E96" s="38">
        <v>1</v>
      </c>
      <c r="F96" s="39"/>
      <c r="G96" s="42"/>
      <c r="H96" s="42"/>
      <c r="I96" s="32">
        <f t="shared" si="9"/>
        <v>588.6</v>
      </c>
      <c r="J96" s="32">
        <f t="shared" si="10"/>
        <v>88.29</v>
      </c>
      <c r="K96" s="131">
        <f t="shared" si="11"/>
        <v>0.36499999999999999</v>
      </c>
      <c r="L96" s="34">
        <f t="shared" si="12"/>
        <v>588.6</v>
      </c>
      <c r="M96" s="34">
        <f t="shared" si="13"/>
        <v>2943</v>
      </c>
      <c r="N96" s="31">
        <f t="shared" si="14"/>
        <v>214.839</v>
      </c>
      <c r="O96" s="31">
        <f t="shared" si="15"/>
        <v>1074.1949999999999</v>
      </c>
      <c r="P96" s="35">
        <f t="shared" si="16"/>
        <v>1074.1949999999999</v>
      </c>
      <c r="Q96" s="118">
        <v>0</v>
      </c>
      <c r="S96" s="80">
        <v>8</v>
      </c>
      <c r="T96" s="88">
        <v>1484.2539501579386</v>
      </c>
      <c r="U96" s="89">
        <v>2367.3197909332039</v>
      </c>
      <c r="V96" s="89">
        <v>-1045.7396781177936</v>
      </c>
      <c r="W96" s="89">
        <v>-1442.9085327135765</v>
      </c>
      <c r="X96" s="89">
        <v>-3239.3262730411925</v>
      </c>
      <c r="Y96" s="90">
        <v>278.07254227704652</v>
      </c>
      <c r="Z96" s="84">
        <v>0</v>
      </c>
      <c r="AA96">
        <f t="shared" si="17"/>
        <v>-1563.001300014964</v>
      </c>
      <c r="AB96" s="132">
        <f t="shared" si="18"/>
        <v>2.0725038891587482</v>
      </c>
    </row>
    <row r="97" spans="1:28" x14ac:dyDescent="0.3">
      <c r="A97" s="71">
        <v>9</v>
      </c>
      <c r="B97" s="41"/>
      <c r="C97" s="37" t="s">
        <v>49</v>
      </c>
      <c r="D97" s="38"/>
      <c r="E97" s="38"/>
      <c r="F97" s="39"/>
      <c r="G97" s="42"/>
      <c r="H97" s="42"/>
      <c r="I97" s="32">
        <f t="shared" si="9"/>
        <v>0</v>
      </c>
      <c r="J97" s="32">
        <f t="shared" si="10"/>
        <v>0</v>
      </c>
      <c r="K97" s="131">
        <f t="shared" si="11"/>
        <v>0.25</v>
      </c>
      <c r="L97" s="34">
        <f t="shared" si="12"/>
        <v>0</v>
      </c>
      <c r="M97" s="34">
        <f t="shared" si="13"/>
        <v>0</v>
      </c>
      <c r="N97" s="31">
        <f t="shared" si="14"/>
        <v>0</v>
      </c>
      <c r="O97" s="31">
        <f t="shared" si="15"/>
        <v>0</v>
      </c>
      <c r="P97" s="35">
        <f t="shared" si="16"/>
        <v>735.75</v>
      </c>
      <c r="Q97" s="117">
        <v>0</v>
      </c>
      <c r="S97" s="80">
        <v>9</v>
      </c>
      <c r="T97" s="88">
        <v>992.09722756561041</v>
      </c>
      <c r="U97" s="89">
        <v>1285.5492186780771</v>
      </c>
      <c r="V97" s="89">
        <v>-95.56898542308636</v>
      </c>
      <c r="W97" s="89">
        <v>-211.96899514772531</v>
      </c>
      <c r="X97" s="89">
        <v>-2342.6096725322122</v>
      </c>
      <c r="Y97" s="90">
        <v>40.714796489266462</v>
      </c>
      <c r="Z97" s="84">
        <v>0</v>
      </c>
      <c r="AA97">
        <f t="shared" si="17"/>
        <v>-1070.5488356266878</v>
      </c>
      <c r="AB97" s="132">
        <f t="shared" si="18"/>
        <v>2.1882324230084036</v>
      </c>
    </row>
    <row r="98" spans="1:28" x14ac:dyDescent="0.3">
      <c r="A98" s="71">
        <v>10</v>
      </c>
      <c r="B98" s="41"/>
      <c r="C98" s="37" t="s">
        <v>49</v>
      </c>
      <c r="D98" s="38"/>
      <c r="E98" s="38"/>
      <c r="F98" s="39"/>
      <c r="G98" s="42"/>
      <c r="H98" s="42"/>
      <c r="I98" s="32">
        <f t="shared" si="9"/>
        <v>0</v>
      </c>
      <c r="J98" s="32">
        <f t="shared" si="10"/>
        <v>0</v>
      </c>
      <c r="K98" s="131">
        <f t="shared" si="11"/>
        <v>0.25</v>
      </c>
      <c r="L98" s="34">
        <f t="shared" si="12"/>
        <v>0</v>
      </c>
      <c r="M98" s="34">
        <f t="shared" si="13"/>
        <v>0</v>
      </c>
      <c r="N98" s="31">
        <f t="shared" si="14"/>
        <v>0</v>
      </c>
      <c r="O98" s="31">
        <f t="shared" si="15"/>
        <v>0</v>
      </c>
      <c r="P98" s="35">
        <f t="shared" si="16"/>
        <v>735.75</v>
      </c>
      <c r="Q98" s="118">
        <v>0</v>
      </c>
      <c r="S98" s="80">
        <v>10</v>
      </c>
      <c r="T98" s="88">
        <v>992.09722756561041</v>
      </c>
      <c r="U98" s="89">
        <v>1285.5492186780771</v>
      </c>
      <c r="V98" s="89">
        <v>-95.56898542308636</v>
      </c>
      <c r="W98" s="89">
        <v>-211.96899514772531</v>
      </c>
      <c r="X98" s="89">
        <v>-2342.6096725322122</v>
      </c>
      <c r="Y98" s="90">
        <v>40.714796489266462</v>
      </c>
      <c r="Z98" s="84">
        <v>0</v>
      </c>
      <c r="AA98">
        <f t="shared" si="17"/>
        <v>-1070.5488356266878</v>
      </c>
      <c r="AB98" s="132">
        <f t="shared" si="18"/>
        <v>2.1882324230084036</v>
      </c>
    </row>
    <row r="99" spans="1:28" x14ac:dyDescent="0.3">
      <c r="A99" s="71">
        <v>11</v>
      </c>
      <c r="B99" s="41"/>
      <c r="C99" s="37" t="s">
        <v>49</v>
      </c>
      <c r="D99" s="38"/>
      <c r="E99" s="38"/>
      <c r="F99" s="39"/>
      <c r="G99" s="42"/>
      <c r="H99" s="42"/>
      <c r="I99" s="32">
        <f t="shared" si="9"/>
        <v>0</v>
      </c>
      <c r="J99" s="32">
        <f t="shared" si="10"/>
        <v>0</v>
      </c>
      <c r="K99" s="131">
        <f t="shared" si="11"/>
        <v>0.25</v>
      </c>
      <c r="L99" s="34">
        <f t="shared" si="12"/>
        <v>0</v>
      </c>
      <c r="M99" s="34">
        <f t="shared" si="13"/>
        <v>0</v>
      </c>
      <c r="N99" s="31">
        <f t="shared" si="14"/>
        <v>0</v>
      </c>
      <c r="O99" s="31">
        <f t="shared" si="15"/>
        <v>0</v>
      </c>
      <c r="P99" s="35">
        <f t="shared" si="16"/>
        <v>735.75</v>
      </c>
      <c r="Q99" s="117">
        <v>0</v>
      </c>
      <c r="S99" s="80">
        <v>11</v>
      </c>
      <c r="T99" s="88">
        <v>992.09722756561041</v>
      </c>
      <c r="U99" s="89">
        <v>1285.5492186780771</v>
      </c>
      <c r="V99" s="89">
        <v>-95.56898542308636</v>
      </c>
      <c r="W99" s="89">
        <v>-211.96899514772531</v>
      </c>
      <c r="X99" s="89">
        <v>-2342.6096725322122</v>
      </c>
      <c r="Y99" s="90">
        <v>40.714796489266462</v>
      </c>
      <c r="Z99" s="84">
        <v>0</v>
      </c>
      <c r="AA99">
        <f t="shared" si="17"/>
        <v>-1070.5488356266878</v>
      </c>
      <c r="AB99" s="132">
        <f t="shared" si="18"/>
        <v>2.1882324230084036</v>
      </c>
    </row>
    <row r="100" spans="1:28" x14ac:dyDescent="0.3">
      <c r="A100" s="71">
        <v>12</v>
      </c>
      <c r="B100" s="41"/>
      <c r="C100" s="43" t="s">
        <v>49</v>
      </c>
      <c r="D100" s="44"/>
      <c r="E100" s="44"/>
      <c r="F100" s="45"/>
      <c r="G100" s="42"/>
      <c r="H100" s="42"/>
      <c r="I100" s="32">
        <f t="shared" si="9"/>
        <v>0</v>
      </c>
      <c r="J100" s="32">
        <f t="shared" si="10"/>
        <v>0</v>
      </c>
      <c r="K100" s="131">
        <f t="shared" si="11"/>
        <v>0.25</v>
      </c>
      <c r="L100" s="34">
        <f t="shared" si="12"/>
        <v>0</v>
      </c>
      <c r="M100" s="34">
        <f t="shared" si="13"/>
        <v>0</v>
      </c>
      <c r="N100" s="31">
        <f t="shared" si="14"/>
        <v>0</v>
      </c>
      <c r="O100" s="31">
        <f t="shared" si="15"/>
        <v>0</v>
      </c>
      <c r="P100" s="35">
        <f t="shared" si="16"/>
        <v>735.75</v>
      </c>
      <c r="Q100" s="118">
        <v>0</v>
      </c>
      <c r="S100" s="80">
        <v>12</v>
      </c>
      <c r="T100" s="85">
        <v>992.09722756561041</v>
      </c>
      <c r="U100" s="86">
        <v>1285.5492186780771</v>
      </c>
      <c r="V100" s="86">
        <v>-95.56898542308636</v>
      </c>
      <c r="W100" s="86">
        <v>-211.96899514772531</v>
      </c>
      <c r="X100" s="86">
        <v>-2342.6096725322122</v>
      </c>
      <c r="Y100" s="87">
        <v>40.714796489266462</v>
      </c>
      <c r="Z100" s="84">
        <v>0</v>
      </c>
      <c r="AA100">
        <f t="shared" si="17"/>
        <v>-1070.5488356266878</v>
      </c>
      <c r="AB100" s="132">
        <f t="shared" si="18"/>
        <v>2.1882324230084036</v>
      </c>
    </row>
    <row r="101" spans="1:28" x14ac:dyDescent="0.3">
      <c r="A101" s="71">
        <v>13</v>
      </c>
      <c r="B101" s="46" t="s">
        <v>51</v>
      </c>
      <c r="C101" s="47" t="s">
        <v>57</v>
      </c>
      <c r="D101" s="48">
        <v>-1.9</v>
      </c>
      <c r="E101" s="48">
        <v>0</v>
      </c>
      <c r="F101" s="49"/>
      <c r="G101" s="50"/>
      <c r="H101" s="50"/>
      <c r="I101" s="32">
        <f t="shared" si="9"/>
        <v>0</v>
      </c>
      <c r="J101" s="32">
        <f t="shared" si="10"/>
        <v>-838.75500000000011</v>
      </c>
      <c r="K101" s="131">
        <f t="shared" si="11"/>
        <v>0.10749999999999998</v>
      </c>
      <c r="L101" s="34">
        <f t="shared" si="12"/>
        <v>-5591.7000000000007</v>
      </c>
      <c r="M101" s="34">
        <f t="shared" si="13"/>
        <v>0</v>
      </c>
      <c r="N101" s="31">
        <f t="shared" si="14"/>
        <v>-601.10775000000001</v>
      </c>
      <c r="O101" s="31">
        <f t="shared" si="15"/>
        <v>0</v>
      </c>
      <c r="P101" s="35">
        <f t="shared" si="16"/>
        <v>316.37249999999995</v>
      </c>
      <c r="Q101" s="117">
        <v>0</v>
      </c>
      <c r="S101" s="80">
        <v>13</v>
      </c>
      <c r="T101" s="88">
        <v>935.30825585166508</v>
      </c>
      <c r="U101" s="89">
        <v>-79.291937220280033</v>
      </c>
      <c r="V101" s="89">
        <v>-1359.6864253353999</v>
      </c>
      <c r="W101" s="89">
        <v>1582.5541461452722</v>
      </c>
      <c r="X101" s="89">
        <v>-738.78790837861789</v>
      </c>
      <c r="Y101" s="90">
        <v>-299.14853024152717</v>
      </c>
      <c r="Z101" s="84">
        <v>0</v>
      </c>
      <c r="AA101">
        <f t="shared" si="17"/>
        <v>-460.33599931947566</v>
      </c>
      <c r="AB101" s="132">
        <f t="shared" si="18"/>
        <v>1.6048884064482976</v>
      </c>
    </row>
    <row r="102" spans="1:28" x14ac:dyDescent="0.3">
      <c r="A102" s="71">
        <v>14</v>
      </c>
      <c r="B102" s="36" t="s">
        <v>52</v>
      </c>
      <c r="C102" s="37" t="s">
        <v>57</v>
      </c>
      <c r="D102" s="38">
        <v>0</v>
      </c>
      <c r="E102" s="38">
        <v>2.75</v>
      </c>
      <c r="F102" s="51"/>
      <c r="G102" s="40"/>
      <c r="H102" s="40"/>
      <c r="I102" s="32">
        <f t="shared" si="9"/>
        <v>1618.6499999999999</v>
      </c>
      <c r="J102" s="32">
        <f t="shared" si="10"/>
        <v>0</v>
      </c>
      <c r="K102" s="131">
        <f t="shared" si="11"/>
        <v>0.52499999999999991</v>
      </c>
      <c r="L102" s="34">
        <f t="shared" si="12"/>
        <v>0</v>
      </c>
      <c r="M102" s="34">
        <f t="shared" si="13"/>
        <v>8093.25</v>
      </c>
      <c r="N102" s="31">
        <f t="shared" si="14"/>
        <v>0</v>
      </c>
      <c r="O102" s="31">
        <f t="shared" si="15"/>
        <v>4248.9562499999993</v>
      </c>
      <c r="P102" s="35">
        <f t="shared" si="16"/>
        <v>1545.0749999999998</v>
      </c>
      <c r="Q102" s="118">
        <v>0</v>
      </c>
      <c r="S102" s="80">
        <v>14</v>
      </c>
      <c r="T102" s="88">
        <v>2944.1414165398346</v>
      </c>
      <c r="U102" s="89">
        <v>3745.9171061296729</v>
      </c>
      <c r="V102" s="89">
        <v>-5649.2904199404857</v>
      </c>
      <c r="W102" s="89">
        <v>-2562.2836093270826</v>
      </c>
      <c r="X102" s="89">
        <v>-3824.3687609379776</v>
      </c>
      <c r="Y102" s="90">
        <v>502.62416265998036</v>
      </c>
      <c r="Z102" s="84">
        <v>0</v>
      </c>
      <c r="AA102">
        <f t="shared" si="17"/>
        <v>-2248.1525548160439</v>
      </c>
      <c r="AB102" s="132">
        <f t="shared" si="18"/>
        <v>1.7011162132860278</v>
      </c>
    </row>
    <row r="103" spans="1:28" x14ac:dyDescent="0.3">
      <c r="A103" s="71">
        <v>15</v>
      </c>
      <c r="B103" s="36" t="s">
        <v>53</v>
      </c>
      <c r="C103" s="37" t="s">
        <v>57</v>
      </c>
      <c r="D103" s="38">
        <v>0</v>
      </c>
      <c r="E103" s="38">
        <v>0</v>
      </c>
      <c r="F103" s="51"/>
      <c r="G103" s="40"/>
      <c r="H103" s="40"/>
      <c r="I103" s="32">
        <f t="shared" si="9"/>
        <v>0</v>
      </c>
      <c r="J103" s="32">
        <f t="shared" si="10"/>
        <v>0</v>
      </c>
      <c r="K103" s="131">
        <f t="shared" si="11"/>
        <v>0.25</v>
      </c>
      <c r="L103" s="34">
        <f t="shared" si="12"/>
        <v>0</v>
      </c>
      <c r="M103" s="34">
        <f t="shared" si="13"/>
        <v>0</v>
      </c>
      <c r="N103" s="31">
        <f t="shared" si="14"/>
        <v>0</v>
      </c>
      <c r="O103" s="31">
        <f t="shared" si="15"/>
        <v>0</v>
      </c>
      <c r="P103" s="35">
        <f t="shared" si="16"/>
        <v>735.75</v>
      </c>
      <c r="Q103" s="117">
        <v>0</v>
      </c>
      <c r="S103" s="80">
        <v>15</v>
      </c>
      <c r="T103" s="88">
        <v>992.09722756561041</v>
      </c>
      <c r="U103" s="89">
        <v>1285.5492186780771</v>
      </c>
      <c r="V103" s="89">
        <v>-95.56898542308636</v>
      </c>
      <c r="W103" s="89">
        <v>-211.96899514772531</v>
      </c>
      <c r="X103" s="89">
        <v>-2342.6096725322122</v>
      </c>
      <c r="Y103" s="90">
        <v>40.714796489266462</v>
      </c>
      <c r="Z103" s="84">
        <v>0</v>
      </c>
      <c r="AA103">
        <f t="shared" si="17"/>
        <v>-1070.5488356266878</v>
      </c>
      <c r="AB103" s="132">
        <f t="shared" si="18"/>
        <v>2.1882324230084036</v>
      </c>
    </row>
    <row r="104" spans="1:28" x14ac:dyDescent="0.3">
      <c r="A104" s="71">
        <v>16</v>
      </c>
      <c r="B104" s="41" t="s">
        <v>54</v>
      </c>
      <c r="C104" s="37" t="s">
        <v>57</v>
      </c>
      <c r="D104" s="38">
        <v>1.5</v>
      </c>
      <c r="E104" s="38">
        <v>0</v>
      </c>
      <c r="F104" s="51"/>
      <c r="G104" s="40"/>
      <c r="H104" s="40"/>
      <c r="I104" s="32">
        <f t="shared" si="9"/>
        <v>0</v>
      </c>
      <c r="J104" s="32">
        <f t="shared" si="10"/>
        <v>662.17499999999995</v>
      </c>
      <c r="K104" s="131">
        <f t="shared" si="11"/>
        <v>0.36250000000000004</v>
      </c>
      <c r="L104" s="34">
        <f t="shared" si="12"/>
        <v>4414.5</v>
      </c>
      <c r="M104" s="34">
        <f t="shared" si="13"/>
        <v>0</v>
      </c>
      <c r="N104" s="31">
        <f t="shared" si="14"/>
        <v>1600.2562500000001</v>
      </c>
      <c r="O104" s="31">
        <f t="shared" si="15"/>
        <v>0</v>
      </c>
      <c r="P104" s="35">
        <f t="shared" si="16"/>
        <v>1066.8375000000001</v>
      </c>
      <c r="Q104" s="118">
        <v>0</v>
      </c>
      <c r="S104" s="80">
        <v>16</v>
      </c>
      <c r="T104" s="88">
        <v>84.273508248427788</v>
      </c>
      <c r="U104" s="89">
        <v>3546.7512265970172</v>
      </c>
      <c r="V104" s="89">
        <v>3371.7518762620484</v>
      </c>
      <c r="W104" s="89">
        <v>-4763.04570462623</v>
      </c>
      <c r="X104" s="89">
        <v>-4111.6701885894054</v>
      </c>
      <c r="Y104" s="90">
        <v>902.03102858374405</v>
      </c>
      <c r="Z104" s="84">
        <v>0</v>
      </c>
      <c r="AA104">
        <f t="shared" si="17"/>
        <v>-1552.2958116586974</v>
      </c>
      <c r="AB104" s="132">
        <f t="shared" si="18"/>
        <v>2.6487671729242779</v>
      </c>
    </row>
    <row r="105" spans="1:28" x14ac:dyDescent="0.3">
      <c r="A105" s="71">
        <v>17</v>
      </c>
      <c r="B105" s="41" t="s">
        <v>55</v>
      </c>
      <c r="C105" s="37" t="s">
        <v>57</v>
      </c>
      <c r="D105" s="38">
        <v>-0.5</v>
      </c>
      <c r="E105" s="38">
        <v>2.5</v>
      </c>
      <c r="F105" s="51"/>
      <c r="G105" s="40"/>
      <c r="H105" s="40"/>
      <c r="I105" s="32">
        <f t="shared" si="9"/>
        <v>1471.5</v>
      </c>
      <c r="J105" s="32">
        <f t="shared" si="10"/>
        <v>-220.72499999999999</v>
      </c>
      <c r="K105" s="131">
        <f t="shared" si="11"/>
        <v>0.46250000000000002</v>
      </c>
      <c r="L105" s="34">
        <f t="shared" si="12"/>
        <v>-1471.5</v>
      </c>
      <c r="M105" s="34">
        <f t="shared" si="13"/>
        <v>7357.5</v>
      </c>
      <c r="N105" s="31">
        <f t="shared" si="14"/>
        <v>-680.56875000000002</v>
      </c>
      <c r="O105" s="31">
        <f t="shared" si="15"/>
        <v>3402.84375</v>
      </c>
      <c r="P105" s="35">
        <f t="shared" si="16"/>
        <v>1361.1375</v>
      </c>
      <c r="Q105" s="117">
        <v>0</v>
      </c>
      <c r="S105" s="80">
        <v>17</v>
      </c>
      <c r="T105" s="88">
        <v>3100.6677217656588</v>
      </c>
      <c r="U105" s="89">
        <v>2500.5498069643963</v>
      </c>
      <c r="V105" s="89">
        <v>-6033.294111525639</v>
      </c>
      <c r="W105" s="89">
        <v>-192.74574374501663</v>
      </c>
      <c r="X105" s="89">
        <v>-3152.758458040551</v>
      </c>
      <c r="Y105" s="90">
        <v>50.867057432053116</v>
      </c>
      <c r="Z105" s="84">
        <v>0</v>
      </c>
      <c r="AA105">
        <f t="shared" si="17"/>
        <v>-1980.5153459093724</v>
      </c>
      <c r="AB105" s="132">
        <f t="shared" si="18"/>
        <v>1.5918879217736797</v>
      </c>
    </row>
    <row r="106" spans="1:28" x14ac:dyDescent="0.3">
      <c r="A106" s="71">
        <v>18</v>
      </c>
      <c r="B106" s="41" t="s">
        <v>56</v>
      </c>
      <c r="C106" s="37" t="s">
        <v>57</v>
      </c>
      <c r="D106" s="38">
        <v>0.2</v>
      </c>
      <c r="E106" s="38">
        <v>2.2000000000000002</v>
      </c>
      <c r="F106" s="51"/>
      <c r="G106" s="40"/>
      <c r="H106" s="40"/>
      <c r="I106" s="32">
        <f t="shared" si="9"/>
        <v>1294.92</v>
      </c>
      <c r="J106" s="32">
        <f t="shared" si="10"/>
        <v>88.29</v>
      </c>
      <c r="K106" s="131">
        <f t="shared" si="11"/>
        <v>0.48499999999999999</v>
      </c>
      <c r="L106" s="34">
        <f t="shared" si="12"/>
        <v>588.6</v>
      </c>
      <c r="M106" s="34">
        <f t="shared" si="13"/>
        <v>6474.6</v>
      </c>
      <c r="N106" s="31">
        <f t="shared" si="14"/>
        <v>285.471</v>
      </c>
      <c r="O106" s="31">
        <f t="shared" si="15"/>
        <v>3140.181</v>
      </c>
      <c r="P106" s="35">
        <f t="shared" si="16"/>
        <v>1427.355</v>
      </c>
      <c r="Q106" s="118">
        <v>0</v>
      </c>
      <c r="S106" s="80">
        <v>18</v>
      </c>
      <c r="T106" s="88">
        <v>2319.2055644077755</v>
      </c>
      <c r="U106" s="89">
        <v>3567.3832890711037</v>
      </c>
      <c r="V106" s="89">
        <v>-3585.9653595033988</v>
      </c>
      <c r="W106" s="89">
        <v>-2770.7478130875897</v>
      </c>
      <c r="X106" s="89">
        <v>-3862.8522979616519</v>
      </c>
      <c r="Y106" s="90">
        <v>537.64301199674446</v>
      </c>
      <c r="Z106" s="84">
        <v>0</v>
      </c>
      <c r="AA106">
        <f t="shared" si="17"/>
        <v>-2076.8647411157745</v>
      </c>
      <c r="AB106" s="132">
        <f t="shared" si="18"/>
        <v>1.8599440885526197</v>
      </c>
    </row>
    <row r="107" spans="1:28" x14ac:dyDescent="0.3">
      <c r="A107" s="71">
        <v>19</v>
      </c>
      <c r="B107" s="41" t="s">
        <v>58</v>
      </c>
      <c r="C107" s="37" t="s">
        <v>57</v>
      </c>
      <c r="D107" s="38">
        <v>0</v>
      </c>
      <c r="E107" s="38">
        <v>0</v>
      </c>
      <c r="F107" s="51"/>
      <c r="G107" s="40"/>
      <c r="H107" s="40"/>
      <c r="I107" s="32">
        <f t="shared" si="9"/>
        <v>0</v>
      </c>
      <c r="J107" s="32">
        <f t="shared" si="10"/>
        <v>0</v>
      </c>
      <c r="K107" s="131">
        <f t="shared" si="11"/>
        <v>1.25</v>
      </c>
      <c r="L107" s="34">
        <f t="shared" si="12"/>
        <v>0</v>
      </c>
      <c r="M107" s="34">
        <f t="shared" si="13"/>
        <v>0</v>
      </c>
      <c r="N107" s="31">
        <f t="shared" si="14"/>
        <v>0</v>
      </c>
      <c r="O107" s="31">
        <f t="shared" si="15"/>
        <v>0</v>
      </c>
      <c r="P107" s="35">
        <f>(C$80*9.81/4)*5</f>
        <v>3678.75</v>
      </c>
      <c r="Q107" s="117">
        <v>0</v>
      </c>
      <c r="S107" s="80">
        <v>19</v>
      </c>
      <c r="T107" s="88">
        <v>4960.4861378280521</v>
      </c>
      <c r="U107" s="89">
        <v>6427.7460933903822</v>
      </c>
      <c r="V107" s="89">
        <v>-477.84492711543317</v>
      </c>
      <c r="W107" s="89">
        <v>-1059.8449757386261</v>
      </c>
      <c r="X107" s="89">
        <v>-11713.048362661066</v>
      </c>
      <c r="Y107" s="90">
        <v>203.57398244633191</v>
      </c>
      <c r="Z107" s="84">
        <v>0</v>
      </c>
      <c r="AA107">
        <f t="shared" si="17"/>
        <v>-5352.7441781334392</v>
      </c>
      <c r="AB107" s="132">
        <f t="shared" si="18"/>
        <v>2.1882324230084045</v>
      </c>
    </row>
    <row r="108" spans="1:28" x14ac:dyDescent="0.3">
      <c r="A108" s="71">
        <v>20</v>
      </c>
      <c r="B108" s="41"/>
      <c r="C108" s="37" t="s">
        <v>57</v>
      </c>
      <c r="D108" s="38"/>
      <c r="E108" s="38"/>
      <c r="F108" s="51"/>
      <c r="G108" s="42"/>
      <c r="H108" s="42"/>
      <c r="I108" s="32">
        <f t="shared" si="9"/>
        <v>0</v>
      </c>
      <c r="J108" s="32">
        <f t="shared" si="10"/>
        <v>0</v>
      </c>
      <c r="K108" s="131">
        <f t="shared" si="11"/>
        <v>0.25</v>
      </c>
      <c r="L108" s="34">
        <f t="shared" si="12"/>
        <v>0</v>
      </c>
      <c r="M108" s="34">
        <f t="shared" si="13"/>
        <v>0</v>
      </c>
      <c r="N108" s="31">
        <f t="shared" si="14"/>
        <v>0</v>
      </c>
      <c r="O108" s="31">
        <f t="shared" si="15"/>
        <v>0</v>
      </c>
      <c r="P108" s="35">
        <f t="shared" si="16"/>
        <v>735.75</v>
      </c>
      <c r="Q108" s="118">
        <v>0</v>
      </c>
      <c r="S108" s="80">
        <v>20</v>
      </c>
      <c r="T108" s="88">
        <v>992.09722756561041</v>
      </c>
      <c r="U108" s="89">
        <v>1285.5492186780771</v>
      </c>
      <c r="V108" s="89">
        <v>-95.56898542308636</v>
      </c>
      <c r="W108" s="89">
        <v>-211.96899514772531</v>
      </c>
      <c r="X108" s="89">
        <v>-2342.6096725322122</v>
      </c>
      <c r="Y108" s="90">
        <v>40.714796489266462</v>
      </c>
      <c r="Z108" s="84">
        <v>0</v>
      </c>
      <c r="AA108">
        <f t="shared" si="17"/>
        <v>-1070.5488356266878</v>
      </c>
      <c r="AB108" s="132">
        <f t="shared" si="18"/>
        <v>2.1882324230084036</v>
      </c>
    </row>
    <row r="109" spans="1:28" x14ac:dyDescent="0.3">
      <c r="A109" s="71">
        <v>21</v>
      </c>
      <c r="B109" s="36" t="s">
        <v>59</v>
      </c>
      <c r="C109" s="37" t="s">
        <v>57</v>
      </c>
      <c r="D109" s="38">
        <v>0</v>
      </c>
      <c r="E109" s="38">
        <v>-2</v>
      </c>
      <c r="F109" s="51"/>
      <c r="G109" s="42"/>
      <c r="H109" s="42"/>
      <c r="I109" s="32">
        <v>0</v>
      </c>
      <c r="J109" s="32">
        <f t="shared" si="10"/>
        <v>0</v>
      </c>
      <c r="K109" s="131">
        <f t="shared" si="11"/>
        <v>0.25</v>
      </c>
      <c r="L109" s="34">
        <f t="shared" si="12"/>
        <v>0</v>
      </c>
      <c r="M109" s="34">
        <f t="shared" si="13"/>
        <v>-5886</v>
      </c>
      <c r="N109" s="31">
        <f t="shared" si="14"/>
        <v>0</v>
      </c>
      <c r="O109" s="31">
        <f t="shared" si="15"/>
        <v>-1471.5</v>
      </c>
      <c r="P109" s="35">
        <f t="shared" si="16"/>
        <v>735.75</v>
      </c>
      <c r="Q109" s="117">
        <v>0</v>
      </c>
      <c r="S109" s="80">
        <v>21</v>
      </c>
      <c r="T109" s="88">
        <v>694.00640898481333</v>
      </c>
      <c r="U109" s="89">
        <v>923.20679550726709</v>
      </c>
      <c r="V109" s="89">
        <v>1791.3905126035825</v>
      </c>
      <c r="W109" s="89">
        <v>521.24268260703093</v>
      </c>
      <c r="X109" s="89">
        <v>-2721.8690842654328</v>
      </c>
      <c r="Y109" s="90">
        <v>-103.74341650900715</v>
      </c>
      <c r="Z109" s="84">
        <v>0</v>
      </c>
      <c r="AA109">
        <f t="shared" si="17"/>
        <v>-1070.5488356266878</v>
      </c>
      <c r="AB109" s="132">
        <f t="shared" si="18"/>
        <v>2.542498757351952</v>
      </c>
    </row>
    <row r="110" spans="1:28" ht="15" thickBot="1" x14ac:dyDescent="0.35">
      <c r="A110" s="71">
        <v>22</v>
      </c>
      <c r="B110" s="52" t="s">
        <v>60</v>
      </c>
      <c r="C110" s="43" t="s">
        <v>57</v>
      </c>
      <c r="D110" s="44">
        <v>1.75</v>
      </c>
      <c r="E110" s="44">
        <v>0</v>
      </c>
      <c r="F110" s="53"/>
      <c r="G110" s="54"/>
      <c r="H110" s="54"/>
      <c r="I110" s="32">
        <v>0</v>
      </c>
      <c r="J110" s="32">
        <v>0</v>
      </c>
      <c r="K110" s="131">
        <f t="shared" si="11"/>
        <v>0.25</v>
      </c>
      <c r="L110" s="34">
        <f t="shared" si="12"/>
        <v>5150.25</v>
      </c>
      <c r="M110" s="34">
        <f t="shared" si="13"/>
        <v>0</v>
      </c>
      <c r="N110" s="31">
        <f t="shared" si="14"/>
        <v>1287.5625</v>
      </c>
      <c r="O110" s="31">
        <f t="shared" si="15"/>
        <v>0</v>
      </c>
      <c r="P110" s="35">
        <f t="shared" si="16"/>
        <v>735.75</v>
      </c>
      <c r="Q110" s="118">
        <v>0</v>
      </c>
      <c r="S110" s="80">
        <v>22</v>
      </c>
      <c r="T110" s="88">
        <v>-97.543266923119063</v>
      </c>
      <c r="U110" s="89">
        <v>2639.4496803558541</v>
      </c>
      <c r="V110" s="89">
        <v>2728.8319727238868</v>
      </c>
      <c r="W110" s="89">
        <v>-3797.0074585539551</v>
      </c>
      <c r="X110" s="89">
        <v>-2917.8054362016237</v>
      </c>
      <c r="Y110" s="90">
        <v>718.98629254905336</v>
      </c>
      <c r="Z110" s="84">
        <v>0</v>
      </c>
      <c r="AA110">
        <f t="shared" si="17"/>
        <v>-1070.5488356266878</v>
      </c>
      <c r="AB110" s="132">
        <f t="shared" si="18"/>
        <v>2.7255229645769234</v>
      </c>
    </row>
    <row r="111" spans="1:28" x14ac:dyDescent="0.3">
      <c r="R111" s="91" t="s">
        <v>70</v>
      </c>
      <c r="S111" s="1" t="s">
        <v>71</v>
      </c>
      <c r="T111" s="92">
        <f>MIN(T89:T100,0)</f>
        <v>0</v>
      </c>
      <c r="U111" s="92">
        <f t="shared" ref="U111:Y111" si="19">MIN(U89:U100,0)</f>
        <v>0</v>
      </c>
      <c r="V111" s="92">
        <f t="shared" si="19"/>
        <v>-3568.5512702095584</v>
      </c>
      <c r="W111" s="92">
        <f t="shared" si="19"/>
        <v>-2938.7311236509559</v>
      </c>
      <c r="X111" s="92">
        <f t="shared" si="19"/>
        <v>-3534.0304694381921</v>
      </c>
      <c r="Y111" s="92">
        <f t="shared" si="19"/>
        <v>-302.10378995033608</v>
      </c>
      <c r="Z111" s="1" t="s">
        <v>72</v>
      </c>
      <c r="AA111" t="s">
        <v>103</v>
      </c>
    </row>
    <row r="112" spans="1:28" x14ac:dyDescent="0.3">
      <c r="R112" s="93"/>
      <c r="S112" s="1" t="s">
        <v>73</v>
      </c>
      <c r="T112" s="94">
        <f>MAX(T89:T110,0)</f>
        <v>4960.4861378280521</v>
      </c>
      <c r="U112" s="94">
        <f t="shared" ref="U112:Y112" si="20">MAX(U89:U110,0)</f>
        <v>6427.7460933903822</v>
      </c>
      <c r="V112" s="94">
        <f t="shared" si="20"/>
        <v>3371.7518762620484</v>
      </c>
      <c r="W112" s="94">
        <f t="shared" si="20"/>
        <v>1617.0204309991584</v>
      </c>
      <c r="X112" s="94">
        <f t="shared" si="20"/>
        <v>0</v>
      </c>
      <c r="Y112" s="94">
        <f t="shared" si="20"/>
        <v>902.03102858374405</v>
      </c>
      <c r="Z112" s="1" t="s">
        <v>72</v>
      </c>
    </row>
    <row r="113" spans="17:26" x14ac:dyDescent="0.3">
      <c r="R113" s="93"/>
      <c r="S113" s="1" t="s">
        <v>74</v>
      </c>
      <c r="T113" s="94">
        <f>MAX(T90:T111,0)</f>
        <v>4960.4861378280521</v>
      </c>
      <c r="U113" s="94">
        <f t="shared" ref="U113:Y113" si="21">MAX(U90:U111,0)</f>
        <v>6427.7460933903822</v>
      </c>
      <c r="V113" s="94">
        <f t="shared" si="21"/>
        <v>3371.7518762620484</v>
      </c>
      <c r="W113" s="94">
        <f t="shared" si="21"/>
        <v>1617.0204309991584</v>
      </c>
      <c r="X113" s="94">
        <f t="shared" si="21"/>
        <v>0</v>
      </c>
      <c r="Y113" s="94">
        <f t="shared" si="21"/>
        <v>902.03102858374405</v>
      </c>
      <c r="Z113" s="1" t="s">
        <v>72</v>
      </c>
    </row>
    <row r="114" spans="17:26" ht="15" thickBot="1" x14ac:dyDescent="0.35">
      <c r="R114" s="93"/>
      <c r="S114" s="95" t="s">
        <v>75</v>
      </c>
      <c r="T114" s="96">
        <f>MIN(T89:T110,0)</f>
        <v>-97.543266923119063</v>
      </c>
      <c r="U114" s="96">
        <f t="shared" ref="U114:Y114" si="22">MIN(U89:U110,0)</f>
        <v>-79.291937220280033</v>
      </c>
      <c r="V114" s="96">
        <f t="shared" si="22"/>
        <v>-6033.294111525639</v>
      </c>
      <c r="W114" s="96">
        <f t="shared" si="22"/>
        <v>-4763.04570462623</v>
      </c>
      <c r="X114" s="96">
        <f t="shared" si="22"/>
        <v>-11713.048362661066</v>
      </c>
      <c r="Y114" s="96">
        <f t="shared" si="22"/>
        <v>-302.10378995033608</v>
      </c>
      <c r="Z114" s="1" t="s">
        <v>72</v>
      </c>
    </row>
    <row r="115" spans="17:26" x14ac:dyDescent="0.3">
      <c r="R115" s="91" t="s">
        <v>76</v>
      </c>
      <c r="S115" s="97" t="s">
        <v>77</v>
      </c>
      <c r="T115" s="98">
        <v>0.5</v>
      </c>
      <c r="U115" s="99">
        <v>0.5</v>
      </c>
      <c r="V115" s="99">
        <v>0.625</v>
      </c>
      <c r="W115" s="99">
        <v>0.625</v>
      </c>
      <c r="X115" s="99">
        <v>0.5</v>
      </c>
      <c r="Y115" s="100">
        <v>0.5</v>
      </c>
      <c r="Z115" s="1" t="s">
        <v>78</v>
      </c>
    </row>
    <row r="116" spans="17:26" x14ac:dyDescent="0.3">
      <c r="Q116" s="93"/>
      <c r="S116" s="97" t="s">
        <v>79</v>
      </c>
      <c r="T116" s="98">
        <v>6.5000000000000002E-2</v>
      </c>
      <c r="U116" s="99">
        <v>6.5000000000000002E-2</v>
      </c>
      <c r="V116" s="99">
        <v>6.5000000000000002E-2</v>
      </c>
      <c r="W116" s="99">
        <v>6.5000000000000002E-2</v>
      </c>
      <c r="X116" s="99">
        <v>6.5000000000000002E-2</v>
      </c>
      <c r="Y116" s="99">
        <v>6.5000000000000002E-2</v>
      </c>
      <c r="Z116" s="1" t="s">
        <v>78</v>
      </c>
    </row>
    <row r="117" spans="17:26" x14ac:dyDescent="0.3">
      <c r="S117" s="97" t="s">
        <v>80</v>
      </c>
      <c r="T117" s="101"/>
      <c r="U117" s="102"/>
      <c r="V117" s="102"/>
      <c r="W117" s="102"/>
      <c r="X117" s="103"/>
      <c r="Y117" s="1"/>
      <c r="Z117" s="133" t="s">
        <v>15</v>
      </c>
    </row>
    <row r="119" spans="17:26" x14ac:dyDescent="0.3">
      <c r="S119" s="93" t="s">
        <v>97</v>
      </c>
    </row>
    <row r="121" spans="17:26" x14ac:dyDescent="0.3">
      <c r="S121" s="93" t="s">
        <v>100</v>
      </c>
    </row>
    <row r="122" spans="17:26" x14ac:dyDescent="0.3">
      <c r="S122" s="93" t="s">
        <v>99</v>
      </c>
    </row>
    <row r="123" spans="17:26" x14ac:dyDescent="0.3">
      <c r="S123" s="93" t="s">
        <v>101</v>
      </c>
    </row>
    <row r="124" spans="17:26" x14ac:dyDescent="0.3">
      <c r="S124" s="93" t="s">
        <v>98</v>
      </c>
    </row>
  </sheetData>
  <conditionalFormatting sqref="T88:Y91">
    <cfRule type="expression" dxfId="1" priority="1">
      <formula>T88&lt;#REF!</formula>
    </cfRule>
  </conditionalFormatting>
  <conditionalFormatting sqref="T92:Y110">
    <cfRule type="expression" dxfId="0" priority="2">
      <formula>OR(T92&gt;#REF!,T92&lt;#REF!)</formula>
    </cfRule>
  </conditionalFormatting>
  <dataValidations count="1">
    <dataValidation type="list" allowBlank="1" showInputMessage="1" showErrorMessage="1" sqref="T115:Y115" xr:uid="{895B1510-6C32-4616-8008-847B1296BAED}">
      <formula1>Outer_Diameter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2021-01-14T15:41:23Z</dcterms:created>
  <dcterms:modified xsi:type="dcterms:W3CDTF">2025-03-29T17:54:25Z</dcterms:modified>
</cp:coreProperties>
</file>