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ssignments\Projects\PLANNING OF PLANT LOGISTICS SYSTEMS\Final Prep\HW1\Second Submission\This one is for the Academic CV\"/>
    </mc:Choice>
  </mc:AlternateContent>
  <xr:revisionPtr revIDLastSave="0" documentId="13_ncr:1_{F901C952-82A2-4B7A-87F5-6B75D7C6D070}" xr6:coauthVersionLast="47" xr6:coauthVersionMax="47" xr10:uidLastSave="{00000000-0000-0000-0000-000000000000}"/>
  <bookViews>
    <workbookView xWindow="-110" yWindow="-110" windowWidth="19420" windowHeight="10420" xr2:uid="{ABB15212-F713-4A15-A170-1495F6200CF4}"/>
  </bookViews>
  <sheets>
    <sheet name="Task 1-MTM" sheetId="1" r:id="rId1"/>
    <sheet name="Sheet2" sheetId="3" r:id="rId2"/>
    <sheet name="Sheet1" sheetId="2" r:id="rId3"/>
    <sheet name="Task 2- AIM" sheetId="4" r:id="rId4"/>
    <sheet name="Development Pla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F7" i="5"/>
  <c r="N23" i="4"/>
  <c r="N22" i="4"/>
  <c r="N21" i="4"/>
  <c r="N20" i="4"/>
  <c r="N19" i="4"/>
  <c r="N18" i="4"/>
  <c r="N17" i="4"/>
  <c r="N16" i="4"/>
  <c r="N15" i="4"/>
  <c r="N14" i="4"/>
  <c r="N13" i="4"/>
  <c r="A23" i="4"/>
  <c r="C8" i="4"/>
  <c r="H1" i="4"/>
  <c r="D4" i="4" s="1"/>
  <c r="B21" i="4" s="1"/>
  <c r="G34" i="1"/>
  <c r="G33" i="1"/>
  <c r="G32" i="1"/>
  <c r="G31" i="1"/>
  <c r="G30" i="1"/>
  <c r="C24" i="1"/>
  <c r="F20" i="1"/>
  <c r="F18" i="1"/>
  <c r="C28" i="1"/>
  <c r="L10" i="2"/>
  <c r="L6" i="2"/>
  <c r="M6" i="2" s="1"/>
  <c r="L4" i="2"/>
  <c r="M4" i="2" s="1"/>
  <c r="L2" i="2"/>
  <c r="F14" i="1"/>
  <c r="M12" i="1"/>
  <c r="F12" i="1" s="1"/>
  <c r="M7" i="1"/>
  <c r="N7" i="1" s="1"/>
  <c r="F7" i="1" s="1"/>
  <c r="M3" i="1"/>
  <c r="F3" i="1" s="1"/>
  <c r="M5" i="1"/>
  <c r="N5" i="1" s="1"/>
  <c r="F5" i="1" s="1"/>
  <c r="N3" i="4" l="1"/>
  <c r="N4" i="4"/>
  <c r="N5" i="4"/>
  <c r="N6" i="4"/>
  <c r="N7" i="4"/>
  <c r="B16" i="4"/>
  <c r="N8" i="4"/>
  <c r="D5" i="4"/>
  <c r="B17" i="4" s="1"/>
  <c r="D6" i="4"/>
  <c r="B19" i="4" s="1"/>
  <c r="D8" i="4"/>
  <c r="B23" i="4" s="1"/>
  <c r="D3" i="4"/>
  <c r="B20" i="4"/>
  <c r="D7" i="4"/>
  <c r="B22" i="4" s="1"/>
  <c r="F9" i="1"/>
  <c r="F10" i="1" s="1"/>
  <c r="B15" i="4" l="1"/>
  <c r="B18" i="4"/>
  <c r="B14" i="4"/>
  <c r="B24" i="4" s="1"/>
  <c r="D24" i="4" s="1"/>
  <c r="C25" i="1"/>
  <c r="C29" i="1" s="1"/>
  <c r="C30" i="1" l="1"/>
</calcChain>
</file>

<file path=xl/sharedStrings.xml><?xml version="1.0" encoding="utf-8"?>
<sst xmlns="http://schemas.openxmlformats.org/spreadsheetml/2006/main" count="302" uniqueCount="146">
  <si>
    <t>Motion</t>
  </si>
  <si>
    <t>Distance</t>
  </si>
  <si>
    <t>Hand</t>
  </si>
  <si>
    <t>Left Hand</t>
  </si>
  <si>
    <t>Right Hand</t>
  </si>
  <si>
    <t>TMU (Time Measurement Unit)</t>
  </si>
  <si>
    <t>Reaching for Badge</t>
  </si>
  <si>
    <t>25 cm</t>
  </si>
  <si>
    <t>-</t>
  </si>
  <si>
    <t>Yes</t>
  </si>
  <si>
    <t>40 cm</t>
  </si>
  <si>
    <t>60 cm</t>
  </si>
  <si>
    <t>80 cm</t>
  </si>
  <si>
    <t>Standing Up</t>
  </si>
  <si>
    <t>Value Calculation Chart</t>
  </si>
  <si>
    <t>X1</t>
  </si>
  <si>
    <t>X2</t>
  </si>
  <si>
    <t>X3</t>
  </si>
  <si>
    <t>Y1</t>
  </si>
  <si>
    <t>Y2</t>
  </si>
  <si>
    <t>Y3</t>
  </si>
  <si>
    <t>Grasping the Badge</t>
  </si>
  <si>
    <t>Moving the badge back</t>
  </si>
  <si>
    <t>1A</t>
  </si>
  <si>
    <t>Comment</t>
  </si>
  <si>
    <t>Moving the Badge in Box</t>
  </si>
  <si>
    <t>TMU WITH FACTOR</t>
  </si>
  <si>
    <t>Comments</t>
  </si>
  <si>
    <t>The lowest weight was chosen</t>
  </si>
  <si>
    <t>A</t>
  </si>
  <si>
    <t>Reaching Back to Waist (Move back)</t>
  </si>
  <si>
    <t>Reaching for Empty Box</t>
  </si>
  <si>
    <t>Grasping the box</t>
  </si>
  <si>
    <t>Move Empty Box</t>
  </si>
  <si>
    <t>Positioning the box</t>
  </si>
  <si>
    <t>Release the box</t>
  </si>
  <si>
    <t>Sit down</t>
  </si>
  <si>
    <t>YES</t>
  </si>
  <si>
    <t xml:space="preserve"> </t>
  </si>
  <si>
    <t>Rest Factor</t>
  </si>
  <si>
    <t>Environmental Factor</t>
  </si>
  <si>
    <t>Shift per day</t>
  </si>
  <si>
    <t>Time per shift</t>
  </si>
  <si>
    <t>TMU</t>
  </si>
  <si>
    <t>Seconds</t>
  </si>
  <si>
    <t>Hours</t>
  </si>
  <si>
    <t>Boxes per day</t>
  </si>
  <si>
    <t>Badges per day</t>
  </si>
  <si>
    <t>average time required for a complete packing cycle</t>
  </si>
  <si>
    <t xml:space="preserve">Release  </t>
  </si>
  <si>
    <t>Eye focus</t>
  </si>
  <si>
    <t xml:space="preserve"> Grasping and eye tracking is considered one activity.</t>
  </si>
  <si>
    <t>For placing the badges in the box</t>
  </si>
  <si>
    <t>For Replacing the box</t>
  </si>
  <si>
    <t>Total TMU for replacing the box</t>
  </si>
  <si>
    <t>Total TMU for 1 box</t>
  </si>
  <si>
    <t>Total Base Time for 1 Cycle</t>
  </si>
  <si>
    <t>Total Base Time for 1 Cycle(Seconds)</t>
  </si>
  <si>
    <t>Total time for putting 1 badge</t>
  </si>
  <si>
    <t>Time for putting 30 badges</t>
  </si>
  <si>
    <t>Boxes and Badges per Day Calculation</t>
  </si>
  <si>
    <t>B</t>
  </si>
  <si>
    <t>Weight need to be packed</t>
  </si>
  <si>
    <t>KG</t>
  </si>
  <si>
    <t>Gram</t>
  </si>
  <si>
    <t>1 Worker can pack</t>
  </si>
  <si>
    <t>Badges</t>
  </si>
  <si>
    <t>Total Number of worker needed</t>
  </si>
  <si>
    <t>Actual Number of worker</t>
  </si>
  <si>
    <t>Height of pallet</t>
  </si>
  <si>
    <t xml:space="preserve">Basic Data </t>
  </si>
  <si>
    <t>Values</t>
  </si>
  <si>
    <t>Unit</t>
  </si>
  <si>
    <t>Distance between packing positions and trailers/tow tractor (A)</t>
  </si>
  <si>
    <t>Distance between unloading position and trailers/tow tractor (B)</t>
  </si>
  <si>
    <t>meters</t>
  </si>
  <si>
    <t xml:space="preserve"> Distance between A and B (D)</t>
  </si>
  <si>
    <t>Total weight to transport</t>
  </si>
  <si>
    <t>kg</t>
  </si>
  <si>
    <t>Weight of a single badge</t>
  </si>
  <si>
    <t>Grams</t>
  </si>
  <si>
    <t xml:space="preserve"> Badges per box</t>
  </si>
  <si>
    <t>Total weight of 1 full box</t>
  </si>
  <si>
    <t>Kg</t>
  </si>
  <si>
    <t>Box size</t>
  </si>
  <si>
    <t>150 x 300 x 100</t>
  </si>
  <si>
    <t>Height of the pallet</t>
  </si>
  <si>
    <t>mm</t>
  </si>
  <si>
    <t>Pallet size(EUR1)</t>
  </si>
  <si>
    <t>1200 x 800</t>
  </si>
  <si>
    <t>Number of boxes per pallet</t>
  </si>
  <si>
    <t>The number of badges required in a day</t>
  </si>
  <si>
    <t>The number of boxes needed is</t>
  </si>
  <si>
    <t>boxes</t>
  </si>
  <si>
    <t xml:space="preserve">Total number of pallets needed are </t>
  </si>
  <si>
    <t xml:space="preserve">Total time needed for 1 pallet is </t>
  </si>
  <si>
    <t>Second</t>
  </si>
  <si>
    <t>Operation</t>
  </si>
  <si>
    <t>Notation</t>
  </si>
  <si>
    <t>Time</t>
  </si>
  <si>
    <t>Transporting time (loaded)</t>
  </si>
  <si>
    <t>Transporting time (empty)</t>
  </si>
  <si>
    <t xml:space="preserve"> Loading time (L)</t>
  </si>
  <si>
    <t xml:space="preserve"> Unloading time (U)</t>
  </si>
  <si>
    <t>Starting and stopping (SS)</t>
  </si>
  <si>
    <t>Changing direction (CD)</t>
  </si>
  <si>
    <t>Time(10^-2 min/m)</t>
  </si>
  <si>
    <t>Actual Time</t>
  </si>
  <si>
    <t>SS</t>
  </si>
  <si>
    <t>CD</t>
  </si>
  <si>
    <t>U</t>
  </si>
  <si>
    <t>L</t>
  </si>
  <si>
    <t>L3</t>
  </si>
  <si>
    <t>U3</t>
  </si>
  <si>
    <t>TT- L</t>
  </si>
  <si>
    <t>TT-WL</t>
  </si>
  <si>
    <t>Seconds/m</t>
  </si>
  <si>
    <t xml:space="preserve">Seconds </t>
  </si>
  <si>
    <t>EFT + TT2TR + EFT (Basic Time Needed)</t>
  </si>
  <si>
    <t>Time for One Round Trip (A to B and back to A)</t>
  </si>
  <si>
    <t>Loading Tow Truck</t>
  </si>
  <si>
    <t>Travel from A to B (260 m)</t>
  </si>
  <si>
    <t>Unloading of Tow Tractor</t>
  </si>
  <si>
    <t>Unloading of 2 Trailers</t>
  </si>
  <si>
    <t>Travel from B to A (260 m)</t>
  </si>
  <si>
    <t>Start and Stop</t>
  </si>
  <si>
    <t>Total Time Needed</t>
  </si>
  <si>
    <t>Moving Load to the Trailer and Tow Truck</t>
  </si>
  <si>
    <t>Coming back to the loading site</t>
  </si>
  <si>
    <t>Load trailers A</t>
  </si>
  <si>
    <t>EPT (Basic Time Needed)</t>
  </si>
  <si>
    <t>EPT-L</t>
  </si>
  <si>
    <t>EPT-WL</t>
  </si>
  <si>
    <t>Starting and Stopping</t>
  </si>
  <si>
    <t>Load at Packing Zone</t>
  </si>
  <si>
    <t>Travel time (To point A, 10 m)</t>
  </si>
  <si>
    <t>Travel time (A to B, 260 m)</t>
  </si>
  <si>
    <t>Travel time (unloading position, 20 m)</t>
  </si>
  <si>
    <t>Unload time at Unloading Position</t>
  </si>
  <si>
    <t>Travel time (unloading position to B, 20 m)</t>
  </si>
  <si>
    <t>Travel time (B to A, 260 m)</t>
  </si>
  <si>
    <t>Travel Time (To the Packing Zone, 10m)</t>
  </si>
  <si>
    <t>Changing Direction</t>
  </si>
  <si>
    <t>Previous TMU</t>
  </si>
  <si>
    <t>Saved TMU</t>
  </si>
  <si>
    <t>Final TMU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</si>
</sst>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4" xfId="0" applyBorder="1"/>
    <xf numFmtId="0" fontId="0" fillId="3" borderId="0" xfId="0" applyFill="1"/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5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8" xfId="0" applyFill="1" applyBorder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0" xfId="0" applyFill="1"/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392C-A61A-4D9E-A654-06FD6D1DACE3}">
  <dimension ref="A1:S37"/>
  <sheetViews>
    <sheetView tabSelected="1" topLeftCell="B6" zoomScale="64" zoomScaleNormal="106" workbookViewId="0">
      <selection activeCell="B27" sqref="B27"/>
    </sheetView>
  </sheetViews>
  <sheetFormatPr defaultColWidth="15.1796875" defaultRowHeight="14.5" x14ac:dyDescent="0.35"/>
  <cols>
    <col min="2" max="2" width="40.1796875" bestFit="1" customWidth="1"/>
    <col min="4" max="4" width="15.1796875" style="20"/>
    <col min="6" max="6" width="27" bestFit="1" customWidth="1"/>
    <col min="11" max="11" width="20.26953125" bestFit="1" customWidth="1"/>
    <col min="15" max="15" width="25.1796875" bestFit="1" customWidth="1"/>
  </cols>
  <sheetData>
    <row r="1" spans="1:19" ht="43.5" x14ac:dyDescent="0.35">
      <c r="B1" s="5"/>
      <c r="C1" s="5"/>
      <c r="D1" s="37" t="s">
        <v>2</v>
      </c>
      <c r="E1" s="37"/>
      <c r="F1" s="5"/>
      <c r="H1" s="3" t="s">
        <v>14</v>
      </c>
      <c r="I1" s="3"/>
      <c r="J1" s="1"/>
      <c r="K1" s="1"/>
      <c r="L1" s="1"/>
      <c r="M1" s="1"/>
      <c r="N1" s="1"/>
    </row>
    <row r="2" spans="1:19" ht="29" x14ac:dyDescent="0.35">
      <c r="A2" s="14"/>
      <c r="B2" s="9" t="s">
        <v>0</v>
      </c>
      <c r="C2" s="9" t="s">
        <v>1</v>
      </c>
      <c r="D2" s="9" t="s">
        <v>3</v>
      </c>
      <c r="E2" s="9" t="s">
        <v>4</v>
      </c>
      <c r="F2" s="9" t="s">
        <v>5</v>
      </c>
      <c r="G2" s="9" t="s">
        <v>24</v>
      </c>
      <c r="H2" s="10" t="s">
        <v>15</v>
      </c>
      <c r="I2" s="11" t="s">
        <v>18</v>
      </c>
      <c r="J2" s="11" t="s">
        <v>16</v>
      </c>
      <c r="K2" s="11" t="s">
        <v>19</v>
      </c>
      <c r="L2" s="11" t="s">
        <v>17</v>
      </c>
      <c r="M2" s="11" t="s">
        <v>20</v>
      </c>
      <c r="N2" s="11" t="s">
        <v>26</v>
      </c>
      <c r="O2" s="12" t="s">
        <v>27</v>
      </c>
      <c r="R2" s="12" t="s">
        <v>69</v>
      </c>
      <c r="S2">
        <v>1500</v>
      </c>
    </row>
    <row r="3" spans="1:19" x14ac:dyDescent="0.35">
      <c r="A3" s="38" t="s">
        <v>52</v>
      </c>
      <c r="B3" s="6" t="s">
        <v>6</v>
      </c>
      <c r="C3" s="7" t="s">
        <v>7</v>
      </c>
      <c r="D3" s="16" t="s">
        <v>61</v>
      </c>
      <c r="E3" s="7" t="s">
        <v>61</v>
      </c>
      <c r="F3" s="7">
        <f>M3</f>
        <v>11.388</v>
      </c>
      <c r="G3" s="1"/>
      <c r="H3" s="4">
        <v>22.9</v>
      </c>
      <c r="I3" s="1">
        <v>10.8</v>
      </c>
      <c r="J3" s="1">
        <v>25.4</v>
      </c>
      <c r="K3" s="1">
        <v>11.5</v>
      </c>
      <c r="L3" s="1">
        <v>25</v>
      </c>
      <c r="M3" s="1">
        <f>(((K3-I3)*(L3-H3))/(J3-H3))+I3</f>
        <v>11.388</v>
      </c>
      <c r="N3" s="1"/>
      <c r="O3" s="1" t="s">
        <v>28</v>
      </c>
    </row>
    <row r="4" spans="1:19" x14ac:dyDescent="0.35">
      <c r="A4" s="38"/>
      <c r="B4" s="6" t="s">
        <v>21</v>
      </c>
      <c r="C4" s="7" t="s">
        <v>8</v>
      </c>
      <c r="D4" s="16" t="s">
        <v>8</v>
      </c>
      <c r="E4" s="7" t="s">
        <v>23</v>
      </c>
      <c r="F4" s="7">
        <v>2</v>
      </c>
      <c r="G4" s="1"/>
      <c r="H4" s="4"/>
      <c r="I4" s="1"/>
      <c r="J4" s="1"/>
      <c r="K4" s="1"/>
      <c r="L4" s="1"/>
      <c r="M4" s="1"/>
      <c r="N4" s="1"/>
      <c r="O4" s="1"/>
    </row>
    <row r="5" spans="1:19" x14ac:dyDescent="0.35">
      <c r="A5" s="38"/>
      <c r="B5" s="6" t="s">
        <v>22</v>
      </c>
      <c r="C5" s="7" t="s">
        <v>8</v>
      </c>
      <c r="D5" s="16" t="s">
        <v>29</v>
      </c>
      <c r="E5" s="7" t="s">
        <v>29</v>
      </c>
      <c r="F5" s="7">
        <f>N5</f>
        <v>11.172000000000001</v>
      </c>
      <c r="G5" s="1"/>
      <c r="H5" s="4">
        <v>22.9</v>
      </c>
      <c r="I5" s="1">
        <v>10.5</v>
      </c>
      <c r="J5" s="1">
        <v>25.4</v>
      </c>
      <c r="K5" s="1">
        <v>11.3</v>
      </c>
      <c r="L5" s="1">
        <v>25</v>
      </c>
      <c r="M5" s="1">
        <f>(((K5-I5)*(L5-H5))/(J5-H5))+I5</f>
        <v>11.172000000000001</v>
      </c>
      <c r="N5" s="1">
        <f>M5*1</f>
        <v>11.172000000000001</v>
      </c>
      <c r="O5" s="1"/>
    </row>
    <row r="6" spans="1:19" ht="58" x14ac:dyDescent="0.35">
      <c r="A6" s="38"/>
      <c r="B6" s="6" t="s">
        <v>50</v>
      </c>
      <c r="C6" s="7" t="s">
        <v>8</v>
      </c>
      <c r="D6" s="16" t="s">
        <v>8</v>
      </c>
      <c r="E6" s="7" t="s">
        <v>8</v>
      </c>
      <c r="F6" s="8">
        <v>7.3</v>
      </c>
      <c r="G6" s="16" t="s">
        <v>51</v>
      </c>
      <c r="H6" s="4"/>
      <c r="I6" s="1"/>
      <c r="J6" s="1"/>
      <c r="K6" s="1"/>
      <c r="L6" s="1"/>
      <c r="M6" s="1"/>
      <c r="N6" s="1"/>
      <c r="O6" s="1"/>
    </row>
    <row r="7" spans="1:19" x14ac:dyDescent="0.35">
      <c r="A7" s="38"/>
      <c r="B7" s="6" t="s">
        <v>25</v>
      </c>
      <c r="C7" s="7" t="s">
        <v>10</v>
      </c>
      <c r="D7" s="16" t="s">
        <v>61</v>
      </c>
      <c r="E7" s="7" t="s">
        <v>8</v>
      </c>
      <c r="F7" s="7">
        <f>N7</f>
        <v>15.656000000000001</v>
      </c>
      <c r="G7" s="13"/>
      <c r="H7" s="1">
        <v>35.6</v>
      </c>
      <c r="I7" s="1">
        <v>14.6</v>
      </c>
      <c r="J7" s="1">
        <v>40.6</v>
      </c>
      <c r="K7" s="1">
        <v>15.8</v>
      </c>
      <c r="L7" s="1">
        <v>40</v>
      </c>
      <c r="M7" s="1">
        <f>(((K7-I7)*(L7-H7))/(J7-H7))+I7</f>
        <v>15.656000000000001</v>
      </c>
      <c r="N7" s="1">
        <f>M7*1</f>
        <v>15.656000000000001</v>
      </c>
      <c r="O7" s="1"/>
    </row>
    <row r="8" spans="1:19" x14ac:dyDescent="0.35">
      <c r="A8" s="38"/>
      <c r="B8" s="6" t="s">
        <v>49</v>
      </c>
      <c r="C8" s="7"/>
      <c r="D8" s="16"/>
      <c r="E8" s="7"/>
      <c r="F8" s="7">
        <v>2</v>
      </c>
      <c r="G8" s="13"/>
      <c r="H8" s="1"/>
      <c r="I8" s="1"/>
      <c r="J8" s="1"/>
      <c r="K8" s="1"/>
      <c r="L8" s="1"/>
      <c r="M8" s="1"/>
      <c r="N8" s="1"/>
      <c r="O8" s="1"/>
    </row>
    <row r="9" spans="1:19" ht="29" x14ac:dyDescent="0.35">
      <c r="A9" s="1"/>
      <c r="B9" s="6"/>
      <c r="C9" s="7"/>
      <c r="D9" s="16"/>
      <c r="E9" s="22" t="s">
        <v>58</v>
      </c>
      <c r="F9" s="7">
        <f>SUM(F3:F8)</f>
        <v>49.516000000000005</v>
      </c>
      <c r="G9" s="2"/>
      <c r="H9" s="1"/>
      <c r="I9" s="1"/>
      <c r="J9" s="1"/>
      <c r="K9" s="1"/>
      <c r="L9" s="1"/>
      <c r="M9" s="1"/>
      <c r="N9" s="1"/>
      <c r="O9" s="1"/>
    </row>
    <row r="10" spans="1:19" ht="29" x14ac:dyDescent="0.35">
      <c r="A10" s="1"/>
      <c r="B10" s="6"/>
      <c r="C10" s="7"/>
      <c r="D10" s="16"/>
      <c r="E10" s="22" t="s">
        <v>59</v>
      </c>
      <c r="F10" s="7">
        <f>F9*30</f>
        <v>1485.4800000000002</v>
      </c>
      <c r="G10" s="2"/>
      <c r="H10" s="1"/>
      <c r="I10" s="1"/>
      <c r="J10" s="1"/>
      <c r="K10" s="1"/>
      <c r="L10" s="1"/>
      <c r="M10" s="1"/>
      <c r="N10" s="1"/>
      <c r="O10" s="1"/>
    </row>
    <row r="11" spans="1:19" x14ac:dyDescent="0.35">
      <c r="A11" s="38" t="s">
        <v>53</v>
      </c>
      <c r="B11" s="23" t="s">
        <v>13</v>
      </c>
      <c r="C11" s="24"/>
      <c r="D11" s="24"/>
      <c r="E11" s="7"/>
      <c r="F11" s="7">
        <v>43.4</v>
      </c>
      <c r="G11" s="7"/>
      <c r="H11" s="4"/>
      <c r="I11" s="1"/>
      <c r="J11" s="1"/>
      <c r="K11" s="1"/>
      <c r="L11" s="1"/>
      <c r="M11" s="1"/>
      <c r="N11" s="1"/>
      <c r="O11" s="1"/>
    </row>
    <row r="12" spans="1:19" x14ac:dyDescent="0.35">
      <c r="A12" s="38"/>
      <c r="B12" s="6" t="s">
        <v>31</v>
      </c>
      <c r="C12" s="16" t="s">
        <v>11</v>
      </c>
      <c r="D12" s="16" t="s">
        <v>9</v>
      </c>
      <c r="E12" s="7" t="s">
        <v>9</v>
      </c>
      <c r="F12" s="7">
        <f>M12</f>
        <v>14.723529411764707</v>
      </c>
      <c r="G12" s="1"/>
      <c r="H12" s="4">
        <v>55.9</v>
      </c>
      <c r="I12" s="1">
        <v>14</v>
      </c>
      <c r="J12" s="1">
        <v>61</v>
      </c>
      <c r="K12" s="1">
        <v>14.9</v>
      </c>
      <c r="L12" s="1">
        <v>60</v>
      </c>
      <c r="M12" s="1">
        <f>(((K12-I12)*(L12-H12))/(J12-H12))+I12</f>
        <v>14.723529411764707</v>
      </c>
      <c r="N12" s="1"/>
      <c r="O12" s="1"/>
    </row>
    <row r="13" spans="1:19" x14ac:dyDescent="0.35">
      <c r="A13" s="38"/>
      <c r="B13" s="6" t="s">
        <v>32</v>
      </c>
      <c r="C13" s="16"/>
      <c r="D13" s="16" t="s">
        <v>23</v>
      </c>
      <c r="E13" s="7" t="s">
        <v>23</v>
      </c>
      <c r="F13" s="7">
        <v>2</v>
      </c>
      <c r="G13" s="1"/>
    </row>
    <row r="14" spans="1:19" x14ac:dyDescent="0.35">
      <c r="A14" s="38"/>
      <c r="B14" s="6" t="s">
        <v>33</v>
      </c>
      <c r="C14" s="16" t="s">
        <v>12</v>
      </c>
      <c r="D14" s="16" t="s">
        <v>9</v>
      </c>
      <c r="E14" s="7" t="s">
        <v>37</v>
      </c>
      <c r="F14" s="7">
        <f>((80-76.2)/2.54)*0.85+30.7</f>
        <v>31.971653543307085</v>
      </c>
      <c r="G14" s="1"/>
    </row>
    <row r="15" spans="1:19" x14ac:dyDescent="0.35">
      <c r="A15" s="38"/>
      <c r="B15" s="6" t="s">
        <v>34</v>
      </c>
      <c r="C15" s="7"/>
      <c r="D15" s="16"/>
      <c r="E15" s="7"/>
      <c r="F15" s="7">
        <v>10.4</v>
      </c>
      <c r="G15" s="1"/>
    </row>
    <row r="16" spans="1:19" x14ac:dyDescent="0.35">
      <c r="A16" s="38"/>
      <c r="B16" s="6" t="s">
        <v>35</v>
      </c>
      <c r="C16" s="1"/>
      <c r="D16" s="17"/>
      <c r="E16" s="1" t="s">
        <v>38</v>
      </c>
      <c r="F16" s="7">
        <v>2</v>
      </c>
      <c r="G16" s="1"/>
    </row>
    <row r="17" spans="1:15" x14ac:dyDescent="0.35">
      <c r="A17" s="38"/>
      <c r="B17" s="6" t="s">
        <v>36</v>
      </c>
      <c r="C17" s="1"/>
      <c r="D17" s="17"/>
      <c r="E17" s="1"/>
      <c r="F17" s="7">
        <v>34.700000000000003</v>
      </c>
      <c r="G17" s="1"/>
    </row>
    <row r="18" spans="1:15" ht="29" x14ac:dyDescent="0.35">
      <c r="B18" s="1"/>
      <c r="C18" s="1"/>
      <c r="D18" s="17"/>
      <c r="E18" s="25" t="s">
        <v>54</v>
      </c>
      <c r="F18" s="1">
        <f>SUM(F11:F17)</f>
        <v>139.1951829550718</v>
      </c>
      <c r="G18" s="1"/>
    </row>
    <row r="19" spans="1:15" ht="29" x14ac:dyDescent="0.35">
      <c r="B19" s="1"/>
      <c r="C19" s="1"/>
      <c r="D19" s="17"/>
      <c r="E19" s="1"/>
      <c r="F19" s="1"/>
      <c r="G19" s="1"/>
      <c r="J19" s="26"/>
      <c r="K19" s="9" t="s">
        <v>0</v>
      </c>
      <c r="L19" s="9" t="s">
        <v>1</v>
      </c>
      <c r="M19" s="9" t="s">
        <v>3</v>
      </c>
      <c r="N19" s="9" t="s">
        <v>4</v>
      </c>
      <c r="O19" s="9" t="s">
        <v>5</v>
      </c>
    </row>
    <row r="20" spans="1:15" ht="29" customHeight="1" x14ac:dyDescent="0.35">
      <c r="B20" s="1"/>
      <c r="C20" s="1"/>
      <c r="D20" s="17"/>
      <c r="E20" s="16" t="s">
        <v>55</v>
      </c>
      <c r="F20" s="1">
        <f>SUM(F10+F18)</f>
        <v>1624.6751829550722</v>
      </c>
      <c r="G20" s="1"/>
      <c r="J20" s="39" t="s">
        <v>53</v>
      </c>
      <c r="K20" s="27" t="s">
        <v>13</v>
      </c>
      <c r="L20" s="27"/>
      <c r="M20" s="27"/>
      <c r="N20" s="27"/>
      <c r="O20" s="27">
        <v>43.4</v>
      </c>
    </row>
    <row r="21" spans="1:15" x14ac:dyDescent="0.35">
      <c r="B21" s="40" t="s">
        <v>60</v>
      </c>
      <c r="C21" s="40"/>
      <c r="D21" s="40"/>
      <c r="J21" s="39"/>
      <c r="K21" s="27" t="s">
        <v>31</v>
      </c>
      <c r="L21" s="27" t="s">
        <v>11</v>
      </c>
      <c r="M21" s="27" t="s">
        <v>9</v>
      </c>
      <c r="N21" s="27" t="s">
        <v>9</v>
      </c>
      <c r="O21" s="27">
        <v>14.723529411764707</v>
      </c>
    </row>
    <row r="22" spans="1:15" ht="14.5" customHeight="1" x14ac:dyDescent="0.35">
      <c r="B22" s="17" t="s">
        <v>39</v>
      </c>
      <c r="C22" s="17">
        <v>0.15</v>
      </c>
      <c r="D22" s="17"/>
      <c r="J22" s="39"/>
      <c r="K22" s="27" t="s">
        <v>32</v>
      </c>
      <c r="L22" s="27"/>
      <c r="M22" s="27" t="s">
        <v>23</v>
      </c>
      <c r="N22" s="27" t="s">
        <v>23</v>
      </c>
      <c r="O22" s="27">
        <v>2</v>
      </c>
    </row>
    <row r="23" spans="1:15" ht="14.5" customHeight="1" x14ac:dyDescent="0.35">
      <c r="B23" s="17" t="s">
        <v>40</v>
      </c>
      <c r="C23" s="17">
        <v>0.2</v>
      </c>
      <c r="D23" s="17"/>
      <c r="J23" s="39"/>
      <c r="K23" s="27" t="s">
        <v>33</v>
      </c>
      <c r="L23" s="27" t="s">
        <v>12</v>
      </c>
      <c r="M23" s="27" t="s">
        <v>9</v>
      </c>
      <c r="N23" s="27" t="s">
        <v>37</v>
      </c>
      <c r="O23" s="27">
        <v>31.971653543307085</v>
      </c>
    </row>
    <row r="24" spans="1:15" x14ac:dyDescent="0.35">
      <c r="B24" s="18" t="s">
        <v>56</v>
      </c>
      <c r="C24" s="17">
        <f>F20*(1+C22+C23)</f>
        <v>2193.3114969893472</v>
      </c>
      <c r="D24" s="17" t="s">
        <v>43</v>
      </c>
      <c r="J24" s="39"/>
      <c r="K24" s="27" t="s">
        <v>34</v>
      </c>
      <c r="L24" s="27"/>
      <c r="M24" s="27"/>
      <c r="N24" s="27"/>
      <c r="O24" s="27">
        <v>10.4</v>
      </c>
    </row>
    <row r="25" spans="1:15" ht="14.5" customHeight="1" x14ac:dyDescent="0.35">
      <c r="B25" s="18" t="s">
        <v>57</v>
      </c>
      <c r="C25" s="17">
        <f>C24*0.036</f>
        <v>78.9592138916165</v>
      </c>
      <c r="D25" s="17" t="s">
        <v>44</v>
      </c>
      <c r="E25" s="15" t="s">
        <v>48</v>
      </c>
      <c r="J25" s="39"/>
      <c r="K25" s="27" t="s">
        <v>35</v>
      </c>
      <c r="L25" s="27"/>
      <c r="M25" s="27"/>
      <c r="N25" s="27" t="s">
        <v>38</v>
      </c>
      <c r="O25" s="27">
        <v>2</v>
      </c>
    </row>
    <row r="26" spans="1:15" ht="14.5" customHeight="1" x14ac:dyDescent="0.35">
      <c r="B26" s="17" t="s">
        <v>41</v>
      </c>
      <c r="C26" s="17">
        <v>2</v>
      </c>
      <c r="D26" s="17"/>
      <c r="J26" s="39"/>
      <c r="K26" s="27" t="s">
        <v>36</v>
      </c>
      <c r="L26" s="27"/>
      <c r="M26" s="27"/>
      <c r="N26" s="27"/>
      <c r="O26" s="27">
        <v>34.700000000000003</v>
      </c>
    </row>
    <row r="27" spans="1:15" ht="29" x14ac:dyDescent="0.35">
      <c r="B27" s="17" t="s">
        <v>42</v>
      </c>
      <c r="C27" s="17">
        <v>8</v>
      </c>
      <c r="D27" s="17" t="s">
        <v>45</v>
      </c>
      <c r="J27" s="27"/>
      <c r="K27" s="27"/>
      <c r="L27" s="27"/>
      <c r="M27" s="27"/>
      <c r="N27" s="28" t="s">
        <v>54</v>
      </c>
      <c r="O27" s="27">
        <v>139.1951829550718</v>
      </c>
    </row>
    <row r="28" spans="1:15" x14ac:dyDescent="0.35">
      <c r="B28" s="17" t="s">
        <v>42</v>
      </c>
      <c r="C28" s="17">
        <f>C27*60*60*C26</f>
        <v>57600</v>
      </c>
      <c r="D28" s="17" t="s">
        <v>44</v>
      </c>
      <c r="J28" s="27"/>
      <c r="K28" s="27"/>
      <c r="L28" s="27"/>
      <c r="M28" s="27"/>
      <c r="N28" s="27"/>
      <c r="O28" s="27"/>
    </row>
    <row r="29" spans="1:15" ht="29" x14ac:dyDescent="0.35">
      <c r="B29" s="18" t="s">
        <v>46</v>
      </c>
      <c r="C29" s="18">
        <f>ROUND(C28/C25,0)</f>
        <v>729</v>
      </c>
      <c r="D29" s="17"/>
      <c r="F29" s="1" t="s">
        <v>62</v>
      </c>
      <c r="G29" s="1">
        <v>29364</v>
      </c>
      <c r="H29" s="1" t="s">
        <v>63</v>
      </c>
      <c r="J29" s="29"/>
      <c r="K29" s="29"/>
      <c r="L29" s="29"/>
      <c r="M29" s="29"/>
      <c r="N29" s="30" t="s">
        <v>55</v>
      </c>
      <c r="O29" s="27">
        <v>2181.4751829550701</v>
      </c>
    </row>
    <row r="30" spans="1:15" x14ac:dyDescent="0.35">
      <c r="B30" s="18" t="s">
        <v>47</v>
      </c>
      <c r="C30" s="18">
        <f>C29*30</f>
        <v>21870</v>
      </c>
      <c r="D30" s="17"/>
      <c r="F30" s="31" t="s">
        <v>62</v>
      </c>
      <c r="G30" s="1">
        <f>G29*1000</f>
        <v>29364000</v>
      </c>
      <c r="H30" s="1" t="s">
        <v>64</v>
      </c>
    </row>
    <row r="31" spans="1:15" x14ac:dyDescent="0.35">
      <c r="F31" s="1" t="s">
        <v>65</v>
      </c>
      <c r="G31" s="1">
        <f>C30</f>
        <v>21870</v>
      </c>
      <c r="H31" s="1" t="s">
        <v>66</v>
      </c>
    </row>
    <row r="32" spans="1:15" x14ac:dyDescent="0.35">
      <c r="B32" s="50"/>
      <c r="C32" s="50"/>
      <c r="D32" s="51"/>
      <c r="F32" s="31" t="s">
        <v>65</v>
      </c>
      <c r="G32" s="1">
        <f>G31*60</f>
        <v>1312200</v>
      </c>
      <c r="H32" s="1" t="s">
        <v>64</v>
      </c>
    </row>
    <row r="33" spans="2:8" x14ac:dyDescent="0.35">
      <c r="B33" s="50"/>
      <c r="C33" s="50"/>
      <c r="D33" s="51"/>
      <c r="F33" s="31" t="s">
        <v>67</v>
      </c>
      <c r="G33" s="1">
        <f>G30/G32</f>
        <v>22.377686328303611</v>
      </c>
      <c r="H33" s="1"/>
    </row>
    <row r="34" spans="2:8" x14ac:dyDescent="0.35">
      <c r="B34" s="50"/>
      <c r="C34" s="50"/>
      <c r="D34" s="51"/>
      <c r="F34" s="32" t="s">
        <v>68</v>
      </c>
      <c r="G34" s="1">
        <f>ROUNDUP(G33,0)</f>
        <v>23</v>
      </c>
      <c r="H34" s="1"/>
    </row>
    <row r="35" spans="2:8" x14ac:dyDescent="0.35">
      <c r="B35" s="52"/>
      <c r="C35" s="50"/>
      <c r="D35" s="51"/>
    </row>
    <row r="36" spans="2:8" x14ac:dyDescent="0.35">
      <c r="B36" s="52"/>
      <c r="C36" s="50"/>
      <c r="D36" s="51"/>
    </row>
    <row r="37" spans="2:8" x14ac:dyDescent="0.35">
      <c r="B37" s="52"/>
      <c r="C37" s="50"/>
      <c r="D37" s="51"/>
    </row>
  </sheetData>
  <mergeCells count="5">
    <mergeCell ref="D1:E1"/>
    <mergeCell ref="A3:A8"/>
    <mergeCell ref="A11:A17"/>
    <mergeCell ref="J20:J26"/>
    <mergeCell ref="B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DC7D-B504-4901-97CD-AF67DD5FA23E}">
  <dimension ref="A1:C16"/>
  <sheetViews>
    <sheetView topLeftCell="A5" zoomScale="130" workbookViewId="0">
      <selection activeCell="B16" sqref="B16"/>
    </sheetView>
  </sheetViews>
  <sheetFormatPr defaultRowHeight="14.5" x14ac:dyDescent="0.35"/>
  <cols>
    <col min="1" max="1" width="52.453125" bestFit="1" customWidth="1"/>
    <col min="2" max="2" width="19.453125" bestFit="1" customWidth="1"/>
    <col min="3" max="3" width="6.90625" bestFit="1" customWidth="1"/>
  </cols>
  <sheetData>
    <row r="1" spans="1:3" x14ac:dyDescent="0.35">
      <c r="A1" s="33" t="s">
        <v>70</v>
      </c>
      <c r="B1" s="33" t="s">
        <v>71</v>
      </c>
      <c r="C1" s="33" t="s">
        <v>72</v>
      </c>
    </row>
    <row r="2" spans="1:3" x14ac:dyDescent="0.35">
      <c r="A2" s="34" t="s">
        <v>73</v>
      </c>
      <c r="B2" s="34">
        <v>10</v>
      </c>
      <c r="C2" s="34" t="s">
        <v>75</v>
      </c>
    </row>
    <row r="3" spans="1:3" x14ac:dyDescent="0.35">
      <c r="A3" s="34" t="s">
        <v>74</v>
      </c>
      <c r="B3" s="34">
        <v>20</v>
      </c>
      <c r="C3" s="34" t="s">
        <v>75</v>
      </c>
    </row>
    <row r="4" spans="1:3" x14ac:dyDescent="0.35">
      <c r="A4" s="34" t="s">
        <v>76</v>
      </c>
      <c r="B4" s="34">
        <v>260</v>
      </c>
      <c r="C4" s="34" t="s">
        <v>75</v>
      </c>
    </row>
    <row r="5" spans="1:3" x14ac:dyDescent="0.35">
      <c r="A5" s="34" t="s">
        <v>77</v>
      </c>
      <c r="B5" s="34">
        <v>29364</v>
      </c>
      <c r="C5" s="34" t="s">
        <v>78</v>
      </c>
    </row>
    <row r="6" spans="1:3" x14ac:dyDescent="0.35">
      <c r="A6" s="34" t="s">
        <v>91</v>
      </c>
      <c r="B6" s="34">
        <v>489400</v>
      </c>
      <c r="C6" s="34"/>
    </row>
    <row r="7" spans="1:3" x14ac:dyDescent="0.35">
      <c r="A7" s="34" t="s">
        <v>79</v>
      </c>
      <c r="B7" s="34">
        <v>60</v>
      </c>
      <c r="C7" s="34" t="s">
        <v>80</v>
      </c>
    </row>
    <row r="8" spans="1:3" x14ac:dyDescent="0.35">
      <c r="A8" s="34" t="s">
        <v>81</v>
      </c>
      <c r="B8" s="34">
        <v>40</v>
      </c>
      <c r="C8" s="34"/>
    </row>
    <row r="9" spans="1:3" x14ac:dyDescent="0.35">
      <c r="A9" s="34" t="s">
        <v>82</v>
      </c>
      <c r="B9" s="34">
        <v>2.2000000000000002</v>
      </c>
      <c r="C9" s="34" t="s">
        <v>83</v>
      </c>
    </row>
    <row r="10" spans="1:3" x14ac:dyDescent="0.35">
      <c r="A10" s="34" t="s">
        <v>84</v>
      </c>
      <c r="B10" s="34" t="s">
        <v>85</v>
      </c>
      <c r="C10" s="34" t="s">
        <v>87</v>
      </c>
    </row>
    <row r="11" spans="1:3" x14ac:dyDescent="0.35">
      <c r="A11" s="34" t="s">
        <v>88</v>
      </c>
      <c r="B11" s="34" t="s">
        <v>89</v>
      </c>
      <c r="C11" s="34" t="s">
        <v>87</v>
      </c>
    </row>
    <row r="12" spans="1:3" x14ac:dyDescent="0.35">
      <c r="A12" s="34" t="s">
        <v>86</v>
      </c>
      <c r="B12" s="34">
        <v>1500</v>
      </c>
      <c r="C12" s="34" t="s">
        <v>87</v>
      </c>
    </row>
    <row r="13" spans="1:3" x14ac:dyDescent="0.35">
      <c r="A13" s="34" t="s">
        <v>90</v>
      </c>
      <c r="B13" s="34">
        <v>288</v>
      </c>
      <c r="C13" s="34"/>
    </row>
    <row r="14" spans="1:3" x14ac:dyDescent="0.35">
      <c r="A14" s="34" t="s">
        <v>92</v>
      </c>
      <c r="B14" s="34">
        <v>16314</v>
      </c>
      <c r="C14" s="34" t="s">
        <v>93</v>
      </c>
    </row>
    <row r="15" spans="1:3" x14ac:dyDescent="0.35">
      <c r="A15" s="34" t="s">
        <v>94</v>
      </c>
      <c r="B15" s="34">
        <v>57</v>
      </c>
      <c r="C15" s="34"/>
    </row>
    <row r="16" spans="1:3" x14ac:dyDescent="0.35">
      <c r="A16" s="34" t="s">
        <v>95</v>
      </c>
      <c r="B16" s="34">
        <v>2880</v>
      </c>
      <c r="C16" s="3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1880-5455-4191-A12A-0D1446EA7970}">
  <dimension ref="A1:N15"/>
  <sheetViews>
    <sheetView zoomScale="61" workbookViewId="0">
      <selection activeCell="D19" sqref="D19"/>
    </sheetView>
  </sheetViews>
  <sheetFormatPr defaultRowHeight="14.5" x14ac:dyDescent="0.35"/>
  <cols>
    <col min="1" max="1" width="36.1796875" bestFit="1" customWidth="1"/>
    <col min="2" max="2" width="29.6328125" bestFit="1" customWidth="1"/>
    <col min="4" max="4" width="8.7265625" customWidth="1"/>
    <col min="5" max="5" width="11.6328125" customWidth="1"/>
    <col min="6" max="6" width="17" bestFit="1" customWidth="1"/>
    <col min="7" max="13" width="7" customWidth="1"/>
  </cols>
  <sheetData>
    <row r="1" spans="1:14" ht="29" x14ac:dyDescent="0.35">
      <c r="A1" s="19"/>
      <c r="B1" s="9" t="s">
        <v>0</v>
      </c>
      <c r="E1" s="19"/>
      <c r="F1" s="9" t="s">
        <v>0</v>
      </c>
      <c r="G1" s="10" t="s">
        <v>15</v>
      </c>
      <c r="H1" s="11" t="s">
        <v>18</v>
      </c>
      <c r="I1" s="11" t="s">
        <v>16</v>
      </c>
      <c r="J1" s="11" t="s">
        <v>19</v>
      </c>
      <c r="K1" s="11" t="s">
        <v>17</v>
      </c>
      <c r="L1" s="11" t="s">
        <v>20</v>
      </c>
      <c r="M1" s="11" t="s">
        <v>145</v>
      </c>
    </row>
    <row r="2" spans="1:14" ht="29" customHeight="1" x14ac:dyDescent="0.35">
      <c r="A2" s="41" t="s">
        <v>52</v>
      </c>
      <c r="B2" s="3" t="s">
        <v>6</v>
      </c>
      <c r="E2" s="38" t="s">
        <v>52</v>
      </c>
      <c r="F2" s="3" t="s">
        <v>6</v>
      </c>
      <c r="G2" s="21">
        <v>22.9</v>
      </c>
      <c r="H2" s="17">
        <v>8.3000000000000007</v>
      </c>
      <c r="I2" s="17">
        <v>25.4</v>
      </c>
      <c r="J2" s="17">
        <v>8.6999999999999993</v>
      </c>
      <c r="K2" s="17">
        <v>25</v>
      </c>
      <c r="L2" s="36">
        <f>(((J2-H2)*(K2-G2))/(I2-G2))+H2</f>
        <v>8.6359999999999992</v>
      </c>
      <c r="M2" s="17"/>
    </row>
    <row r="3" spans="1:14" x14ac:dyDescent="0.35">
      <c r="A3" s="41"/>
      <c r="B3" s="3" t="s">
        <v>21</v>
      </c>
      <c r="E3" s="38"/>
      <c r="F3" s="3" t="s">
        <v>21</v>
      </c>
      <c r="G3" s="21"/>
      <c r="H3" s="17"/>
      <c r="I3" s="17"/>
      <c r="J3" s="17"/>
      <c r="K3" s="17"/>
      <c r="L3" s="17"/>
      <c r="M3" s="17"/>
    </row>
    <row r="4" spans="1:14" ht="29" x14ac:dyDescent="0.35">
      <c r="A4" s="41"/>
      <c r="B4" s="3" t="s">
        <v>22</v>
      </c>
      <c r="E4" s="38"/>
      <c r="F4" s="3" t="s">
        <v>22</v>
      </c>
      <c r="G4" s="21">
        <v>22.9</v>
      </c>
      <c r="H4" s="17">
        <v>10.5</v>
      </c>
      <c r="I4" s="17">
        <v>25.4</v>
      </c>
      <c r="J4" s="17">
        <v>11.3</v>
      </c>
      <c r="K4" s="17">
        <v>25</v>
      </c>
      <c r="L4" s="36">
        <f>(((J4-H4)*(K4-G4))/(I4-G4))+H4</f>
        <v>11.172000000000001</v>
      </c>
      <c r="M4" s="36">
        <f>L4*1</f>
        <v>11.172000000000001</v>
      </c>
    </row>
    <row r="5" spans="1:14" x14ac:dyDescent="0.35">
      <c r="A5" s="41"/>
      <c r="B5" s="3" t="s">
        <v>50</v>
      </c>
      <c r="E5" s="38"/>
      <c r="F5" s="3" t="s">
        <v>50</v>
      </c>
      <c r="G5" s="21"/>
      <c r="H5" s="17"/>
      <c r="I5" s="17"/>
      <c r="J5" s="17"/>
      <c r="K5" s="17"/>
      <c r="L5" s="17"/>
      <c r="M5" s="17"/>
    </row>
    <row r="6" spans="1:14" ht="29" x14ac:dyDescent="0.35">
      <c r="A6" s="41"/>
      <c r="B6" s="3" t="s">
        <v>25</v>
      </c>
      <c r="E6" s="38"/>
      <c r="F6" s="3" t="s">
        <v>25</v>
      </c>
      <c r="G6" s="17">
        <v>35.6</v>
      </c>
      <c r="H6" s="17">
        <v>16.899999999999999</v>
      </c>
      <c r="I6" s="17">
        <v>40.6</v>
      </c>
      <c r="J6" s="17">
        <v>18.7</v>
      </c>
      <c r="K6" s="17">
        <v>40</v>
      </c>
      <c r="L6" s="36">
        <f>(((J6-H6)*(K6-G6))/(I6-G6))+H6</f>
        <v>18.483999999999998</v>
      </c>
      <c r="M6" s="36">
        <f>L6*1</f>
        <v>18.483999999999998</v>
      </c>
    </row>
    <row r="7" spans="1:14" ht="14.5" customHeight="1" x14ac:dyDescent="0.35">
      <c r="A7" s="41"/>
      <c r="B7" s="3" t="s">
        <v>49</v>
      </c>
      <c r="E7" s="38"/>
      <c r="F7" s="3" t="s">
        <v>49</v>
      </c>
      <c r="G7" s="17"/>
      <c r="H7" s="17"/>
      <c r="I7" s="17"/>
      <c r="J7" s="17"/>
      <c r="K7" s="17"/>
      <c r="L7" s="17"/>
      <c r="M7" s="17"/>
    </row>
    <row r="8" spans="1:14" ht="29" x14ac:dyDescent="0.35">
      <c r="A8" s="41"/>
      <c r="B8" s="3" t="s">
        <v>30</v>
      </c>
      <c r="E8" s="38"/>
      <c r="F8" s="3" t="s">
        <v>30</v>
      </c>
      <c r="G8" s="17"/>
      <c r="H8" s="17"/>
      <c r="I8" s="17"/>
      <c r="J8" s="17"/>
      <c r="K8" s="17"/>
      <c r="L8" s="17"/>
      <c r="M8" s="17"/>
    </row>
    <row r="9" spans="1:14" ht="29" customHeight="1" x14ac:dyDescent="0.35">
      <c r="A9" s="38"/>
      <c r="B9" s="3" t="s">
        <v>32</v>
      </c>
      <c r="E9" s="38" t="s">
        <v>53</v>
      </c>
      <c r="F9" s="3" t="s">
        <v>13</v>
      </c>
      <c r="G9" s="21"/>
      <c r="H9" s="17"/>
      <c r="I9" s="17"/>
      <c r="J9" s="17"/>
      <c r="K9" s="17"/>
      <c r="L9" s="17"/>
      <c r="M9" s="17"/>
      <c r="N9" s="20"/>
    </row>
    <row r="10" spans="1:14" ht="29" x14ac:dyDescent="0.35">
      <c r="A10" s="38"/>
      <c r="B10" s="3" t="s">
        <v>33</v>
      </c>
      <c r="E10" s="38"/>
      <c r="F10" s="3" t="s">
        <v>31</v>
      </c>
      <c r="G10" s="21">
        <v>55.9</v>
      </c>
      <c r="H10" s="17">
        <v>14</v>
      </c>
      <c r="I10" s="17">
        <v>61</v>
      </c>
      <c r="J10" s="17">
        <v>14.9</v>
      </c>
      <c r="K10" s="17">
        <v>60</v>
      </c>
      <c r="L10" s="36">
        <f>(((J10-H10)*(K10-G10))/(I10-G10))+H10</f>
        <v>14.723529411764707</v>
      </c>
      <c r="M10" s="17"/>
      <c r="N10" s="20"/>
    </row>
    <row r="11" spans="1:14" x14ac:dyDescent="0.35">
      <c r="A11" s="38"/>
      <c r="B11" s="3" t="s">
        <v>34</v>
      </c>
      <c r="E11" s="38"/>
      <c r="F11" s="3" t="s">
        <v>32</v>
      </c>
      <c r="G11" s="17"/>
      <c r="H11" s="17"/>
      <c r="I11" s="17"/>
      <c r="J11" s="17"/>
      <c r="K11" s="17"/>
      <c r="L11" s="17"/>
      <c r="M11" s="17"/>
      <c r="N11" s="20"/>
    </row>
    <row r="12" spans="1:14" x14ac:dyDescent="0.35">
      <c r="A12" s="38"/>
      <c r="B12" s="3" t="s">
        <v>35</v>
      </c>
      <c r="E12" s="38"/>
      <c r="F12" s="3" t="s">
        <v>33</v>
      </c>
      <c r="G12" s="17"/>
      <c r="H12" s="17"/>
      <c r="I12" s="17"/>
      <c r="J12" s="17"/>
      <c r="K12" s="17"/>
      <c r="L12" s="17"/>
      <c r="M12" s="17"/>
      <c r="N12" s="20"/>
    </row>
    <row r="13" spans="1:14" x14ac:dyDescent="0.35">
      <c r="A13" s="38"/>
      <c r="B13" s="3" t="s">
        <v>36</v>
      </c>
      <c r="E13" s="38"/>
      <c r="F13" s="3" t="s">
        <v>34</v>
      </c>
      <c r="G13" s="17"/>
      <c r="H13" s="17"/>
      <c r="I13" s="17"/>
      <c r="J13" s="17"/>
      <c r="K13" s="17"/>
      <c r="L13" s="17"/>
      <c r="M13" s="17"/>
      <c r="N13" s="20"/>
    </row>
    <row r="14" spans="1:14" x14ac:dyDescent="0.35">
      <c r="E14" s="38"/>
      <c r="F14" s="3" t="s">
        <v>35</v>
      </c>
      <c r="G14" s="17"/>
      <c r="H14" s="17"/>
      <c r="I14" s="17"/>
      <c r="J14" s="17"/>
      <c r="K14" s="17"/>
      <c r="L14" s="17"/>
      <c r="M14" s="17"/>
      <c r="N14" s="20"/>
    </row>
    <row r="15" spans="1:14" x14ac:dyDescent="0.35">
      <c r="E15" s="38"/>
      <c r="F15" s="3" t="s">
        <v>36</v>
      </c>
      <c r="G15" s="17"/>
      <c r="H15" s="17"/>
      <c r="I15" s="17"/>
      <c r="J15" s="17"/>
      <c r="K15" s="17"/>
      <c r="L15" s="17"/>
      <c r="M15" s="17"/>
      <c r="N15" s="20"/>
    </row>
  </sheetData>
  <mergeCells count="4">
    <mergeCell ref="A2:A8"/>
    <mergeCell ref="A9:A13"/>
    <mergeCell ref="E2:E8"/>
    <mergeCell ref="E9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7F19-564D-43A7-986F-4CBE3D150671}">
  <dimension ref="A1:O24"/>
  <sheetViews>
    <sheetView zoomScale="61" workbookViewId="0">
      <selection activeCell="N14" sqref="N14"/>
    </sheetView>
  </sheetViews>
  <sheetFormatPr defaultRowHeight="14.5" x14ac:dyDescent="0.35"/>
  <cols>
    <col min="1" max="1" width="33.453125" bestFit="1" customWidth="1"/>
    <col min="2" max="2" width="11.6328125" customWidth="1"/>
    <col min="3" max="3" width="16.26953125" customWidth="1"/>
    <col min="4" max="4" width="20.81640625" customWidth="1"/>
    <col min="5" max="5" width="9.90625" bestFit="1" customWidth="1"/>
    <col min="11" max="11" width="47.54296875" bestFit="1" customWidth="1"/>
    <col min="12" max="12" width="7.81640625" bestFit="1" customWidth="1"/>
    <col min="13" max="13" width="37.7265625" bestFit="1" customWidth="1"/>
    <col min="14" max="14" width="10.26953125" bestFit="1" customWidth="1"/>
    <col min="15" max="15" width="9.90625" bestFit="1" customWidth="1"/>
  </cols>
  <sheetData>
    <row r="1" spans="1:15" x14ac:dyDescent="0.35">
      <c r="A1" s="42" t="s">
        <v>118</v>
      </c>
      <c r="B1" s="42"/>
      <c r="C1" s="42"/>
      <c r="D1" s="42"/>
      <c r="E1" s="42"/>
      <c r="H1">
        <f>(10^-2)*60</f>
        <v>0.6</v>
      </c>
      <c r="K1" s="42" t="s">
        <v>130</v>
      </c>
      <c r="L1" s="42"/>
      <c r="M1" s="42"/>
      <c r="N1" s="42"/>
      <c r="O1" s="42"/>
    </row>
    <row r="2" spans="1:15" x14ac:dyDescent="0.35">
      <c r="A2" s="18" t="s">
        <v>97</v>
      </c>
      <c r="B2" s="18" t="s">
        <v>98</v>
      </c>
      <c r="C2" s="18" t="s">
        <v>106</v>
      </c>
      <c r="D2" s="18" t="s">
        <v>107</v>
      </c>
      <c r="E2" s="18" t="s">
        <v>72</v>
      </c>
      <c r="K2" s="18" t="s">
        <v>97</v>
      </c>
      <c r="L2" s="18" t="s">
        <v>98</v>
      </c>
      <c r="M2" s="18" t="s">
        <v>106</v>
      </c>
      <c r="N2" s="18" t="s">
        <v>107</v>
      </c>
      <c r="O2" s="18" t="s">
        <v>72</v>
      </c>
    </row>
    <row r="3" spans="1:15" x14ac:dyDescent="0.35">
      <c r="A3" s="17" t="s">
        <v>100</v>
      </c>
      <c r="B3" s="17" t="s">
        <v>114</v>
      </c>
      <c r="C3" s="17">
        <v>0.8</v>
      </c>
      <c r="D3" s="17">
        <f>C3*$H$1</f>
        <v>0.48</v>
      </c>
      <c r="E3" s="1" t="s">
        <v>116</v>
      </c>
      <c r="K3" s="17" t="s">
        <v>100</v>
      </c>
      <c r="L3" s="17" t="s">
        <v>131</v>
      </c>
      <c r="M3" s="17">
        <v>1.5</v>
      </c>
      <c r="N3" s="17">
        <f>M3*$H$1</f>
        <v>0.89999999999999991</v>
      </c>
      <c r="O3" s="1" t="s">
        <v>116</v>
      </c>
    </row>
    <row r="4" spans="1:15" x14ac:dyDescent="0.35">
      <c r="A4" s="17" t="s">
        <v>101</v>
      </c>
      <c r="B4" s="17" t="s">
        <v>115</v>
      </c>
      <c r="C4" s="17">
        <v>0.6</v>
      </c>
      <c r="D4" s="17">
        <f t="shared" ref="D4:D8" si="0">C4*$H$1</f>
        <v>0.36</v>
      </c>
      <c r="E4" s="1" t="s">
        <v>116</v>
      </c>
      <c r="K4" s="17" t="s">
        <v>101</v>
      </c>
      <c r="L4" s="17" t="s">
        <v>132</v>
      </c>
      <c r="M4" s="17">
        <v>1</v>
      </c>
      <c r="N4" s="17">
        <f t="shared" ref="N4:N8" si="1">M4*$H$1</f>
        <v>0.6</v>
      </c>
      <c r="O4" s="1" t="s">
        <v>116</v>
      </c>
    </row>
    <row r="5" spans="1:15" x14ac:dyDescent="0.35">
      <c r="A5" s="17" t="s">
        <v>102</v>
      </c>
      <c r="B5" s="17" t="s">
        <v>112</v>
      </c>
      <c r="C5" s="17">
        <v>60</v>
      </c>
      <c r="D5" s="17">
        <f t="shared" si="0"/>
        <v>36</v>
      </c>
      <c r="E5" s="1" t="s">
        <v>117</v>
      </c>
      <c r="K5" s="17" t="s">
        <v>102</v>
      </c>
      <c r="L5" s="17" t="s">
        <v>111</v>
      </c>
      <c r="M5" s="17">
        <v>22</v>
      </c>
      <c r="N5" s="17">
        <f t="shared" si="1"/>
        <v>13.2</v>
      </c>
      <c r="O5" s="1" t="s">
        <v>117</v>
      </c>
    </row>
    <row r="6" spans="1:15" x14ac:dyDescent="0.35">
      <c r="A6" s="17" t="s">
        <v>103</v>
      </c>
      <c r="B6" s="17" t="s">
        <v>113</v>
      </c>
      <c r="C6" s="17">
        <v>65</v>
      </c>
      <c r="D6" s="17">
        <f t="shared" si="0"/>
        <v>39</v>
      </c>
      <c r="E6" s="1" t="s">
        <v>117</v>
      </c>
      <c r="K6" s="17" t="s">
        <v>103</v>
      </c>
      <c r="L6" s="17" t="s">
        <v>110</v>
      </c>
      <c r="M6" s="17">
        <v>20</v>
      </c>
      <c r="N6" s="17">
        <f t="shared" si="1"/>
        <v>12</v>
      </c>
      <c r="O6" s="1" t="s">
        <v>117</v>
      </c>
    </row>
    <row r="7" spans="1:15" x14ac:dyDescent="0.35">
      <c r="A7" s="17" t="s">
        <v>104</v>
      </c>
      <c r="B7" s="17" t="s">
        <v>108</v>
      </c>
      <c r="C7" s="17">
        <v>16</v>
      </c>
      <c r="D7" s="17">
        <f t="shared" si="0"/>
        <v>9.6</v>
      </c>
      <c r="E7" s="1" t="s">
        <v>117</v>
      </c>
      <c r="K7" s="17" t="s">
        <v>104</v>
      </c>
      <c r="L7" s="17" t="s">
        <v>108</v>
      </c>
      <c r="M7" s="17">
        <v>18</v>
      </c>
      <c r="N7" s="17">
        <f t="shared" si="1"/>
        <v>10.799999999999999</v>
      </c>
      <c r="O7" s="1" t="s">
        <v>117</v>
      </c>
    </row>
    <row r="8" spans="1:15" x14ac:dyDescent="0.35">
      <c r="A8" s="17" t="s">
        <v>105</v>
      </c>
      <c r="B8" s="17" t="s">
        <v>109</v>
      </c>
      <c r="C8" s="17">
        <f>18*2</f>
        <v>36</v>
      </c>
      <c r="D8" s="17">
        <f t="shared" si="0"/>
        <v>21.599999999999998</v>
      </c>
      <c r="E8" s="1" t="s">
        <v>117</v>
      </c>
      <c r="K8" s="17" t="s">
        <v>105</v>
      </c>
      <c r="L8" s="17" t="s">
        <v>109</v>
      </c>
      <c r="M8" s="17">
        <v>11</v>
      </c>
      <c r="N8" s="17">
        <f t="shared" si="1"/>
        <v>6.6</v>
      </c>
      <c r="O8" s="1" t="s">
        <v>117</v>
      </c>
    </row>
    <row r="11" spans="1:15" x14ac:dyDescent="0.35">
      <c r="M11" s="43" t="s">
        <v>119</v>
      </c>
      <c r="N11" s="44"/>
      <c r="O11" s="45"/>
    </row>
    <row r="12" spans="1:15" x14ac:dyDescent="0.35">
      <c r="A12" s="46" t="s">
        <v>119</v>
      </c>
      <c r="B12" s="46"/>
      <c r="C12" s="46"/>
      <c r="D12" s="35"/>
      <c r="E12" s="35"/>
      <c r="M12" s="18" t="s">
        <v>97</v>
      </c>
      <c r="N12" s="18" t="s">
        <v>99</v>
      </c>
      <c r="O12" s="18" t="s">
        <v>72</v>
      </c>
    </row>
    <row r="13" spans="1:15" x14ac:dyDescent="0.35">
      <c r="A13" s="18" t="s">
        <v>97</v>
      </c>
      <c r="B13" s="18" t="s">
        <v>99</v>
      </c>
      <c r="C13" s="31" t="s">
        <v>72</v>
      </c>
      <c r="M13" s="17" t="s">
        <v>134</v>
      </c>
      <c r="N13" s="17">
        <f>N5</f>
        <v>13.2</v>
      </c>
      <c r="O13" s="17" t="s">
        <v>44</v>
      </c>
    </row>
    <row r="14" spans="1:15" x14ac:dyDescent="0.35">
      <c r="A14" s="17" t="s">
        <v>127</v>
      </c>
      <c r="B14" s="17">
        <f>D3*10*3</f>
        <v>14.399999999999999</v>
      </c>
      <c r="C14" s="17" t="s">
        <v>44</v>
      </c>
      <c r="M14" s="17" t="s">
        <v>135</v>
      </c>
      <c r="N14" s="17">
        <f>10*N3</f>
        <v>9</v>
      </c>
      <c r="O14" s="17" t="s">
        <v>44</v>
      </c>
    </row>
    <row r="15" spans="1:15" x14ac:dyDescent="0.35">
      <c r="A15" s="17" t="s">
        <v>129</v>
      </c>
      <c r="B15" s="17">
        <f>2*D5</f>
        <v>72</v>
      </c>
      <c r="C15" s="17" t="s">
        <v>44</v>
      </c>
      <c r="M15" s="17" t="s">
        <v>136</v>
      </c>
      <c r="N15" s="17">
        <f>260*N3</f>
        <v>233.99999999999997</v>
      </c>
      <c r="O15" s="17" t="s">
        <v>44</v>
      </c>
    </row>
    <row r="16" spans="1:15" x14ac:dyDescent="0.35">
      <c r="A16" s="17" t="s">
        <v>128</v>
      </c>
      <c r="B16" s="17">
        <f>D4*10*2</f>
        <v>7.1999999999999993</v>
      </c>
      <c r="C16" s="17" t="s">
        <v>44</v>
      </c>
      <c r="M16" s="17" t="s">
        <v>137</v>
      </c>
      <c r="N16" s="17">
        <f>20*N3</f>
        <v>18</v>
      </c>
      <c r="O16" s="17" t="s">
        <v>44</v>
      </c>
    </row>
    <row r="17" spans="1:15" x14ac:dyDescent="0.35">
      <c r="A17" s="17" t="s">
        <v>120</v>
      </c>
      <c r="B17" s="17">
        <f>D5</f>
        <v>36</v>
      </c>
      <c r="C17" s="17" t="s">
        <v>44</v>
      </c>
      <c r="M17" s="17" t="s">
        <v>138</v>
      </c>
      <c r="N17" s="17">
        <f>N6</f>
        <v>12</v>
      </c>
      <c r="O17" s="17" t="s">
        <v>44</v>
      </c>
    </row>
    <row r="18" spans="1:15" x14ac:dyDescent="0.35">
      <c r="A18" s="17" t="s">
        <v>121</v>
      </c>
      <c r="B18" s="17">
        <f>260*D3</f>
        <v>124.8</v>
      </c>
      <c r="C18" s="17" t="s">
        <v>44</v>
      </c>
      <c r="M18" s="17" t="s">
        <v>139</v>
      </c>
      <c r="N18" s="17">
        <f>N4*20</f>
        <v>12</v>
      </c>
      <c r="O18" s="17" t="s">
        <v>44</v>
      </c>
    </row>
    <row r="19" spans="1:15" x14ac:dyDescent="0.35">
      <c r="A19" s="17" t="s">
        <v>122</v>
      </c>
      <c r="B19" s="17">
        <f>D6</f>
        <v>39</v>
      </c>
      <c r="C19" s="17" t="s">
        <v>44</v>
      </c>
      <c r="M19" s="17" t="s">
        <v>140</v>
      </c>
      <c r="N19" s="17">
        <f>260*N4</f>
        <v>156</v>
      </c>
      <c r="O19" s="17" t="s">
        <v>44</v>
      </c>
    </row>
    <row r="20" spans="1:15" x14ac:dyDescent="0.35">
      <c r="A20" s="17" t="s">
        <v>123</v>
      </c>
      <c r="B20" s="17">
        <f>D6*2</f>
        <v>78</v>
      </c>
      <c r="C20" s="17" t="s">
        <v>44</v>
      </c>
      <c r="M20" s="17" t="s">
        <v>141</v>
      </c>
      <c r="N20" s="17">
        <f>10*N4</f>
        <v>6</v>
      </c>
      <c r="O20" s="17" t="s">
        <v>44</v>
      </c>
    </row>
    <row r="21" spans="1:15" x14ac:dyDescent="0.35">
      <c r="A21" s="17" t="s">
        <v>124</v>
      </c>
      <c r="B21" s="17">
        <f>260*D4</f>
        <v>93.6</v>
      </c>
      <c r="C21" s="17" t="s">
        <v>44</v>
      </c>
      <c r="M21" s="17" t="s">
        <v>133</v>
      </c>
      <c r="N21" s="17">
        <f>N7*2</f>
        <v>21.599999999999998</v>
      </c>
      <c r="O21" s="17" t="s">
        <v>44</v>
      </c>
    </row>
    <row r="22" spans="1:15" x14ac:dyDescent="0.35">
      <c r="A22" s="17" t="s">
        <v>125</v>
      </c>
      <c r="B22" s="17">
        <f>D7*2</f>
        <v>19.2</v>
      </c>
      <c r="C22" s="17" t="s">
        <v>44</v>
      </c>
      <c r="M22" s="17" t="s">
        <v>142</v>
      </c>
      <c r="N22" s="17">
        <f>N8*2</f>
        <v>13.2</v>
      </c>
      <c r="O22" s="17" t="s">
        <v>44</v>
      </c>
    </row>
    <row r="23" spans="1:15" x14ac:dyDescent="0.35">
      <c r="A23" s="17" t="str">
        <f>A8</f>
        <v>Changing direction (CD)</v>
      </c>
      <c r="B23" s="17">
        <f>D8*2</f>
        <v>43.199999999999996</v>
      </c>
      <c r="C23" s="17" t="s">
        <v>44</v>
      </c>
      <c r="K23" s="17"/>
      <c r="L23" s="17"/>
      <c r="M23" s="18" t="s">
        <v>126</v>
      </c>
      <c r="N23" s="17">
        <f>SUM(N13:N22)</f>
        <v>495</v>
      </c>
      <c r="O23" s="17" t="s">
        <v>44</v>
      </c>
    </row>
    <row r="24" spans="1:15" x14ac:dyDescent="0.35">
      <c r="A24" s="18" t="s">
        <v>126</v>
      </c>
      <c r="B24" s="17">
        <f>SUM(B14:B23)</f>
        <v>527.4</v>
      </c>
      <c r="C24" s="17" t="s">
        <v>44</v>
      </c>
      <c r="D24">
        <f>B24*1.1</f>
        <v>580.14</v>
      </c>
    </row>
  </sheetData>
  <mergeCells count="4">
    <mergeCell ref="K1:O1"/>
    <mergeCell ref="M11:O11"/>
    <mergeCell ref="A1:E1"/>
    <mergeCell ref="A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50A4-DBBA-4D7D-963E-35D3B6205BC2}">
  <dimension ref="A1:F9"/>
  <sheetViews>
    <sheetView zoomScale="137" workbookViewId="0">
      <selection activeCell="B8" sqref="B8"/>
    </sheetView>
  </sheetViews>
  <sheetFormatPr defaultRowHeight="14.5" x14ac:dyDescent="0.35"/>
  <cols>
    <col min="1" max="1" width="18.08984375" bestFit="1" customWidth="1"/>
    <col min="2" max="2" width="19.6328125" bestFit="1" customWidth="1"/>
    <col min="5" max="5" width="10" bestFit="1" customWidth="1"/>
    <col min="6" max="6" width="18.90625" customWidth="1"/>
  </cols>
  <sheetData>
    <row r="1" spans="1:6" ht="29" x14ac:dyDescent="0.35">
      <c r="A1" s="18"/>
      <c r="B1" s="9" t="s">
        <v>0</v>
      </c>
      <c r="C1" s="9" t="s">
        <v>1</v>
      </c>
      <c r="D1" s="9" t="s">
        <v>3</v>
      </c>
      <c r="E1" s="9" t="s">
        <v>4</v>
      </c>
      <c r="F1" s="9" t="s">
        <v>5</v>
      </c>
    </row>
    <row r="2" spans="1:6" x14ac:dyDescent="0.35">
      <c r="A2" s="47" t="s">
        <v>53</v>
      </c>
      <c r="B2" s="17" t="s">
        <v>31</v>
      </c>
      <c r="C2" s="17" t="s">
        <v>11</v>
      </c>
      <c r="D2" s="17" t="s">
        <v>9</v>
      </c>
      <c r="E2" s="17" t="s">
        <v>9</v>
      </c>
      <c r="F2" s="17">
        <v>14.723529411764707</v>
      </c>
    </row>
    <row r="3" spans="1:6" x14ac:dyDescent="0.35">
      <c r="A3" s="47"/>
      <c r="B3" s="17" t="s">
        <v>32</v>
      </c>
      <c r="C3" s="17"/>
      <c r="D3" s="17" t="s">
        <v>23</v>
      </c>
      <c r="E3" s="17" t="s">
        <v>23</v>
      </c>
      <c r="F3" s="17">
        <v>2</v>
      </c>
    </row>
    <row r="4" spans="1:6" x14ac:dyDescent="0.35">
      <c r="A4" s="47"/>
      <c r="B4" s="17" t="s">
        <v>33</v>
      </c>
      <c r="C4" s="17" t="s">
        <v>12</v>
      </c>
      <c r="D4" s="17" t="s">
        <v>9</v>
      </c>
      <c r="E4" s="17" t="s">
        <v>37</v>
      </c>
      <c r="F4" s="17">
        <v>31.971653543307085</v>
      </c>
    </row>
    <row r="5" spans="1:6" x14ac:dyDescent="0.35">
      <c r="A5" s="47"/>
      <c r="B5" s="17" t="s">
        <v>34</v>
      </c>
      <c r="C5" s="17"/>
      <c r="D5" s="17"/>
      <c r="E5" s="17"/>
      <c r="F5" s="17">
        <v>10.4</v>
      </c>
    </row>
    <row r="6" spans="1:6" x14ac:dyDescent="0.35">
      <c r="A6" s="47"/>
      <c r="B6" s="17" t="s">
        <v>35</v>
      </c>
      <c r="C6" s="17"/>
      <c r="D6" s="17"/>
      <c r="E6" s="17" t="s">
        <v>38</v>
      </c>
      <c r="F6" s="17">
        <v>2</v>
      </c>
    </row>
    <row r="7" spans="1:6" ht="38" customHeight="1" x14ac:dyDescent="0.35">
      <c r="A7" s="17"/>
      <c r="B7" s="17"/>
      <c r="C7" s="17"/>
      <c r="D7" s="48" t="s">
        <v>54</v>
      </c>
      <c r="E7" s="48"/>
      <c r="F7" s="17">
        <f>SUM(F2:F6)</f>
        <v>61.095182955071792</v>
      </c>
    </row>
    <row r="8" spans="1:6" x14ac:dyDescent="0.35">
      <c r="A8" s="17"/>
      <c r="B8" s="17"/>
      <c r="C8" s="17"/>
      <c r="D8" s="49" t="s">
        <v>143</v>
      </c>
      <c r="E8" s="49"/>
      <c r="F8" s="17">
        <v>139.1951829550718</v>
      </c>
    </row>
    <row r="9" spans="1:6" x14ac:dyDescent="0.35">
      <c r="A9" s="17"/>
      <c r="B9" s="17"/>
      <c r="C9" s="17"/>
      <c r="D9" s="49" t="s">
        <v>144</v>
      </c>
      <c r="E9" s="49"/>
      <c r="F9" s="17">
        <f>(F8-F7)</f>
        <v>78.100000000000009</v>
      </c>
    </row>
  </sheetData>
  <mergeCells count="4">
    <mergeCell ref="A2:A6"/>
    <mergeCell ref="D7:E7"/>
    <mergeCell ref="D8:E8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1-MTM</vt:lpstr>
      <vt:lpstr>Sheet2</vt:lpstr>
      <vt:lpstr>Sheet1</vt:lpstr>
      <vt:lpstr>Task 2- AIM</vt:lpstr>
      <vt:lpstr>Development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Chakrabortty Abhisheke</dc:creator>
  <cp:lastModifiedBy>Chakrabortty Abhisheke</cp:lastModifiedBy>
  <dcterms:created xsi:type="dcterms:W3CDTF">2025-03-22T14:11:16Z</dcterms:created>
  <dcterms:modified xsi:type="dcterms:W3CDTF">2025-09-25T15:55:53Z</dcterms:modified>
</cp:coreProperties>
</file>