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SC\Desktop\optimization\"/>
    </mc:Choice>
  </mc:AlternateContent>
  <xr:revisionPtr revIDLastSave="0" documentId="8_{87A8049C-F7CA-40E3-A113-EE3125110F29}" xr6:coauthVersionLast="47" xr6:coauthVersionMax="47" xr10:uidLastSave="{00000000-0000-0000-0000-000000000000}"/>
  <bookViews>
    <workbookView xWindow="-110" yWindow="-110" windowWidth="19420" windowHeight="10300" tabRatio="960" activeTab="6" xr2:uid="{00000000-000D-0000-FFFF-FFFF00000000}"/>
  </bookViews>
  <sheets>
    <sheet name="Model_formulation" sheetId="47" r:id="rId1"/>
    <sheet name="Sensitivity Report 1" sheetId="48" r:id="rId2"/>
    <sheet name="food item_mix_Solution" sheetId="3" r:id="rId3"/>
    <sheet name="food item_mix_Solution_STS" sheetId="49" state="veryHidden" r:id="rId4"/>
    <sheet name="food item_mix_STS" sheetId="40" state="veryHidden" r:id="rId5"/>
    <sheet name="product_mix_STS" sheetId="31" state="veryHidden" r:id="rId6"/>
    <sheet name="impact of cp and sp" sheetId="54" r:id="rId7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ChartData1" localSheetId="6">'impact of cp and sp'!$P$5:$P$17</definedName>
    <definedName name="ChartData2" localSheetId="6">'impact of cp and sp'!$T$5:$T$13</definedName>
    <definedName name="InputValues1" localSheetId="6">'impact of cp and sp'!$A$5:$A$13</definedName>
    <definedName name="InputValues2" localSheetId="6">'impact of cp and sp'!$B$4:$N$4</definedName>
    <definedName name="invest_decisions">#REF!</definedName>
    <definedName name="OutputAddresses" localSheetId="6">'impact of cp and sp'!$AZ$2</definedName>
    <definedName name="OutputValues_1" localSheetId="6">'impact of cp and sp'!$B$5:$N$13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2" hidden="1">'food item_mix_Solution'!$C$4:$C$8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'food item_mix_Solution'!$B$23:$B$33</definedName>
    <definedName name="solver_lhs2" localSheetId="2" hidden="1">'food item_mix_Solution'!$B$34:$B$38</definedName>
    <definedName name="solver_lhs3" localSheetId="2" hidden="1">'food item_mix_Solution'!$B$39</definedName>
    <definedName name="solver_lhs4" localSheetId="2" hidden="1">'food item_mix_Solution'!#REF!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'food item_mix_Solution'!$B$23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'food item_mix_Solution'!$D$23:$D$33</definedName>
    <definedName name="solver_rhs2" localSheetId="2" hidden="1">'food item_mix_Solution'!$D$34:$D$38</definedName>
    <definedName name="solver_rhs3" localSheetId="2" hidden="1">'food item_mix_Solution'!$D$39</definedName>
    <definedName name="solver_rhs4" localSheetId="2" hidden="1">'food item_mix_Solution'!#REF!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54" l="1"/>
  <c r="P1" i="54"/>
  <c r="V4" i="54"/>
  <c r="S5" i="54"/>
  <c r="S4" i="54"/>
  <c r="R4" i="54"/>
  <c r="O5" i="54"/>
  <c r="O4" i="54"/>
  <c r="T13" i="54"/>
  <c r="T12" i="54"/>
  <c r="T11" i="54"/>
  <c r="T10" i="54"/>
  <c r="T9" i="54"/>
  <c r="T8" i="54"/>
  <c r="T7" i="54"/>
  <c r="T6" i="54"/>
  <c r="T5" i="54"/>
  <c r="P17" i="54"/>
  <c r="P16" i="54"/>
  <c r="P15" i="54"/>
  <c r="P14" i="54"/>
  <c r="P13" i="54"/>
  <c r="P12" i="54"/>
  <c r="P11" i="54"/>
  <c r="P10" i="54"/>
  <c r="P9" i="54"/>
  <c r="P8" i="54"/>
  <c r="P7" i="54"/>
  <c r="P6" i="54"/>
  <c r="P5" i="54"/>
  <c r="J18" i="3" l="1"/>
  <c r="I18" i="3"/>
  <c r="E9" i="3"/>
  <c r="D9" i="3"/>
  <c r="H5" i="3"/>
  <c r="H6" i="3"/>
  <c r="H7" i="3"/>
  <c r="H8" i="3"/>
  <c r="H4" i="3"/>
  <c r="B39" i="3" l="1"/>
  <c r="G18" i="3"/>
  <c r="F18" i="3"/>
  <c r="D18" i="3"/>
  <c r="C18" i="3"/>
  <c r="B18" i="3"/>
  <c r="E18" i="3"/>
  <c r="B36" i="3"/>
  <c r="B37" i="3"/>
  <c r="B38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C10" i="3"/>
  <c r="C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32FC9314-6246-423D-8CF0-13ED892DC7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EFAA9D1A-8FB4-48F0-834B-80C3AE7B47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D29D4B1C-1963-4F7D-A657-FD0D606FBA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686AB426-F542-4C88-90A7-A4B5FE650E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8D240FD1-1E48-4C70-96C1-919EA7AFC0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674AFCD0-2B44-4B80-9239-36B4853292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" authorId="0" shapeId="0" xr:uid="{F7232B10-695D-4569-9914-421EF7C53C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" authorId="0" shapeId="0" xr:uid="{DA38AAFE-7A3B-4881-A099-4EA6A8EFCE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" authorId="0" shapeId="0" xr:uid="{F933802C-2C02-4062-AC89-2E44C9F897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" authorId="0" shapeId="0" xr:uid="{03DE13C0-C5C7-430C-B711-74E0BCBBDD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" authorId="0" shapeId="0" xr:uid="{BA63E649-3713-4DD7-B8BE-E623AF36D3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" authorId="0" shapeId="0" xr:uid="{EE21341A-55AF-4004-ADE2-86EE1E1AC3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" authorId="0" shapeId="0" xr:uid="{46BD09AF-46DB-412F-9DB9-660368D514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78D93DD1-D486-4B06-A303-35BAF37A8F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4C5ACA2E-74C7-4D8E-B0A7-AFDB5EFA83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45DD7A1C-2CF1-4B8F-B73A-38EAA45ACF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BD5DCD60-9F36-4BC3-BFE4-2F274A7819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1CFDC1C2-2834-4FC2-AB84-1D552646C6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BE6C5824-05AE-43BD-B5F2-64D561BDB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3FEEB98B-7FE1-4A49-BBB3-BE4C287342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C90C4FC3-CE29-41D5-B6E8-20AC8F1881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" authorId="0" shapeId="0" xr:uid="{2AA58A01-0089-4F62-A0F8-ABC66144C4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" authorId="0" shapeId="0" xr:uid="{1F598567-5530-4CC3-B15C-70150906A7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" authorId="0" shapeId="0" xr:uid="{60E63C2C-5701-4745-B32D-7A8B7426CB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" authorId="0" shapeId="0" xr:uid="{CC9E625F-5E1D-4E62-974D-050D188B04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" authorId="0" shapeId="0" xr:uid="{AD289FBB-5DF0-4E9B-AFAB-30868316CE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2F9850A5-FA75-4920-8D51-9D39B238CF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328A7681-09B1-4BD4-A822-98A0BEE3A6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2453EE59-1F88-4D5A-8856-92227868E7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8F271B8A-29C3-4EC3-ACFC-9538C8B604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C0316848-6290-4713-9481-A64BF60A77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79AF2F95-6944-4B8D-AAE0-105BC3AD9B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DFF62E43-357A-4089-A38B-1E30BAD080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" authorId="0" shapeId="0" xr:uid="{0C48FBC7-D3C9-4A0E-8E93-F289432A20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" authorId="0" shapeId="0" xr:uid="{134A31B0-0DEE-4406-BB27-B495BF02DD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" authorId="0" shapeId="0" xr:uid="{17718FB3-2A5A-4DAB-81A3-3FA23F7B55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" authorId="0" shapeId="0" xr:uid="{6D5F5E20-C2DC-463D-959E-147E7687BD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" authorId="0" shapeId="0" xr:uid="{FE46F8C8-7ABF-4273-96F5-29F2E7EA21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" authorId="0" shapeId="0" xr:uid="{33C4DD12-02E7-4566-BBA3-71EB2357FF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4710F113-B938-42DB-869D-6DB5F79DA1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51E0E1EF-DA32-442B-914F-5582BCC61C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F637394B-93E0-49BF-AECD-045C57F2DB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CB67BE48-D7A1-409D-BF29-DB1F930555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4F962656-3B21-40D3-8A45-FB5E24EC66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1D8C53D6-1C57-4B04-90A3-2293A52749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2B41327D-082D-4561-829C-B548F98778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" authorId="0" shapeId="0" xr:uid="{A0DFA958-FEB1-4596-8A50-40DF82085B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" authorId="0" shapeId="0" xr:uid="{DA1FED20-ED07-4D03-906E-E7432C9079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" authorId="0" shapeId="0" xr:uid="{E463A4DD-C8CE-4C88-B051-08233F310A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" authorId="0" shapeId="0" xr:uid="{7026AED0-4B67-41BA-9248-93B77DEC1A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" authorId="0" shapeId="0" xr:uid="{2E45217A-FCB4-44A1-913B-9C713A83A5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" authorId="0" shapeId="0" xr:uid="{41017D96-CD8C-47F0-8941-BA3449BC5F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6A1EEE54-C453-43AD-97AC-802880189B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D72CD208-8A1B-4C01-B51D-FCE4A31483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392C2955-9F2B-4AA5-A1B4-D398880845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D0B59227-AE7D-4ADD-84C1-C1DCB552A8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7B305BA6-977F-4BB5-9F01-A0433893A0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F3DE3282-E910-479C-962A-A2D05B594D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9EF6A27E-7A4D-4C10-88E8-9D805B6DAE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" authorId="0" shapeId="0" xr:uid="{F794271D-2D37-49DC-B410-0A72FFBFD5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" authorId="0" shapeId="0" xr:uid="{1D96856B-B641-4C3D-8B01-6C55894A5C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" authorId="0" shapeId="0" xr:uid="{1A73BEC9-B3C5-481E-9281-6AB7FBA16D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" authorId="0" shapeId="0" xr:uid="{0EEFDA7F-2559-4358-92F5-CA47DFD252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" authorId="0" shapeId="0" xr:uid="{CC62C998-427F-4979-882B-4E5F1914CD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" authorId="0" shapeId="0" xr:uid="{5D0E2C82-3E4E-4808-92C2-4D527AFC89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90975A44-AC3F-4B68-B6FD-F75873B3EB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1B3807E0-9BE3-4806-88BA-2DF5730F9C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2AE27FEA-F985-40FD-B95F-BDCB5644F3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8767028F-D2F7-4A72-85EB-654225D3B4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202786C7-26B4-4D5A-B9BD-0F458BFB2A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DC6535F1-8B5B-4AFE-8419-4C6B7D7A7C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D2557725-7850-485C-885E-7FBB570781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A0DF2B59-718D-4526-8ADC-96647C0341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FCFE0314-E704-4FF2-A241-6B08BB7BD8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" authorId="0" shapeId="0" xr:uid="{56CBA5BA-15D9-4602-BEFE-C78C306F9E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" authorId="0" shapeId="0" xr:uid="{24DF8073-5F78-44BE-B973-94B455863F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" authorId="0" shapeId="0" xr:uid="{145460E6-8215-411E-93B9-5EAE15222F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" authorId="0" shapeId="0" xr:uid="{DF43A3FC-4ABD-4E56-9E20-F383B5F7D7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C7A397D6-C367-40EF-8288-C3A0407479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" authorId="0" shapeId="0" xr:uid="{D10E5F8B-0298-41F8-8F41-96B7B673A7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" authorId="0" shapeId="0" xr:uid="{71301D59-1B4A-4028-8FD5-81C3819A94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EE089ABB-7699-4DBF-9067-ACD3CA268A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E6036C3F-532C-4297-BF3A-DDC87E785B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B6B496FD-BF45-4416-890E-2708433ED0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1D154352-7DDA-4190-A466-F8EC0D3B4B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3DBBC039-CFA9-4F0A-9552-FAADAE80AC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F66D13B3-F35E-4524-9DF7-F715D18FA3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" authorId="0" shapeId="0" xr:uid="{675CDFD5-3F1C-47D6-9A7A-44D2767B49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" authorId="0" shapeId="0" xr:uid="{0BB2B809-A07E-404A-BF3F-2BAFB8858C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" authorId="0" shapeId="0" xr:uid="{B11B08A9-FC90-4B5F-BFB2-2CD1ADCE47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" authorId="0" shapeId="0" xr:uid="{7657E148-D343-4AD1-9B13-D53DF6EC2D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669146DA-AED5-4CDE-92C4-DBF2C19D79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" authorId="0" shapeId="0" xr:uid="{D0BCF32D-13C0-49E5-BF44-EB1F215EF4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" authorId="0" shapeId="0" xr:uid="{22C06841-5E0C-4BCC-ABD5-202C0B60E2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" authorId="0" shapeId="0" xr:uid="{E755057D-A409-4E6B-98B7-EB4B59717E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" authorId="0" shapeId="0" xr:uid="{E9E0B03A-9751-4ABA-B3AB-0E13CC0087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" authorId="0" shapeId="0" xr:uid="{5B97BC20-8804-4D75-948D-C959C50D54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" authorId="0" shapeId="0" xr:uid="{A1166669-2165-4372-AC4B-FF6DDFF7BA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A3AC98B6-6B9C-4A82-9915-3B7C1B5D44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" authorId="0" shapeId="0" xr:uid="{7D962590-A0DF-487C-A694-2386090752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" authorId="0" shapeId="0" xr:uid="{2AB0FA2A-1FF6-4A01-AD8E-6922A28C4B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" authorId="0" shapeId="0" xr:uid="{4EFB8F74-9254-43AD-A8F2-94565747B6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" authorId="0" shapeId="0" xr:uid="{E42A3B5A-F4B8-4293-8140-74D66CEC73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" authorId="0" shapeId="0" xr:uid="{E1A569DD-74B9-4D6B-8F53-BB387540F1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8915AE4A-CE40-4137-AA97-F715DB516E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" authorId="0" shapeId="0" xr:uid="{D2555D36-9E1F-459C-98BF-21C0233959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" authorId="0" shapeId="0" xr:uid="{2BD6AADB-A45D-4AD4-948D-093622C744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" authorId="0" shapeId="0" xr:uid="{09D34F35-F9D8-4B4A-8049-CDC1140AA2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" authorId="0" shapeId="0" xr:uid="{9E4446F6-0F86-4C4A-800C-B5EAD102AB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" authorId="0" shapeId="0" xr:uid="{D7FB3057-C34B-433F-BA5C-D8CECAC410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" authorId="0" shapeId="0" xr:uid="{F4907DFD-67BA-4228-B447-4580453AC7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" authorId="0" shapeId="0" xr:uid="{49BF82EC-8BBA-49D2-86C6-2F8E624CF8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" authorId="0" shapeId="0" xr:uid="{A6A7E1F1-CCEE-4EE0-8E71-C5E0F67260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D9737651-CDD5-4BB1-9B8E-95FE648AAF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" authorId="0" shapeId="0" xr:uid="{BA974FD4-C847-4D87-823F-588857509E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" authorId="0" shapeId="0" xr:uid="{EF1AB2B6-2E30-4720-8B96-3014A35AED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" authorId="0" shapeId="0" xr:uid="{1D87E75A-8F3F-4E02-BABF-D1748F7F6B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<sst xmlns="http://schemas.openxmlformats.org/spreadsheetml/2006/main" count="233" uniqueCount="179">
  <si>
    <t>Decisions</t>
  </si>
  <si>
    <t>RHS</t>
  </si>
  <si>
    <t>Constraints</t>
  </si>
  <si>
    <t>LHS</t>
  </si>
  <si>
    <t xml:space="preserve">Total </t>
  </si>
  <si>
    <t>&lt;=</t>
  </si>
  <si>
    <t>$D$13</t>
  </si>
  <si>
    <t>Storage Space</t>
  </si>
  <si>
    <t>$C$8,$C$4:$C$5</t>
  </si>
  <si>
    <t>Decision variables:</t>
  </si>
  <si>
    <t>Constraints:</t>
  </si>
  <si>
    <t>P1=</t>
  </si>
  <si>
    <t>P2=</t>
  </si>
  <si>
    <t>P3=</t>
  </si>
  <si>
    <t>P4=</t>
  </si>
  <si>
    <t>P5=</t>
  </si>
  <si>
    <t>Cost per unit ($)</t>
  </si>
  <si>
    <t>Preparation Time, min. per unit</t>
  </si>
  <si>
    <t>Cooking Time, min. per unit</t>
  </si>
  <si>
    <t>Price per unit ($)</t>
  </si>
  <si>
    <t>Profit per unit ($)</t>
  </si>
  <si>
    <t>Food Item Type</t>
  </si>
  <si>
    <t>Vegetables</t>
  </si>
  <si>
    <t>Total cooking staff hours (minutes per week)</t>
  </si>
  <si>
    <t>Raw Material Availability (ounces per week)</t>
  </si>
  <si>
    <t>Objective Function:</t>
  </si>
  <si>
    <t>&gt;=</t>
  </si>
  <si>
    <t>Objective Function: maximize weekly profit ($)</t>
  </si>
  <si>
    <t>Weekly availability of vegetables, ounces &lt;= 3840</t>
  </si>
  <si>
    <t>Preparation time, min. &lt;= 5670</t>
  </si>
  <si>
    <t>Cooking time, min. &lt;= 6930</t>
  </si>
  <si>
    <t>Non-negativity: P1, P2, P3, P4, P5 &gt;=0</t>
  </si>
  <si>
    <t>Total food items sold weekly &lt;= 1000</t>
  </si>
  <si>
    <t>$C$4:$C$8,$C$20</t>
  </si>
  <si>
    <t>$D$24</t>
  </si>
  <si>
    <t xml:space="preserve">Cooking time </t>
  </si>
  <si>
    <t>$H$5</t>
  </si>
  <si>
    <t/>
  </si>
  <si>
    <t>$D$39</t>
  </si>
  <si>
    <t>$C$20,$C$4:$C$8</t>
  </si>
  <si>
    <t>Profit per unit of Quesadillas</t>
  </si>
  <si>
    <t>Total food items sold weekly</t>
  </si>
  <si>
    <t>P1</t>
  </si>
  <si>
    <t>P2</t>
  </si>
  <si>
    <t>P4</t>
  </si>
  <si>
    <t>P3</t>
  </si>
  <si>
    <t>P5</t>
  </si>
  <si>
    <t xml:space="preserve"> Maximize weekly profit ($)</t>
  </si>
  <si>
    <t>3*P1 + 4*P2 + 4*P3 + 3*P4+ 6*P5&lt;= 4000</t>
  </si>
  <si>
    <t>P1 &gt;= 140</t>
  </si>
  <si>
    <t>P2 &gt;= 70</t>
  </si>
  <si>
    <t>P3 &gt;= 140</t>
  </si>
  <si>
    <t>P4 &gt;= 70</t>
  </si>
  <si>
    <t>P5 &gt;= 70</t>
  </si>
  <si>
    <t>P1 + P2 + P3+ P4 +P5 &lt;= 1000</t>
  </si>
  <si>
    <t>Max 4.14*P1 + 3.10*P2 + 3.36*P3 + 3.86*P4 + 5.61*P5</t>
  </si>
  <si>
    <t>Flour</t>
  </si>
  <si>
    <t>Spices</t>
  </si>
  <si>
    <t>Number of panipuri Plates sold weekly, units</t>
  </si>
  <si>
    <t>Number of samosa chat sold weekly, units</t>
  </si>
  <si>
    <t>Number of momo's plates sold weekly, units</t>
  </si>
  <si>
    <t>Number of manchuria sold weekly, units</t>
  </si>
  <si>
    <t>Number of jalebi sold weekly, units</t>
  </si>
  <si>
    <t>Panipuri Plate</t>
  </si>
  <si>
    <t>Samosa</t>
  </si>
  <si>
    <t>Momo</t>
  </si>
  <si>
    <t>Manchurian</t>
  </si>
  <si>
    <t>Jalebi</t>
  </si>
  <si>
    <t>Potatoes</t>
  </si>
  <si>
    <t>Sugar</t>
  </si>
  <si>
    <t>Cooking Oil</t>
  </si>
  <si>
    <t>Sweet Chutney</t>
  </si>
  <si>
    <t>Hot Chutney</t>
  </si>
  <si>
    <t>GoChatzz Special Blend Sauce</t>
  </si>
  <si>
    <t>4*P1 + 5*P2 + 7*P3 + 5*P4+ 8*P5&lt;= 5670</t>
  </si>
  <si>
    <t>8*P1 + 7*P2 +10*P3+ 10*P4 + 10*P5&lt;= 6930</t>
  </si>
  <si>
    <t>Weekly availability of Flour, ounces &lt;= 4800</t>
  </si>
  <si>
    <t>Number of Panipuri Plates sold weekly, units</t>
  </si>
  <si>
    <t>Number of Samosa Plate sold weekly, units</t>
  </si>
  <si>
    <t>Number of Momo plates sold weekly, units</t>
  </si>
  <si>
    <t>Number of manchurian plates sold weekly, units</t>
  </si>
  <si>
    <t>Number of jalebis sold weekly, units</t>
  </si>
  <si>
    <t>Weekly availability of spices, ounces &lt;= 4000</t>
  </si>
  <si>
    <t>3*P1 + 6*P2 + 4*P3+ 3*P4+ 0*P5&lt;= 3840</t>
  </si>
  <si>
    <t>Weekly availability of potatoes, ounces &lt;= 1600</t>
  </si>
  <si>
    <t>Weekly availability of sweet chutney, ounces &lt;= 960</t>
  </si>
  <si>
    <t>Weekly availability of hot chutney, ounces &lt;= 1280</t>
  </si>
  <si>
    <t>Weekly availability of GoChatzz Special Blend, ounces &lt;= 800</t>
  </si>
  <si>
    <t>2*P1 + 2*P2 + 2*P3 + 2*P4+ 0*P5&lt;= 800</t>
  </si>
  <si>
    <t>3*P1 + 4*P2 + 4*P3 + 2*P4+ 1*P5&lt;= 1280</t>
  </si>
  <si>
    <t>2*P1 + 2*P2 + 3*P3 + 2*P4 + 0*P5&lt;= 960</t>
  </si>
  <si>
    <t>Minimum Panipuri plates sold weekly &gt;= 140</t>
  </si>
  <si>
    <t>Number of Samosa plates sold weekly &gt;= 70</t>
  </si>
  <si>
    <t>Number of Momo plates sold weekly &gt;= 140</t>
  </si>
  <si>
    <t>Number of Manchuriuan plates sold weekly &gt;= 70</t>
  </si>
  <si>
    <t>Number of jalebi sold weekly &gt;= 70</t>
  </si>
  <si>
    <t>Weekly availability of sugar, ounces &lt;= 2240</t>
  </si>
  <si>
    <t>Weekly availability of cooking oil, ounces &lt;= 1600</t>
  </si>
  <si>
    <t>2*P1 + 4*P2 + 3*P3 + 0*P4 + 3*P5&lt;= 4800</t>
  </si>
  <si>
    <t>1*P1 + 3*P2 + 3*P3 + 1*P4 + 4*P5&lt;= 1600</t>
  </si>
  <si>
    <t>Go Chatzz - Profit Optimization Model</t>
  </si>
  <si>
    <t>1*P1 + 4*P2 + 0*P3 + 1*P4 + 0*P5&lt;= 1600</t>
  </si>
  <si>
    <t>2*P1 + 0*P2 + 0*P3 + 0*P4 + 8*P5&lt;= 2240</t>
  </si>
  <si>
    <t>Weekly availability of hot chutney, ounces &lt;= 3200</t>
  </si>
  <si>
    <t>Weekly availability of sweet chutney, ounces &lt;= 1800</t>
  </si>
  <si>
    <t>Weekly availability of GoChatzz Special Blend, ounces &lt;= 1450</t>
  </si>
  <si>
    <t>Microsoft Excel 16.0 Sensitivity Report</t>
  </si>
  <si>
    <t>Worksheet: [GoChatzz Optim Project Group 6.xlsx]food item_mix_Solution</t>
  </si>
  <si>
    <t>Report Created: 5/12/2023 7:47:39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</si>
  <si>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</si>
  <si>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</si>
  <si>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</si>
  <si>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</si>
  <si>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</si>
  <si>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</si>
  <si>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</si>
  <si>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</si>
  <si>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</si>
  <si>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</si>
  <si>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</si>
  <si>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</si>
  <si>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</si>
  <si>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</si>
  <si>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</si>
  <si>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</si>
  <si>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$C$4</t>
  </si>
  <si>
    <t>$C$5</t>
  </si>
  <si>
    <t>$C$6</t>
  </si>
  <si>
    <t>$C$7</t>
  </si>
  <si>
    <t>$C$8</t>
  </si>
  <si>
    <t>$B$23</t>
  </si>
  <si>
    <t>Preparation time, min. &lt;= 5670 LHS</t>
  </si>
  <si>
    <t>$B$24</t>
  </si>
  <si>
    <t>Cooking time, min. &lt;= 6930 LHS</t>
  </si>
  <si>
    <t>$B$25</t>
  </si>
  <si>
    <t>Weekly availability of Flour, ounces &lt;= 4800 LHS</t>
  </si>
  <si>
    <t>$B$26</t>
  </si>
  <si>
    <t>Weekly availability of spices, ounces &lt;= 4000 LHS</t>
  </si>
  <si>
    <t>$B$27</t>
  </si>
  <si>
    <t>Weekly availability of vegetables, ounces &lt;= 3840 LHS</t>
  </si>
  <si>
    <t>$B$28</t>
  </si>
  <si>
    <t>Weekly availability of potatoes, ounces &lt;= 1600 LHS</t>
  </si>
  <si>
    <t>$B$29</t>
  </si>
  <si>
    <t>Weekly availability of sugar, ounces &lt;= 2240 LHS</t>
  </si>
  <si>
    <t>$B$30</t>
  </si>
  <si>
    <t>Weekly availability of cooking oil, ounces &lt;= 1600 LHS</t>
  </si>
  <si>
    <t>$B$31</t>
  </si>
  <si>
    <t>Weekly availability of sweet chutney, ounces &lt;= 1800 LHS</t>
  </si>
  <si>
    <t>$B$32</t>
  </si>
  <si>
    <t>Weekly availability of hot chutney, ounces &lt;= 3200 LHS</t>
  </si>
  <si>
    <t>$B$33</t>
  </si>
  <si>
    <t>Weekly availability of GoChatzz Special Blend, ounces &lt;= 1450 LHS</t>
  </si>
  <si>
    <t>$B$34</t>
  </si>
  <si>
    <t>Minimum Panipuri plates sold weekly &gt;= 140 LHS</t>
  </si>
  <si>
    <t>$B$35</t>
  </si>
  <si>
    <t>Number of Samosa plates sold weekly &gt;= 70 LHS</t>
  </si>
  <si>
    <t>$B$36</t>
  </si>
  <si>
    <t>Number of Momo plates sold weekly &gt;= 140 LHS</t>
  </si>
  <si>
    <t>$B$37</t>
  </si>
  <si>
    <t>Number of Manchuriuan plates sold weekly &gt;= 70 LHS</t>
  </si>
  <si>
    <t>$B$38</t>
  </si>
  <si>
    <t>Number of jalebi sold weekly &gt;= 70 LHS</t>
  </si>
  <si>
    <t>$B$39</t>
  </si>
  <si>
    <t>Total food items sold weekly &lt;= 1000 LHS</t>
  </si>
  <si>
    <t xml:space="preserve"> Familiar - Profit Optimization Model</t>
  </si>
  <si>
    <t>Input</t>
  </si>
  <si>
    <t>$C$20</t>
  </si>
  <si>
    <t>$F$4</t>
  </si>
  <si>
    <t>$C$20,$C$4</t>
  </si>
  <si>
    <t>$G$4</t>
  </si>
  <si>
    <t>Input1</t>
  </si>
  <si>
    <t>Input2</t>
  </si>
  <si>
    <t>Two-way analysis for Solver model in food item_mix_Solution worksheet</t>
  </si>
  <si>
    <t>Input1 (cell $F$4) values along side, Input2 (cell $G$4) values along top, output cell in corner</t>
  </si>
  <si>
    <t>Output and Input1 value for chart</t>
  </si>
  <si>
    <t>Output</t>
  </si>
  <si>
    <t>Input1 value</t>
  </si>
  <si>
    <t>Output and Input2 value for chart</t>
  </si>
  <si>
    <t>Input2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</si>
</sst>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i/>
      <sz val="12"/>
      <color rgb="FF063DE8"/>
      <name val="Times New Roman"/>
      <family val="1"/>
    </font>
    <font>
      <sz val="12"/>
      <name val="Arial"/>
      <family val="2"/>
    </font>
    <font>
      <b/>
      <sz val="12"/>
      <color rgb="FF000000"/>
      <name val="Times New Roman"/>
      <family val="1"/>
    </font>
    <font>
      <b/>
      <i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indexed="1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0"/>
      <color indexed="18"/>
      <name val="Arial"/>
      <family val="2"/>
    </font>
    <font>
      <sz val="10"/>
      <color rgb="FFFFFFFF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indent="3" readingOrder="1"/>
    </xf>
    <xf numFmtId="0" fontId="6" fillId="0" borderId="0" xfId="0" applyFont="1"/>
    <xf numFmtId="0" fontId="7" fillId="0" borderId="0" xfId="0" applyFont="1" applyAlignment="1">
      <alignment horizontal="left" vertical="center" indent="3" readingOrder="1"/>
    </xf>
    <xf numFmtId="2" fontId="0" fillId="0" borderId="0" xfId="0" applyNumberFormat="1"/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0" xfId="1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0" borderId="0" xfId="0" applyFont="1"/>
    <xf numFmtId="0" fontId="9" fillId="0" borderId="1" xfId="0" applyFont="1" applyBorder="1" applyAlignment="1">
      <alignment horizontal="center"/>
    </xf>
    <xf numFmtId="164" fontId="14" fillId="2" borderId="1" xfId="0" applyNumberFormat="1" applyFont="1" applyFill="1" applyBorder="1" applyAlignment="1">
      <alignment horizontal="center"/>
    </xf>
    <xf numFmtId="1" fontId="12" fillId="0" borderId="1" xfId="0" applyNumberFormat="1" applyFont="1" applyBorder="1" applyAlignment="1">
      <alignment horizontal="center" wrapText="1"/>
    </xf>
    <xf numFmtId="2" fontId="12" fillId="0" borderId="1" xfId="0" applyNumberFormat="1" applyFont="1" applyBorder="1" applyAlignment="1">
      <alignment horizontal="center" wrapText="1"/>
    </xf>
    <xf numFmtId="2" fontId="9" fillId="0" borderId="1" xfId="0" applyNumberFormat="1" applyFont="1" applyBorder="1" applyAlignment="1">
      <alignment horizontal="center"/>
    </xf>
    <xf numFmtId="2" fontId="13" fillId="0" borderId="0" xfId="0" applyNumberFormat="1" applyFont="1"/>
    <xf numFmtId="1" fontId="9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/>
    <xf numFmtId="0" fontId="16" fillId="0" borderId="1" xfId="0" applyFont="1" applyBorder="1"/>
    <xf numFmtId="164" fontId="9" fillId="0" borderId="1" xfId="0" applyNumberFormat="1" applyFont="1" applyBorder="1" applyAlignment="1">
      <alignment horizontal="center"/>
    </xf>
    <xf numFmtId="165" fontId="17" fillId="0" borderId="1" xfId="0" applyNumberFormat="1" applyFont="1" applyBorder="1"/>
    <xf numFmtId="0" fontId="9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8" fillId="0" borderId="1" xfId="0" applyFont="1" applyBorder="1"/>
    <xf numFmtId="2" fontId="14" fillId="3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1" fontId="9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3" xfId="0" applyFont="1" applyBorder="1"/>
    <xf numFmtId="0" fontId="9" fillId="0" borderId="2" xfId="0" applyFont="1" applyBorder="1"/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9" fillId="0" borderId="1" xfId="1" applyFont="1" applyBorder="1" applyAlignment="1">
      <alignment horizontal="left" wrapText="1"/>
    </xf>
    <xf numFmtId="0" fontId="9" fillId="0" borderId="1" xfId="1" applyFont="1" applyBorder="1" applyAlignment="1">
      <alignment horizontal="center" wrapText="1"/>
    </xf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19" fillId="0" borderId="4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0" fillId="5" borderId="0" xfId="0" applyFill="1" applyAlignment="1">
      <alignment horizontal="right" textRotation="90"/>
    </xf>
    <xf numFmtId="0" fontId="20" fillId="0" borderId="0" xfId="0" applyFont="1"/>
    <xf numFmtId="2" fontId="0" fillId="0" borderId="8" xfId="0" applyNumberFormat="1" applyBorder="1"/>
    <xf numFmtId="2" fontId="0" fillId="0" borderId="10" xfId="0" applyNumberFormat="1" applyBorder="1"/>
    <xf numFmtId="2" fontId="0" fillId="0" borderId="12" xfId="0" applyNumberFormat="1" applyBorder="1"/>
    <xf numFmtId="0" fontId="0" fillId="0" borderId="0" xfId="0" applyAlignment="1">
      <alignment horizontal="right"/>
    </xf>
    <xf numFmtId="0" fontId="0" fillId="4" borderId="0" xfId="0" applyFill="1"/>
    <xf numFmtId="2" fontId="0" fillId="0" borderId="14" xfId="0" applyNumberFormat="1" applyBorder="1"/>
    <xf numFmtId="2" fontId="0" fillId="0" borderId="0" xfId="0" applyNumberFormat="1" applyBorder="1"/>
    <xf numFmtId="2" fontId="0" fillId="0" borderId="15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'impact of cp and sp'!$P$1</c:f>
          <c:strCache>
            <c:ptCount val="1"/>
            <c:pt idx="0">
              <c:v>Sensitivity of $C$20 to Input2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'impact of cp and sp'!$B$4:$N$4</c:f>
              <c:numCache>
                <c:formatCode>0.00</c:formatCode>
                <c:ptCount val="13"/>
                <c:pt idx="0">
                  <c:v>9.8999996185302734</c:v>
                </c:pt>
                <c:pt idx="1">
                  <c:v>9.9499998092651367</c:v>
                </c:pt>
                <c:pt idx="2">
                  <c:v>10</c:v>
                </c:pt>
                <c:pt idx="3">
                  <c:v>10.049999237060547</c:v>
                </c:pt>
                <c:pt idx="4">
                  <c:v>10.09999942779541</c:v>
                </c:pt>
                <c:pt idx="5">
                  <c:v>10.149999618530273</c:v>
                </c:pt>
                <c:pt idx="6">
                  <c:v>10.199999809265137</c:v>
                </c:pt>
                <c:pt idx="7">
                  <c:v>10.25</c:v>
                </c:pt>
                <c:pt idx="8">
                  <c:v>10.299999237060547</c:v>
                </c:pt>
                <c:pt idx="9">
                  <c:v>10.34999942779541</c:v>
                </c:pt>
                <c:pt idx="10">
                  <c:v>10.399999618530273</c:v>
                </c:pt>
                <c:pt idx="11">
                  <c:v>10.449999809265137</c:v>
                </c:pt>
                <c:pt idx="12">
                  <c:v>10.5</c:v>
                </c:pt>
              </c:numCache>
            </c:numRef>
          </c:cat>
          <c:val>
            <c:numRef>
              <c:f>'impact of cp and sp'!$P$5:$P$17</c:f>
              <c:numCache>
                <c:formatCode>General</c:formatCode>
                <c:ptCount val="13"/>
                <c:pt idx="0">
                  <c:v>4695.9199599456788</c:v>
                </c:pt>
                <c:pt idx="1">
                  <c:v>4702.9199866485596</c:v>
                </c:pt>
                <c:pt idx="2">
                  <c:v>4709.9200133514405</c:v>
                </c:pt>
                <c:pt idx="3">
                  <c:v>4716.9199065399171</c:v>
                </c:pt>
                <c:pt idx="4">
                  <c:v>4723.9199332427979</c:v>
                </c:pt>
                <c:pt idx="5">
                  <c:v>4730.9199599456788</c:v>
                </c:pt>
                <c:pt idx="6">
                  <c:v>4737.9199866485596</c:v>
                </c:pt>
                <c:pt idx="7">
                  <c:v>4744.9200133514405</c:v>
                </c:pt>
                <c:pt idx="8">
                  <c:v>4751.9199065399171</c:v>
                </c:pt>
                <c:pt idx="9">
                  <c:v>4758.9199332427979</c:v>
                </c:pt>
                <c:pt idx="10">
                  <c:v>4765.9199599456788</c:v>
                </c:pt>
                <c:pt idx="11">
                  <c:v>4772.9199866485596</c:v>
                </c:pt>
                <c:pt idx="12">
                  <c:v>4779.9200133514405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0-40AC-BB75-C688544FC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428751"/>
        <c:axId val="1608442063"/>
      </c:lineChart>
      <c:catAx>
        <c:axId val="1608428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Input2 ($G$4)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08442063"/>
        <c:crosses val="autoZero"/>
        <c:auto val="1"/>
        <c:lblAlgn val="ctr"/>
        <c:lblOffset val="100"/>
        <c:noMultiLvlLbl val="0"/>
      </c:catAx>
      <c:valAx>
        <c:axId val="160844206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842875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'impact of cp and sp'!$T$1</c:f>
          <c:strCache>
            <c:ptCount val="1"/>
            <c:pt idx="0">
              <c:v>Sensitivity of $C$20 to Input1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'impact of cp and sp'!$A$5:$A$13</c:f>
              <c:numCache>
                <c:formatCode>0.00</c:formatCode>
                <c:ptCount val="9"/>
                <c:pt idx="0">
                  <c:v>5.5999999046325684</c:v>
                </c:pt>
                <c:pt idx="1">
                  <c:v>5.6500000953674316</c:v>
                </c:pt>
                <c:pt idx="2">
                  <c:v>5.6999998092651367</c:v>
                </c:pt>
                <c:pt idx="3">
                  <c:v>5.75</c:v>
                </c:pt>
                <c:pt idx="4">
                  <c:v>5.7999997138977051</c:v>
                </c:pt>
                <c:pt idx="5">
                  <c:v>5.8499999046325684</c:v>
                </c:pt>
                <c:pt idx="6">
                  <c:v>5.9000000953674316</c:v>
                </c:pt>
                <c:pt idx="7">
                  <c:v>5.9499998092651367</c:v>
                </c:pt>
                <c:pt idx="8">
                  <c:v>6</c:v>
                </c:pt>
              </c:numCache>
            </c:numRef>
          </c:cat>
          <c:val>
            <c:numRef>
              <c:f>'impact of cp and sp'!$T$5:$T$13</c:f>
              <c:numCache>
                <c:formatCode>General</c:formatCode>
                <c:ptCount val="9"/>
                <c:pt idx="0">
                  <c:v>4695.9199599456788</c:v>
                </c:pt>
                <c:pt idx="1">
                  <c:v>4688.9199332427979</c:v>
                </c:pt>
                <c:pt idx="2">
                  <c:v>4681.9199732971192</c:v>
                </c:pt>
                <c:pt idx="3">
                  <c:v>4674.9199465942384</c:v>
                </c:pt>
                <c:pt idx="4">
                  <c:v>4667.9199866485596</c:v>
                </c:pt>
                <c:pt idx="5">
                  <c:v>4660.9199599456788</c:v>
                </c:pt>
                <c:pt idx="6">
                  <c:v>4653.9199332427979</c:v>
                </c:pt>
                <c:pt idx="7">
                  <c:v>4646.9199732971192</c:v>
                </c:pt>
                <c:pt idx="8">
                  <c:v>4639.9199465942384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B-4711-8956-C98B9056E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447887"/>
        <c:axId val="1608442479"/>
      </c:lineChart>
      <c:catAx>
        <c:axId val="1608447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Input1 ($F$4)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08442479"/>
        <c:crosses val="autoZero"/>
        <c:auto val="1"/>
        <c:lblAlgn val="ctr"/>
        <c:lblOffset val="100"/>
        <c:noMultiLvlLbl val="0"/>
      </c:catAx>
      <c:valAx>
        <c:axId val="160844247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844788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0</xdr:colOff>
      <xdr:row>21</xdr:row>
      <xdr:rowOff>57150</xdr:rowOff>
    </xdr:from>
    <xdr:to>
      <xdr:col>24</xdr:col>
      <xdr:colOff>0</xdr:colOff>
      <xdr:row>39</xdr:row>
      <xdr:rowOff>57150</xdr:rowOff>
    </xdr:to>
    <xdr:graphicFrame macro="">
      <xdr:nvGraphicFramePr>
        <xdr:cNvPr id="2" name="STS_2_Chart1">
          <a:extLst>
            <a:ext uri="{FF2B5EF4-FFF2-40B4-BE49-F238E27FC236}">
              <a16:creationId xmlns:a16="http://schemas.microsoft.com/office/drawing/2014/main" id="{CE28C92C-D2F7-4EE3-B0CC-D664B7BC6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25</xdr:col>
      <xdr:colOff>0</xdr:colOff>
      <xdr:row>21</xdr:row>
      <xdr:rowOff>57150</xdr:rowOff>
    </xdr:from>
    <xdr:to>
      <xdr:col>33</xdr:col>
      <xdr:colOff>0</xdr:colOff>
      <xdr:row>39</xdr:row>
      <xdr:rowOff>57150</xdr:rowOff>
    </xdr:to>
    <xdr:graphicFrame macro="">
      <xdr:nvGraphicFramePr>
        <xdr:cNvPr id="3" name="STS_2_Chart2">
          <a:extLst>
            <a:ext uri="{FF2B5EF4-FFF2-40B4-BE49-F238E27FC236}">
              <a16:creationId xmlns:a16="http://schemas.microsoft.com/office/drawing/2014/main" id="{F444B42C-4193-4EB4-BDDD-EADE42E6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23</xdr:col>
      <xdr:colOff>0</xdr:colOff>
      <xdr:row>3</xdr:row>
      <xdr:rowOff>88900</xdr:rowOff>
    </xdr:from>
    <xdr:to>
      <xdr:col>29</xdr:col>
      <xdr:colOff>0</xdr:colOff>
      <xdr:row>10</xdr:row>
      <xdr:rowOff>44450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05442E-CDBB-4DDB-8CD3-22EDB14436DB}"/>
            </a:ext>
          </a:extLst>
        </xdr:cNvPr>
        <xdr:cNvSpPr txBox="1"/>
      </xdr:nvSpPr>
      <xdr:spPr>
        <a:xfrm>
          <a:off x="1383665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$P$4, $Q$4, $T$4, and $U$4,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FC9B-1068-254F-94DC-2E9F0940B2A7}">
  <dimension ref="A1:E32"/>
  <sheetViews>
    <sheetView topLeftCell="A13" zoomScale="86" zoomScaleNormal="86" workbookViewId="0">
      <selection activeCell="G37" sqref="G37"/>
    </sheetView>
  </sheetViews>
  <sheetFormatPr defaultColWidth="10.90625" defaultRowHeight="12.5" x14ac:dyDescent="0.25"/>
  <cols>
    <col min="1" max="1" width="59.08984375" customWidth="1"/>
    <col min="2" max="2" width="13" customWidth="1"/>
  </cols>
  <sheetData>
    <row r="1" spans="1:5" ht="13" x14ac:dyDescent="0.3">
      <c r="A1" s="12" t="s">
        <v>100</v>
      </c>
      <c r="B1" s="10"/>
      <c r="C1" s="10"/>
      <c r="D1" s="10"/>
      <c r="E1" s="10"/>
    </row>
    <row r="2" spans="1:5" x14ac:dyDescent="0.25">
      <c r="A2" s="13"/>
      <c r="B2" s="10"/>
      <c r="C2" s="10"/>
      <c r="D2" s="10"/>
      <c r="E2" s="10"/>
    </row>
    <row r="3" spans="1:5" ht="14.5" x14ac:dyDescent="0.35">
      <c r="A3" s="14" t="s">
        <v>9</v>
      </c>
      <c r="B3" s="10"/>
      <c r="C3" s="10"/>
      <c r="D3" s="10"/>
      <c r="E3" s="10"/>
    </row>
    <row r="4" spans="1:5" ht="14.5" x14ac:dyDescent="0.35">
      <c r="A4" s="53" t="s">
        <v>77</v>
      </c>
      <c r="B4" s="54" t="s">
        <v>42</v>
      </c>
      <c r="C4" s="10"/>
      <c r="D4" s="10"/>
      <c r="E4" s="10"/>
    </row>
    <row r="5" spans="1:5" ht="14.5" x14ac:dyDescent="0.35">
      <c r="A5" s="53" t="s">
        <v>78</v>
      </c>
      <c r="B5" s="54" t="s">
        <v>43</v>
      </c>
      <c r="C5" s="10"/>
      <c r="D5" s="10"/>
      <c r="E5" s="10"/>
    </row>
    <row r="6" spans="1:5" ht="14.5" x14ac:dyDescent="0.35">
      <c r="A6" s="53" t="s">
        <v>79</v>
      </c>
      <c r="B6" s="54" t="s">
        <v>45</v>
      </c>
      <c r="C6" s="10"/>
      <c r="D6" s="10"/>
      <c r="E6" s="10"/>
    </row>
    <row r="7" spans="1:5" ht="14.5" x14ac:dyDescent="0.35">
      <c r="A7" s="53" t="s">
        <v>80</v>
      </c>
      <c r="B7" s="54" t="s">
        <v>44</v>
      </c>
      <c r="C7" s="10"/>
      <c r="D7" s="10"/>
      <c r="E7" s="10"/>
    </row>
    <row r="8" spans="1:5" ht="14.5" x14ac:dyDescent="0.35">
      <c r="A8" s="53" t="s">
        <v>81</v>
      </c>
      <c r="B8" s="54" t="s">
        <v>46</v>
      </c>
      <c r="C8" s="10"/>
      <c r="D8" s="10"/>
      <c r="E8" s="10"/>
    </row>
    <row r="9" spans="1:5" x14ac:dyDescent="0.25">
      <c r="A9" s="13"/>
      <c r="B9" s="10"/>
      <c r="C9" s="10"/>
      <c r="D9" s="10"/>
      <c r="E9" s="10"/>
    </row>
    <row r="10" spans="1:5" ht="14.5" x14ac:dyDescent="0.35">
      <c r="A10" s="14" t="s">
        <v>25</v>
      </c>
      <c r="B10" s="10"/>
      <c r="C10" s="10"/>
      <c r="D10" s="10"/>
      <c r="E10" s="10"/>
    </row>
    <row r="11" spans="1:5" ht="27" customHeight="1" x14ac:dyDescent="0.3">
      <c r="A11" s="8" t="s">
        <v>47</v>
      </c>
      <c r="B11" s="56" t="s">
        <v>55</v>
      </c>
      <c r="C11" s="56"/>
      <c r="D11" s="56"/>
      <c r="E11" s="56"/>
    </row>
    <row r="12" spans="1:5" s="9" customFormat="1" ht="15" customHeight="1" x14ac:dyDescent="0.25">
      <c r="A12" s="16"/>
      <c r="B12" s="17"/>
      <c r="C12" s="17"/>
      <c r="D12" s="17"/>
      <c r="E12" s="17"/>
    </row>
    <row r="13" spans="1:5" ht="14.5" x14ac:dyDescent="0.35">
      <c r="A13" s="14" t="s">
        <v>10</v>
      </c>
      <c r="B13" s="10"/>
      <c r="C13" s="10"/>
      <c r="D13" s="10"/>
      <c r="E13" s="10"/>
    </row>
    <row r="14" spans="1:5" ht="18" customHeight="1" x14ac:dyDescent="0.35">
      <c r="A14" s="53" t="s">
        <v>29</v>
      </c>
      <c r="B14" s="55" t="s">
        <v>74</v>
      </c>
      <c r="C14" s="55"/>
      <c r="D14" s="55"/>
      <c r="E14" s="55"/>
    </row>
    <row r="15" spans="1:5" ht="14.5" x14ac:dyDescent="0.35">
      <c r="A15" s="53" t="s">
        <v>30</v>
      </c>
      <c r="B15" s="55" t="s">
        <v>75</v>
      </c>
      <c r="C15" s="55"/>
      <c r="D15" s="55"/>
      <c r="E15" s="55"/>
    </row>
    <row r="16" spans="1:5" ht="14.5" x14ac:dyDescent="0.35">
      <c r="A16" s="53" t="s">
        <v>76</v>
      </c>
      <c r="B16" s="55" t="s">
        <v>98</v>
      </c>
      <c r="C16" s="55"/>
      <c r="D16" s="55"/>
      <c r="E16" s="55"/>
    </row>
    <row r="17" spans="1:5" ht="14.5" x14ac:dyDescent="0.35">
      <c r="A17" s="53" t="s">
        <v>82</v>
      </c>
      <c r="B17" s="55" t="s">
        <v>48</v>
      </c>
      <c r="C17" s="55"/>
      <c r="D17" s="55"/>
      <c r="E17" s="55"/>
    </row>
    <row r="18" spans="1:5" ht="14.5" x14ac:dyDescent="0.35">
      <c r="A18" s="53" t="s">
        <v>28</v>
      </c>
      <c r="B18" s="55" t="s">
        <v>83</v>
      </c>
      <c r="C18" s="55"/>
      <c r="D18" s="55"/>
      <c r="E18" s="55"/>
    </row>
    <row r="19" spans="1:5" ht="14.5" x14ac:dyDescent="0.35">
      <c r="A19" s="53" t="s">
        <v>84</v>
      </c>
      <c r="B19" s="55" t="s">
        <v>101</v>
      </c>
      <c r="C19" s="55"/>
      <c r="D19" s="55"/>
      <c r="E19" s="55"/>
    </row>
    <row r="20" spans="1:5" ht="14.5" x14ac:dyDescent="0.35">
      <c r="A20" s="53" t="s">
        <v>96</v>
      </c>
      <c r="B20" s="55" t="s">
        <v>102</v>
      </c>
      <c r="C20" s="55"/>
      <c r="D20" s="55"/>
      <c r="E20" s="55"/>
    </row>
    <row r="21" spans="1:5" ht="14.5" x14ac:dyDescent="0.35">
      <c r="A21" s="53" t="s">
        <v>97</v>
      </c>
      <c r="B21" s="55" t="s">
        <v>99</v>
      </c>
      <c r="C21" s="55"/>
      <c r="D21" s="55"/>
      <c r="E21" s="55"/>
    </row>
    <row r="22" spans="1:5" ht="14.5" x14ac:dyDescent="0.35">
      <c r="A22" s="53" t="s">
        <v>85</v>
      </c>
      <c r="B22" s="55" t="s">
        <v>90</v>
      </c>
      <c r="C22" s="55"/>
      <c r="D22" s="55"/>
      <c r="E22" s="55"/>
    </row>
    <row r="23" spans="1:5" ht="14.5" x14ac:dyDescent="0.35">
      <c r="A23" s="53" t="s">
        <v>86</v>
      </c>
      <c r="B23" s="55" t="s">
        <v>89</v>
      </c>
      <c r="C23" s="55"/>
      <c r="D23" s="55"/>
      <c r="E23" s="55"/>
    </row>
    <row r="24" spans="1:5" ht="14.5" x14ac:dyDescent="0.35">
      <c r="A24" s="53" t="s">
        <v>87</v>
      </c>
      <c r="B24" s="55" t="s">
        <v>88</v>
      </c>
      <c r="C24" s="55"/>
      <c r="D24" s="55"/>
      <c r="E24" s="55"/>
    </row>
    <row r="25" spans="1:5" ht="14.5" x14ac:dyDescent="0.35">
      <c r="A25" s="53" t="s">
        <v>91</v>
      </c>
      <c r="B25" s="55" t="s">
        <v>49</v>
      </c>
      <c r="C25" s="55"/>
      <c r="D25" s="55"/>
      <c r="E25" s="55"/>
    </row>
    <row r="26" spans="1:5" ht="14.5" x14ac:dyDescent="0.35">
      <c r="A26" s="53" t="s">
        <v>92</v>
      </c>
      <c r="B26" s="55" t="s">
        <v>50</v>
      </c>
      <c r="C26" s="55"/>
      <c r="D26" s="55"/>
      <c r="E26" s="55"/>
    </row>
    <row r="27" spans="1:5" ht="14.5" x14ac:dyDescent="0.35">
      <c r="A27" s="53" t="s">
        <v>93</v>
      </c>
      <c r="B27" s="55" t="s">
        <v>51</v>
      </c>
      <c r="C27" s="55"/>
      <c r="D27" s="55"/>
      <c r="E27" s="55"/>
    </row>
    <row r="28" spans="1:5" ht="14.5" x14ac:dyDescent="0.35">
      <c r="A28" s="53" t="s">
        <v>94</v>
      </c>
      <c r="B28" s="55" t="s">
        <v>52</v>
      </c>
      <c r="C28" s="55"/>
      <c r="D28" s="55"/>
      <c r="E28" s="55"/>
    </row>
    <row r="29" spans="1:5" ht="14.5" x14ac:dyDescent="0.35">
      <c r="A29" s="53" t="s">
        <v>95</v>
      </c>
      <c r="B29" s="55" t="s">
        <v>53</v>
      </c>
      <c r="C29" s="55"/>
      <c r="D29" s="55"/>
      <c r="E29" s="55"/>
    </row>
    <row r="30" spans="1:5" ht="14.5" x14ac:dyDescent="0.35">
      <c r="A30" s="53" t="s">
        <v>32</v>
      </c>
      <c r="B30" s="55" t="s">
        <v>54</v>
      </c>
      <c r="C30" s="55"/>
      <c r="D30" s="55"/>
      <c r="E30" s="55"/>
    </row>
    <row r="31" spans="1:5" ht="14.5" x14ac:dyDescent="0.35">
      <c r="A31" s="53" t="s">
        <v>31</v>
      </c>
      <c r="B31" s="57"/>
      <c r="C31" s="57"/>
      <c r="D31" s="57"/>
      <c r="E31" s="57"/>
    </row>
    <row r="32" spans="1:5" ht="14.5" x14ac:dyDescent="0.35">
      <c r="A32" s="11"/>
    </row>
  </sheetData>
  <mergeCells count="19">
    <mergeCell ref="B31:E31"/>
    <mergeCell ref="B26:E26"/>
    <mergeCell ref="B27:E27"/>
    <mergeCell ref="B28:E28"/>
    <mergeCell ref="B29:E29"/>
    <mergeCell ref="B30:E30"/>
    <mergeCell ref="B11:E11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4BB2-16D8-4622-9B13-0B30BBDD729B}">
  <dimension ref="A1:H34"/>
  <sheetViews>
    <sheetView showGridLines="0" zoomScale="68" workbookViewId="0">
      <selection activeCell="E25" sqref="E25"/>
    </sheetView>
  </sheetViews>
  <sheetFormatPr defaultRowHeight="12.5" x14ac:dyDescent="0.25"/>
  <cols>
    <col min="1" max="1" width="2.1796875" customWidth="1"/>
    <col min="2" max="2" width="6" bestFit="1" customWidth="1"/>
    <col min="3" max="3" width="56.08984375" bestFit="1" customWidth="1"/>
    <col min="4" max="4" width="11.81640625" bestFit="1" customWidth="1"/>
    <col min="5" max="5" width="12.453125" bestFit="1" customWidth="1"/>
    <col min="6" max="6" width="10.08984375" bestFit="1" customWidth="1"/>
    <col min="7" max="8" width="11.81640625" bestFit="1" customWidth="1"/>
  </cols>
  <sheetData>
    <row r="1" spans="1:8" ht="13" x14ac:dyDescent="0.3">
      <c r="A1" s="1" t="s">
        <v>106</v>
      </c>
    </row>
    <row r="2" spans="1:8" ht="13" x14ac:dyDescent="0.3">
      <c r="A2" s="1" t="s">
        <v>107</v>
      </c>
    </row>
    <row r="3" spans="1:8" ht="13" x14ac:dyDescent="0.3">
      <c r="A3" s="1" t="s">
        <v>108</v>
      </c>
    </row>
    <row r="6" spans="1:8" ht="13" thickBot="1" x14ac:dyDescent="0.3">
      <c r="A6" t="s">
        <v>109</v>
      </c>
    </row>
    <row r="7" spans="1:8" ht="13" x14ac:dyDescent="0.3">
      <c r="B7" s="60"/>
      <c r="C7" s="60"/>
      <c r="D7" s="60" t="s">
        <v>112</v>
      </c>
      <c r="E7" s="60" t="s">
        <v>114</v>
      </c>
      <c r="F7" s="60" t="s">
        <v>116</v>
      </c>
      <c r="G7" s="60" t="s">
        <v>118</v>
      </c>
      <c r="H7" s="60" t="s">
        <v>118</v>
      </c>
    </row>
    <row r="8" spans="1:8" ht="13.5" thickBot="1" x14ac:dyDescent="0.35">
      <c r="B8" s="61" t="s">
        <v>110</v>
      </c>
      <c r="C8" s="61" t="s">
        <v>111</v>
      </c>
      <c r="D8" s="61" t="s">
        <v>113</v>
      </c>
      <c r="E8" s="61" t="s">
        <v>115</v>
      </c>
      <c r="F8" s="61" t="s">
        <v>117</v>
      </c>
      <c r="G8" s="61" t="s">
        <v>119</v>
      </c>
      <c r="H8" s="61" t="s">
        <v>120</v>
      </c>
    </row>
    <row r="9" spans="1:8" x14ac:dyDescent="0.25">
      <c r="B9" s="58" t="s">
        <v>125</v>
      </c>
      <c r="C9" s="58" t="s">
        <v>11</v>
      </c>
      <c r="D9" s="58">
        <v>140</v>
      </c>
      <c r="E9" s="58">
        <v>0</v>
      </c>
      <c r="F9" s="58">
        <v>4.29</v>
      </c>
      <c r="G9" s="58">
        <v>1.6369565217391295</v>
      </c>
      <c r="H9" s="58">
        <v>1E+30</v>
      </c>
    </row>
    <row r="10" spans="1:8" x14ac:dyDescent="0.25">
      <c r="B10" s="58" t="s">
        <v>126</v>
      </c>
      <c r="C10" s="58" t="s">
        <v>12</v>
      </c>
      <c r="D10" s="58">
        <v>169.13043478260869</v>
      </c>
      <c r="E10" s="58">
        <v>0</v>
      </c>
      <c r="F10" s="58">
        <v>6.45</v>
      </c>
      <c r="G10" s="58">
        <v>15.329999999999995</v>
      </c>
      <c r="H10" s="58">
        <v>1.1955000000000013</v>
      </c>
    </row>
    <row r="11" spans="1:8" x14ac:dyDescent="0.25">
      <c r="B11" s="58" t="s">
        <v>127</v>
      </c>
      <c r="C11" s="58" t="s">
        <v>13</v>
      </c>
      <c r="D11" s="58">
        <v>140</v>
      </c>
      <c r="E11" s="58">
        <v>0</v>
      </c>
      <c r="F11" s="58">
        <v>7.4099999999999984</v>
      </c>
      <c r="G11" s="58">
        <v>1.0395652173913057</v>
      </c>
      <c r="H11" s="58">
        <v>1E+30</v>
      </c>
    </row>
    <row r="12" spans="1:8" x14ac:dyDescent="0.25">
      <c r="B12" s="58" t="s">
        <v>128</v>
      </c>
      <c r="C12" s="58" t="s">
        <v>14</v>
      </c>
      <c r="D12" s="58">
        <v>252.60869565217391</v>
      </c>
      <c r="E12" s="58">
        <v>0</v>
      </c>
      <c r="F12" s="58">
        <v>7.259999999999998</v>
      </c>
      <c r="G12" s="58">
        <v>1.9542857142857168</v>
      </c>
      <c r="H12" s="58">
        <v>2.21470588235294</v>
      </c>
    </row>
    <row r="13" spans="1:8" ht="13" thickBot="1" x14ac:dyDescent="0.3">
      <c r="B13" s="59" t="s">
        <v>129</v>
      </c>
      <c r="C13" s="59" t="s">
        <v>15</v>
      </c>
      <c r="D13" s="59">
        <v>70</v>
      </c>
      <c r="E13" s="59">
        <v>0</v>
      </c>
      <c r="F13" s="59">
        <v>5.6099999999999994</v>
      </c>
      <c r="G13" s="59">
        <v>3.4343478260869573</v>
      </c>
      <c r="H13" s="59">
        <v>1E+30</v>
      </c>
    </row>
    <row r="15" spans="1:8" ht="13" thickBot="1" x14ac:dyDescent="0.3">
      <c r="A15" t="s">
        <v>2</v>
      </c>
    </row>
    <row r="16" spans="1:8" ht="13" x14ac:dyDescent="0.3">
      <c r="B16" s="60"/>
      <c r="C16" s="60"/>
      <c r="D16" s="60" t="s">
        <v>112</v>
      </c>
      <c r="E16" s="60" t="s">
        <v>121</v>
      </c>
      <c r="F16" s="60" t="s">
        <v>123</v>
      </c>
      <c r="G16" s="60" t="s">
        <v>118</v>
      </c>
      <c r="H16" s="60" t="s">
        <v>118</v>
      </c>
    </row>
    <row r="17" spans="2:8" ht="13.5" thickBot="1" x14ac:dyDescent="0.35">
      <c r="B17" s="61" t="s">
        <v>110</v>
      </c>
      <c r="C17" s="61" t="s">
        <v>111</v>
      </c>
      <c r="D17" s="61" t="s">
        <v>113</v>
      </c>
      <c r="E17" s="61" t="s">
        <v>122</v>
      </c>
      <c r="F17" s="61" t="s">
        <v>124</v>
      </c>
      <c r="G17" s="61" t="s">
        <v>119</v>
      </c>
      <c r="H17" s="61" t="s">
        <v>120</v>
      </c>
    </row>
    <row r="18" spans="2:8" x14ac:dyDescent="0.25">
      <c r="B18" s="58" t="s">
        <v>130</v>
      </c>
      <c r="C18" s="58" t="s">
        <v>131</v>
      </c>
      <c r="D18" s="58">
        <v>4208.695652173913</v>
      </c>
      <c r="E18" s="58">
        <v>0</v>
      </c>
      <c r="F18" s="58">
        <v>5670</v>
      </c>
      <c r="G18" s="58">
        <v>1E+30</v>
      </c>
      <c r="H18" s="58">
        <v>1461.304347826087</v>
      </c>
    </row>
    <row r="19" spans="2:8" x14ac:dyDescent="0.25">
      <c r="B19" s="58" t="s">
        <v>132</v>
      </c>
      <c r="C19" s="58" t="s">
        <v>133</v>
      </c>
      <c r="D19" s="58">
        <v>6930</v>
      </c>
      <c r="E19" s="58">
        <v>0.66652173913043455</v>
      </c>
      <c r="F19" s="58">
        <v>6930</v>
      </c>
      <c r="G19" s="58">
        <v>267.49999999999977</v>
      </c>
      <c r="H19" s="58">
        <v>1400</v>
      </c>
    </row>
    <row r="20" spans="2:8" x14ac:dyDescent="0.25">
      <c r="B20" s="58" t="s">
        <v>134</v>
      </c>
      <c r="C20" s="58" t="s">
        <v>135</v>
      </c>
      <c r="D20" s="58">
        <v>1586.5217391304348</v>
      </c>
      <c r="E20" s="58">
        <v>0</v>
      </c>
      <c r="F20" s="58">
        <v>4800</v>
      </c>
      <c r="G20" s="58">
        <v>1E+30</v>
      </c>
      <c r="H20" s="58">
        <v>3213.478260869565</v>
      </c>
    </row>
    <row r="21" spans="2:8" x14ac:dyDescent="0.25">
      <c r="B21" s="58" t="s">
        <v>136</v>
      </c>
      <c r="C21" s="58" t="s">
        <v>137</v>
      </c>
      <c r="D21" s="58">
        <v>2834.3478260869565</v>
      </c>
      <c r="E21" s="58">
        <v>0</v>
      </c>
      <c r="F21" s="58">
        <v>4000</v>
      </c>
      <c r="G21" s="58">
        <v>1E+30</v>
      </c>
      <c r="H21" s="58">
        <v>1165.6521739130435</v>
      </c>
    </row>
    <row r="22" spans="2:8" x14ac:dyDescent="0.25">
      <c r="B22" s="58" t="s">
        <v>138</v>
      </c>
      <c r="C22" s="58" t="s">
        <v>139</v>
      </c>
      <c r="D22" s="58">
        <v>2752.608695652174</v>
      </c>
      <c r="E22" s="58">
        <v>0</v>
      </c>
      <c r="F22" s="58">
        <v>3840</v>
      </c>
      <c r="G22" s="58">
        <v>1E+30</v>
      </c>
      <c r="H22" s="58">
        <v>1087.391304347826</v>
      </c>
    </row>
    <row r="23" spans="2:8" x14ac:dyDescent="0.25">
      <c r="B23" s="58" t="s">
        <v>140</v>
      </c>
      <c r="C23" s="58" t="s">
        <v>141</v>
      </c>
      <c r="D23" s="58">
        <v>1069.1304347826087</v>
      </c>
      <c r="E23" s="58">
        <v>0</v>
      </c>
      <c r="F23" s="58">
        <v>1600</v>
      </c>
      <c r="G23" s="58">
        <v>1E+30</v>
      </c>
      <c r="H23" s="58">
        <v>530.86956521739125</v>
      </c>
    </row>
    <row r="24" spans="2:8" x14ac:dyDescent="0.25">
      <c r="B24" s="58" t="s">
        <v>142</v>
      </c>
      <c r="C24" s="58" t="s">
        <v>143</v>
      </c>
      <c r="D24" s="58">
        <v>840</v>
      </c>
      <c r="E24" s="58">
        <v>0</v>
      </c>
      <c r="F24" s="58">
        <v>2240</v>
      </c>
      <c r="G24" s="58">
        <v>1E+30</v>
      </c>
      <c r="H24" s="58">
        <v>1400</v>
      </c>
    </row>
    <row r="25" spans="2:8" x14ac:dyDescent="0.25">
      <c r="B25" s="58" t="s">
        <v>144</v>
      </c>
      <c r="C25" s="58" t="s">
        <v>145</v>
      </c>
      <c r="D25" s="58">
        <v>1600</v>
      </c>
      <c r="E25" s="58">
        <v>0.59478260869565291</v>
      </c>
      <c r="F25" s="58">
        <v>1600</v>
      </c>
      <c r="G25" s="58">
        <v>178.33333333333323</v>
      </c>
      <c r="H25" s="58">
        <v>228.00000000000003</v>
      </c>
    </row>
    <row r="26" spans="2:8" x14ac:dyDescent="0.25">
      <c r="B26" s="58" t="s">
        <v>146</v>
      </c>
      <c r="C26" s="58" t="s">
        <v>147</v>
      </c>
      <c r="D26" s="58">
        <v>1543.4782608695652</v>
      </c>
      <c r="E26" s="58">
        <v>0</v>
      </c>
      <c r="F26" s="58">
        <v>1800</v>
      </c>
      <c r="G26" s="58">
        <v>1E+30</v>
      </c>
      <c r="H26" s="58">
        <v>256.52173913043481</v>
      </c>
    </row>
    <row r="27" spans="2:8" x14ac:dyDescent="0.25">
      <c r="B27" s="58" t="s">
        <v>148</v>
      </c>
      <c r="C27" s="58" t="s">
        <v>149</v>
      </c>
      <c r="D27" s="58">
        <v>2231.7391304347825</v>
      </c>
      <c r="E27" s="58">
        <v>0</v>
      </c>
      <c r="F27" s="58">
        <v>3200</v>
      </c>
      <c r="G27" s="58">
        <v>1E+30</v>
      </c>
      <c r="H27" s="58">
        <v>968.26086956521738</v>
      </c>
    </row>
    <row r="28" spans="2:8" x14ac:dyDescent="0.25">
      <c r="B28" s="58" t="s">
        <v>150</v>
      </c>
      <c r="C28" s="58" t="s">
        <v>151</v>
      </c>
      <c r="D28" s="58">
        <v>1403.4782608695652</v>
      </c>
      <c r="E28" s="58">
        <v>0</v>
      </c>
      <c r="F28" s="58">
        <v>1450</v>
      </c>
      <c r="G28" s="58">
        <v>1E+30</v>
      </c>
      <c r="H28" s="58">
        <v>46.521739130434753</v>
      </c>
    </row>
    <row r="29" spans="2:8" x14ac:dyDescent="0.25">
      <c r="B29" s="58" t="s">
        <v>152</v>
      </c>
      <c r="C29" s="58" t="s">
        <v>153</v>
      </c>
      <c r="D29" s="58">
        <v>140</v>
      </c>
      <c r="E29" s="58">
        <v>-1.6369565217391295</v>
      </c>
      <c r="F29" s="58">
        <v>140</v>
      </c>
      <c r="G29" s="58">
        <v>133.74999999999994</v>
      </c>
      <c r="H29" s="58">
        <v>140</v>
      </c>
    </row>
    <row r="30" spans="2:8" x14ac:dyDescent="0.25">
      <c r="B30" s="58" t="s">
        <v>154</v>
      </c>
      <c r="C30" s="58" t="s">
        <v>155</v>
      </c>
      <c r="D30" s="58">
        <v>169.13043478260869</v>
      </c>
      <c r="E30" s="58">
        <v>0</v>
      </c>
      <c r="F30" s="58">
        <v>70</v>
      </c>
      <c r="G30" s="58">
        <v>99.130434782608702</v>
      </c>
      <c r="H30" s="58">
        <v>1E+30</v>
      </c>
    </row>
    <row r="31" spans="2:8" x14ac:dyDescent="0.25">
      <c r="B31" s="58" t="s">
        <v>156</v>
      </c>
      <c r="C31" s="58" t="s">
        <v>157</v>
      </c>
      <c r="D31" s="58">
        <v>140</v>
      </c>
      <c r="E31" s="58">
        <v>-1.0395652173913057</v>
      </c>
      <c r="F31" s="58">
        <v>140</v>
      </c>
      <c r="G31" s="58">
        <v>114</v>
      </c>
      <c r="H31" s="58">
        <v>89.166666666666615</v>
      </c>
    </row>
    <row r="32" spans="2:8" x14ac:dyDescent="0.25">
      <c r="B32" s="58" t="s">
        <v>158</v>
      </c>
      <c r="C32" s="58" t="s">
        <v>159</v>
      </c>
      <c r="D32" s="58">
        <v>252.60869565217391</v>
      </c>
      <c r="E32" s="58">
        <v>0</v>
      </c>
      <c r="F32" s="58">
        <v>70</v>
      </c>
      <c r="G32" s="58">
        <v>182.60869565217391</v>
      </c>
      <c r="H32" s="58">
        <v>1E+30</v>
      </c>
    </row>
    <row r="33" spans="2:8" x14ac:dyDescent="0.25">
      <c r="B33" s="58" t="s">
        <v>160</v>
      </c>
      <c r="C33" s="58" t="s">
        <v>161</v>
      </c>
      <c r="D33" s="58">
        <v>70</v>
      </c>
      <c r="E33" s="58">
        <v>-3.4343478260869573</v>
      </c>
      <c r="F33" s="58">
        <v>70</v>
      </c>
      <c r="G33" s="58">
        <v>76</v>
      </c>
      <c r="H33" s="58">
        <v>16.718749999999989</v>
      </c>
    </row>
    <row r="34" spans="2:8" ht="13" thickBot="1" x14ac:dyDescent="0.3">
      <c r="B34" s="59" t="s">
        <v>162</v>
      </c>
      <c r="C34" s="59" t="s">
        <v>163</v>
      </c>
      <c r="D34" s="59">
        <v>771.73913043478262</v>
      </c>
      <c r="E34" s="59">
        <v>0</v>
      </c>
      <c r="F34" s="59">
        <v>1000</v>
      </c>
      <c r="G34" s="59">
        <v>1E+30</v>
      </c>
      <c r="H34" s="59">
        <v>228.26086956521738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zoomScale="70" zoomScaleNormal="110" workbookViewId="0">
      <selection activeCell="F4" sqref="F4"/>
    </sheetView>
  </sheetViews>
  <sheetFormatPr defaultColWidth="8.81640625" defaultRowHeight="12.5" x14ac:dyDescent="0.25"/>
  <cols>
    <col min="1" max="1" width="54.36328125" bestFit="1" customWidth="1"/>
    <col min="3" max="3" width="8.36328125" customWidth="1"/>
    <col min="4" max="4" width="15.36328125" customWidth="1"/>
    <col min="5" max="6" width="15.453125" customWidth="1"/>
    <col min="7" max="7" width="16.453125" customWidth="1"/>
    <col min="8" max="8" width="16.81640625" customWidth="1"/>
    <col min="9" max="9" width="12.36328125" customWidth="1"/>
    <col min="10" max="10" width="28.6328125" customWidth="1"/>
    <col min="11" max="11" width="10.81640625" customWidth="1"/>
    <col min="12" max="12" width="54.36328125" bestFit="1" customWidth="1"/>
    <col min="13" max="13" width="38.81640625" customWidth="1"/>
  </cols>
  <sheetData>
    <row r="1" spans="1:13" ht="11.25" customHeight="1" x14ac:dyDescent="0.3">
      <c r="A1" s="3" t="s">
        <v>164</v>
      </c>
      <c r="D1" s="1"/>
      <c r="E1" s="1"/>
    </row>
    <row r="3" spans="1:13" ht="43.5" x14ac:dyDescent="0.35">
      <c r="A3" s="48" t="s">
        <v>0</v>
      </c>
      <c r="B3" s="49"/>
      <c r="C3" s="49"/>
      <c r="D3" s="50" t="s">
        <v>17</v>
      </c>
      <c r="E3" s="50" t="s">
        <v>18</v>
      </c>
      <c r="F3" s="50" t="s">
        <v>16</v>
      </c>
      <c r="G3" s="50" t="s">
        <v>19</v>
      </c>
      <c r="H3" s="50" t="s">
        <v>20</v>
      </c>
      <c r="I3" s="18"/>
      <c r="J3" s="18"/>
    </row>
    <row r="4" spans="1:13" ht="14.5" x14ac:dyDescent="0.35">
      <c r="A4" s="15" t="s">
        <v>58</v>
      </c>
      <c r="B4" s="19" t="s">
        <v>11</v>
      </c>
      <c r="C4" s="20">
        <v>140</v>
      </c>
      <c r="D4" s="21">
        <v>4</v>
      </c>
      <c r="E4" s="21">
        <v>8</v>
      </c>
      <c r="F4" s="22">
        <v>5.690000057220459</v>
      </c>
      <c r="G4" s="22">
        <v>9.9799995422363281</v>
      </c>
      <c r="H4" s="23">
        <f>G4-F4</f>
        <v>4.2899994850158691</v>
      </c>
      <c r="I4" s="18"/>
      <c r="J4" s="24"/>
      <c r="K4" s="7"/>
    </row>
    <row r="5" spans="1:13" ht="15.5" x14ac:dyDescent="0.35">
      <c r="A5" s="15" t="s">
        <v>59</v>
      </c>
      <c r="B5" s="19" t="s">
        <v>12</v>
      </c>
      <c r="C5" s="20">
        <v>70</v>
      </c>
      <c r="D5" s="21">
        <v>5</v>
      </c>
      <c r="E5" s="21">
        <v>7</v>
      </c>
      <c r="F5" s="22">
        <v>6.54</v>
      </c>
      <c r="G5" s="22">
        <v>12.99</v>
      </c>
      <c r="H5" s="23">
        <f t="shared" ref="H5:H8" si="0">G5-F5</f>
        <v>6.45</v>
      </c>
      <c r="I5" s="18"/>
      <c r="J5" s="24"/>
      <c r="K5" s="7"/>
      <c r="L5" s="4"/>
    </row>
    <row r="6" spans="1:13" ht="15" x14ac:dyDescent="0.35">
      <c r="A6" s="15" t="s">
        <v>60</v>
      </c>
      <c r="B6" s="19" t="s">
        <v>13</v>
      </c>
      <c r="C6" s="20">
        <v>140</v>
      </c>
      <c r="D6" s="25">
        <v>7</v>
      </c>
      <c r="E6" s="25">
        <v>10</v>
      </c>
      <c r="F6" s="23">
        <v>7.58</v>
      </c>
      <c r="G6" s="23">
        <v>14.99</v>
      </c>
      <c r="H6" s="23">
        <f t="shared" si="0"/>
        <v>7.41</v>
      </c>
      <c r="I6" s="18"/>
      <c r="J6" s="24"/>
      <c r="K6" s="7"/>
      <c r="L6" s="6"/>
    </row>
    <row r="7" spans="1:13" ht="15" x14ac:dyDescent="0.35">
      <c r="A7" s="15" t="s">
        <v>61</v>
      </c>
      <c r="B7" s="19" t="s">
        <v>14</v>
      </c>
      <c r="C7" s="20">
        <v>246</v>
      </c>
      <c r="D7" s="25">
        <v>5</v>
      </c>
      <c r="E7" s="25">
        <v>10</v>
      </c>
      <c r="F7" s="23">
        <v>6.73</v>
      </c>
      <c r="G7" s="23">
        <v>13.99</v>
      </c>
      <c r="H7" s="23">
        <f t="shared" si="0"/>
        <v>7.26</v>
      </c>
      <c r="I7" s="18"/>
      <c r="J7" s="24"/>
      <c r="K7" s="7"/>
      <c r="L7" s="6"/>
    </row>
    <row r="8" spans="1:13" ht="14.5" x14ac:dyDescent="0.35">
      <c r="A8" s="15" t="s">
        <v>62</v>
      </c>
      <c r="B8" s="19" t="s">
        <v>15</v>
      </c>
      <c r="C8" s="20">
        <v>146</v>
      </c>
      <c r="D8" s="25">
        <v>8</v>
      </c>
      <c r="E8" s="25">
        <v>10</v>
      </c>
      <c r="F8" s="23">
        <v>12.89</v>
      </c>
      <c r="G8" s="23">
        <v>18.5</v>
      </c>
      <c r="H8" s="23">
        <f t="shared" si="0"/>
        <v>5.6099999999999994</v>
      </c>
      <c r="I8" s="18"/>
      <c r="J8" s="24"/>
      <c r="K8" s="7"/>
    </row>
    <row r="9" spans="1:13" ht="14.5" x14ac:dyDescent="0.35">
      <c r="A9" s="26" t="s">
        <v>23</v>
      </c>
      <c r="B9" s="18"/>
      <c r="C9" s="18"/>
      <c r="D9" s="19">
        <f>4*7.5*7*60*0.45</f>
        <v>5670</v>
      </c>
      <c r="E9" s="19">
        <f>4*7.5*7*60*0.55</f>
        <v>6930.0000000000009</v>
      </c>
      <c r="F9" s="27"/>
      <c r="G9" s="27"/>
      <c r="H9" s="27"/>
      <c r="I9" s="18"/>
      <c r="J9" s="18"/>
    </row>
    <row r="10" spans="1:13" ht="15.5" x14ac:dyDescent="0.35">
      <c r="A10" s="19"/>
      <c r="B10" s="28" t="s">
        <v>4</v>
      </c>
      <c r="C10" s="29">
        <f>SUM(C4:C8)</f>
        <v>742</v>
      </c>
      <c r="D10" s="30"/>
      <c r="E10" s="31"/>
      <c r="F10" s="27"/>
      <c r="G10" s="27"/>
      <c r="H10" s="27"/>
      <c r="I10" s="18"/>
      <c r="J10" s="18"/>
      <c r="M10" s="5"/>
    </row>
    <row r="11" spans="1:13" ht="15.5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M11" s="5"/>
    </row>
    <row r="12" spans="1:13" ht="15.5" x14ac:dyDescent="0.35">
      <c r="A12" s="48" t="s">
        <v>21</v>
      </c>
      <c r="B12" s="51" t="s">
        <v>56</v>
      </c>
      <c r="C12" s="51" t="s">
        <v>57</v>
      </c>
      <c r="D12" s="51" t="s">
        <v>22</v>
      </c>
      <c r="E12" s="51" t="s">
        <v>68</v>
      </c>
      <c r="F12" s="51" t="s">
        <v>69</v>
      </c>
      <c r="G12" s="51" t="s">
        <v>70</v>
      </c>
      <c r="H12" s="51" t="s">
        <v>71</v>
      </c>
      <c r="I12" s="51" t="s">
        <v>72</v>
      </c>
      <c r="J12" s="51" t="s">
        <v>73</v>
      </c>
      <c r="M12" s="5"/>
    </row>
    <row r="13" spans="1:13" ht="14.5" x14ac:dyDescent="0.35">
      <c r="A13" s="32" t="s">
        <v>63</v>
      </c>
      <c r="B13" s="33">
        <v>2</v>
      </c>
      <c r="C13" s="33">
        <v>3</v>
      </c>
      <c r="D13" s="33">
        <v>3</v>
      </c>
      <c r="E13" s="33">
        <v>1</v>
      </c>
      <c r="F13" s="33">
        <v>2</v>
      </c>
      <c r="G13" s="33">
        <v>1</v>
      </c>
      <c r="H13" s="33">
        <v>2</v>
      </c>
      <c r="I13" s="33">
        <v>3</v>
      </c>
      <c r="J13" s="33">
        <v>2</v>
      </c>
    </row>
    <row r="14" spans="1:13" ht="15.5" x14ac:dyDescent="0.35">
      <c r="A14" s="32" t="s">
        <v>64</v>
      </c>
      <c r="B14" s="33">
        <v>4</v>
      </c>
      <c r="C14" s="33">
        <v>4</v>
      </c>
      <c r="D14" s="33">
        <v>6</v>
      </c>
      <c r="E14" s="33">
        <v>4</v>
      </c>
      <c r="F14" s="33">
        <v>0</v>
      </c>
      <c r="G14" s="33">
        <v>3</v>
      </c>
      <c r="H14" s="33">
        <v>2</v>
      </c>
      <c r="I14" s="33">
        <v>4</v>
      </c>
      <c r="J14" s="33">
        <v>2</v>
      </c>
      <c r="L14" s="4"/>
      <c r="M14" s="5"/>
    </row>
    <row r="15" spans="1:13" ht="15.5" x14ac:dyDescent="0.35">
      <c r="A15" s="32" t="s">
        <v>65</v>
      </c>
      <c r="B15" s="33">
        <v>3</v>
      </c>
      <c r="C15" s="33">
        <v>4</v>
      </c>
      <c r="D15" s="33">
        <v>4</v>
      </c>
      <c r="E15" s="33">
        <v>0</v>
      </c>
      <c r="F15" s="33">
        <v>0</v>
      </c>
      <c r="G15" s="33">
        <v>3</v>
      </c>
      <c r="H15" s="33">
        <v>3</v>
      </c>
      <c r="I15" s="33">
        <v>4</v>
      </c>
      <c r="J15" s="33">
        <v>2</v>
      </c>
      <c r="L15" s="6"/>
      <c r="M15" s="5"/>
    </row>
    <row r="16" spans="1:13" ht="14.5" x14ac:dyDescent="0.35">
      <c r="A16" s="32" t="s">
        <v>66</v>
      </c>
      <c r="B16" s="33">
        <v>0</v>
      </c>
      <c r="C16" s="33">
        <v>3</v>
      </c>
      <c r="D16" s="33">
        <v>3</v>
      </c>
      <c r="E16" s="33">
        <v>1</v>
      </c>
      <c r="F16" s="33">
        <v>0</v>
      </c>
      <c r="G16" s="33">
        <v>1</v>
      </c>
      <c r="H16" s="33">
        <v>2</v>
      </c>
      <c r="I16" s="33">
        <v>2</v>
      </c>
      <c r="J16" s="33">
        <v>2</v>
      </c>
    </row>
    <row r="17" spans="1:13" ht="15.5" x14ac:dyDescent="0.35">
      <c r="A17" s="32" t="s">
        <v>67</v>
      </c>
      <c r="B17" s="33">
        <v>3</v>
      </c>
      <c r="C17" s="33">
        <v>6</v>
      </c>
      <c r="D17" s="33">
        <v>0</v>
      </c>
      <c r="E17" s="33">
        <v>0</v>
      </c>
      <c r="F17" s="33">
        <v>8</v>
      </c>
      <c r="G17" s="33">
        <v>4</v>
      </c>
      <c r="H17" s="33">
        <v>0</v>
      </c>
      <c r="I17" s="33">
        <v>1</v>
      </c>
      <c r="J17" s="33">
        <v>0</v>
      </c>
      <c r="L17" s="4"/>
      <c r="M17" s="5"/>
    </row>
    <row r="18" spans="1:13" ht="15" x14ac:dyDescent="0.35">
      <c r="A18" s="26" t="s">
        <v>24</v>
      </c>
      <c r="B18" s="19">
        <f>300*16</f>
        <v>4800</v>
      </c>
      <c r="C18" s="19">
        <f>250*16</f>
        <v>4000</v>
      </c>
      <c r="D18" s="19">
        <f>240*16</f>
        <v>3840</v>
      </c>
      <c r="E18" s="19">
        <f>100*16</f>
        <v>1600</v>
      </c>
      <c r="F18" s="19">
        <f>140*16</f>
        <v>2240</v>
      </c>
      <c r="G18" s="19">
        <f>100*16</f>
        <v>1600</v>
      </c>
      <c r="H18" s="19">
        <v>1800</v>
      </c>
      <c r="I18" s="19">
        <f>3200</f>
        <v>3200</v>
      </c>
      <c r="J18" s="19">
        <f>1450</f>
        <v>1450</v>
      </c>
      <c r="L18" s="6"/>
      <c r="M18" s="6"/>
    </row>
    <row r="19" spans="1:13" ht="15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L19" s="6"/>
      <c r="M19" s="6"/>
    </row>
    <row r="20" spans="1:13" ht="15" x14ac:dyDescent="0.35">
      <c r="A20" s="48" t="s">
        <v>27</v>
      </c>
      <c r="B20" s="34"/>
      <c r="C20" s="35">
        <f>SUMPRODUCT(C4:C8,H4:H8)</f>
        <v>4694.5199279022218</v>
      </c>
      <c r="D20" s="36"/>
      <c r="E20" s="18"/>
      <c r="F20" s="18"/>
      <c r="G20" s="18"/>
      <c r="H20" s="18"/>
      <c r="I20" s="18"/>
      <c r="J20" s="18"/>
      <c r="L20" s="6"/>
      <c r="M20" s="6"/>
    </row>
    <row r="21" spans="1:13" ht="14.5" x14ac:dyDescent="0.35">
      <c r="A21" s="27"/>
      <c r="B21" s="27"/>
      <c r="C21" s="27"/>
      <c r="D21" s="27"/>
      <c r="E21" s="18"/>
      <c r="F21" s="37"/>
      <c r="G21" s="18"/>
      <c r="H21" s="18"/>
      <c r="I21" s="18"/>
      <c r="J21" s="18"/>
    </row>
    <row r="22" spans="1:13" ht="14.5" x14ac:dyDescent="0.35">
      <c r="A22" s="48" t="s">
        <v>2</v>
      </c>
      <c r="B22" s="52" t="s">
        <v>3</v>
      </c>
      <c r="C22" s="52"/>
      <c r="D22" s="52" t="s">
        <v>1</v>
      </c>
      <c r="E22" s="38"/>
      <c r="F22" s="38"/>
      <c r="G22" s="18"/>
      <c r="H22" s="18"/>
      <c r="I22" s="18"/>
      <c r="J22" s="18"/>
    </row>
    <row r="23" spans="1:13" ht="14.5" x14ac:dyDescent="0.35">
      <c r="A23" s="39" t="s">
        <v>29</v>
      </c>
      <c r="B23" s="40">
        <f>SUMPRODUCT(C4:C8,D4:D8)</f>
        <v>4288</v>
      </c>
      <c r="C23" s="25" t="s">
        <v>5</v>
      </c>
      <c r="D23" s="41">
        <v>5670</v>
      </c>
      <c r="E23" s="42"/>
      <c r="F23" s="43"/>
      <c r="G23" s="18"/>
      <c r="H23" s="18"/>
      <c r="I23" s="18"/>
      <c r="J23" s="18"/>
    </row>
    <row r="24" spans="1:13" ht="14.5" x14ac:dyDescent="0.35">
      <c r="A24" s="39" t="s">
        <v>30</v>
      </c>
      <c r="B24" s="40">
        <f>SUMPRODUCT(C4:C8,E4:E8)</f>
        <v>6930</v>
      </c>
      <c r="C24" s="25" t="s">
        <v>5</v>
      </c>
      <c r="D24" s="41">
        <v>6930</v>
      </c>
      <c r="E24" s="42"/>
      <c r="F24" s="44"/>
      <c r="G24" s="18"/>
      <c r="H24" s="18"/>
      <c r="I24" s="18"/>
      <c r="J24" s="18"/>
    </row>
    <row r="25" spans="1:13" ht="14.5" x14ac:dyDescent="0.35">
      <c r="A25" s="53" t="s">
        <v>76</v>
      </c>
      <c r="B25" s="40">
        <f>SUMPRODUCT(C4:C8,B13:B17)</f>
        <v>1418</v>
      </c>
      <c r="C25" s="25" t="s">
        <v>5</v>
      </c>
      <c r="D25" s="41">
        <v>4800</v>
      </c>
      <c r="E25" s="44"/>
      <c r="F25" s="45"/>
      <c r="G25" s="18"/>
      <c r="H25" s="18"/>
      <c r="I25" s="18"/>
      <c r="J25" s="18"/>
    </row>
    <row r="26" spans="1:13" ht="14.5" x14ac:dyDescent="0.35">
      <c r="A26" s="53" t="s">
        <v>82</v>
      </c>
      <c r="B26" s="40">
        <f>SUMPRODUCT(C4:C8,C13:C17)</f>
        <v>2874</v>
      </c>
      <c r="C26" s="25" t="s">
        <v>5</v>
      </c>
      <c r="D26" s="41">
        <v>4000</v>
      </c>
      <c r="E26" s="18"/>
      <c r="F26" s="18"/>
      <c r="G26" s="18"/>
      <c r="H26" s="18"/>
      <c r="I26" s="18"/>
      <c r="J26" s="18"/>
    </row>
    <row r="27" spans="1:13" ht="14.5" x14ac:dyDescent="0.35">
      <c r="A27" s="53" t="s">
        <v>28</v>
      </c>
      <c r="B27" s="40">
        <f>SUMPRODUCT(C4:C8,D13:D17)</f>
        <v>2138</v>
      </c>
      <c r="C27" s="25" t="s">
        <v>5</v>
      </c>
      <c r="D27" s="41">
        <v>3840</v>
      </c>
      <c r="E27" s="18"/>
      <c r="F27" s="18"/>
      <c r="G27" s="18"/>
      <c r="H27" s="18"/>
      <c r="I27" s="18"/>
      <c r="J27" s="18"/>
    </row>
    <row r="28" spans="1:13" ht="14.5" x14ac:dyDescent="0.35">
      <c r="A28" s="53" t="s">
        <v>84</v>
      </c>
      <c r="B28" s="40">
        <f>SUMPRODUCT(C4:C8,E13:E17)</f>
        <v>666</v>
      </c>
      <c r="C28" s="25" t="s">
        <v>5</v>
      </c>
      <c r="D28" s="41">
        <v>1600</v>
      </c>
      <c r="E28" s="18"/>
      <c r="F28" s="18"/>
      <c r="G28" s="18"/>
      <c r="H28" s="18"/>
      <c r="I28" s="18"/>
      <c r="J28" s="18"/>
    </row>
    <row r="29" spans="1:13" ht="14.5" x14ac:dyDescent="0.35">
      <c r="A29" s="53" t="s">
        <v>96</v>
      </c>
      <c r="B29" s="40">
        <f>SUMPRODUCT(C4:C8,F13:F17)</f>
        <v>1448</v>
      </c>
      <c r="C29" s="25" t="s">
        <v>5</v>
      </c>
      <c r="D29" s="41">
        <v>2240</v>
      </c>
      <c r="E29" s="18"/>
      <c r="F29" s="18"/>
      <c r="G29" s="18"/>
      <c r="H29" s="18"/>
      <c r="I29" s="18"/>
      <c r="J29" s="18"/>
    </row>
    <row r="30" spans="1:13" ht="14.5" x14ac:dyDescent="0.35">
      <c r="A30" s="53" t="s">
        <v>97</v>
      </c>
      <c r="B30" s="40">
        <f>SUMPRODUCT(C4:C8,G13:G17)</f>
        <v>1600</v>
      </c>
      <c r="C30" s="25" t="s">
        <v>5</v>
      </c>
      <c r="D30" s="41">
        <v>1600</v>
      </c>
      <c r="E30" s="18"/>
      <c r="F30" s="18"/>
      <c r="G30" s="18"/>
      <c r="H30" s="18"/>
      <c r="I30" s="18"/>
      <c r="J30" s="18"/>
    </row>
    <row r="31" spans="1:13" ht="14.5" x14ac:dyDescent="0.35">
      <c r="A31" s="53" t="s">
        <v>104</v>
      </c>
      <c r="B31" s="40">
        <f>SUMPRODUCT(C4:C8,H13:H17)</f>
        <v>1332</v>
      </c>
      <c r="C31" s="25" t="s">
        <v>5</v>
      </c>
      <c r="D31" s="41">
        <v>1800</v>
      </c>
      <c r="E31" s="18"/>
      <c r="F31" s="18"/>
      <c r="G31" s="18"/>
      <c r="H31" s="18"/>
      <c r="I31" s="18"/>
      <c r="J31" s="18"/>
    </row>
    <row r="32" spans="1:13" ht="14.5" x14ac:dyDescent="0.35">
      <c r="A32" s="53" t="s">
        <v>103</v>
      </c>
      <c r="B32" s="40">
        <f>SUMPRODUCT(C4:C8,I13:I17)</f>
        <v>1898</v>
      </c>
      <c r="C32" s="25" t="s">
        <v>5</v>
      </c>
      <c r="D32" s="41">
        <v>3200</v>
      </c>
      <c r="E32" s="18"/>
      <c r="F32" s="18"/>
      <c r="G32" s="18"/>
      <c r="H32" s="18"/>
      <c r="I32" s="18"/>
      <c r="J32" s="18"/>
    </row>
    <row r="33" spans="1:13" ht="14.5" x14ac:dyDescent="0.35">
      <c r="A33" s="53" t="s">
        <v>105</v>
      </c>
      <c r="B33" s="40">
        <f>SUMPRODUCT(C4:C8,J13:J17)</f>
        <v>1192</v>
      </c>
      <c r="C33" s="25" t="s">
        <v>5</v>
      </c>
      <c r="D33" s="41">
        <v>1450</v>
      </c>
      <c r="E33" s="18"/>
      <c r="F33" s="18"/>
      <c r="G33" s="18"/>
      <c r="H33" s="18"/>
      <c r="I33" s="18"/>
      <c r="J33" s="18"/>
    </row>
    <row r="34" spans="1:13" ht="14.5" x14ac:dyDescent="0.35">
      <c r="A34" s="53" t="s">
        <v>91</v>
      </c>
      <c r="B34" s="40">
        <f>C4</f>
        <v>140</v>
      </c>
      <c r="C34" s="25" t="s">
        <v>26</v>
      </c>
      <c r="D34" s="41">
        <v>140</v>
      </c>
      <c r="E34" s="18"/>
      <c r="F34" s="18"/>
      <c r="G34" s="18"/>
      <c r="H34" s="18"/>
      <c r="I34" s="18"/>
      <c r="J34" s="18"/>
    </row>
    <row r="35" spans="1:13" ht="15" x14ac:dyDescent="0.35">
      <c r="A35" s="53" t="s">
        <v>92</v>
      </c>
      <c r="B35" s="40">
        <f>C5</f>
        <v>70</v>
      </c>
      <c r="C35" s="25" t="s">
        <v>26</v>
      </c>
      <c r="D35" s="41">
        <v>70</v>
      </c>
      <c r="E35" s="18"/>
      <c r="F35" s="18"/>
      <c r="G35" s="18"/>
      <c r="H35" s="18"/>
      <c r="I35" s="18"/>
      <c r="J35" s="18"/>
      <c r="L35" s="6"/>
      <c r="M35" s="6"/>
    </row>
    <row r="36" spans="1:13" ht="14.5" x14ac:dyDescent="0.35">
      <c r="A36" s="53" t="s">
        <v>93</v>
      </c>
      <c r="B36" s="40">
        <f t="shared" ref="B36:B38" si="1">C6</f>
        <v>140</v>
      </c>
      <c r="C36" s="25" t="s">
        <v>26</v>
      </c>
      <c r="D36" s="41">
        <v>140</v>
      </c>
      <c r="E36" s="18"/>
      <c r="F36" s="18"/>
      <c r="G36" s="18"/>
      <c r="H36" s="18"/>
      <c r="I36" s="18"/>
      <c r="J36" s="18"/>
    </row>
    <row r="37" spans="1:13" ht="14.5" x14ac:dyDescent="0.35">
      <c r="A37" s="53" t="s">
        <v>94</v>
      </c>
      <c r="B37" s="40">
        <f t="shared" si="1"/>
        <v>246</v>
      </c>
      <c r="C37" s="25" t="s">
        <v>26</v>
      </c>
      <c r="D37" s="41">
        <v>70</v>
      </c>
      <c r="E37" s="18"/>
      <c r="F37" s="18"/>
      <c r="G37" s="18"/>
      <c r="H37" s="18"/>
      <c r="I37" s="18"/>
      <c r="J37" s="18"/>
    </row>
    <row r="38" spans="1:13" ht="14.5" x14ac:dyDescent="0.35">
      <c r="A38" s="53" t="s">
        <v>95</v>
      </c>
      <c r="B38" s="40">
        <f t="shared" si="1"/>
        <v>146</v>
      </c>
      <c r="C38" s="25" t="s">
        <v>26</v>
      </c>
      <c r="D38" s="41">
        <v>70</v>
      </c>
      <c r="E38" s="18"/>
      <c r="F38" s="18"/>
      <c r="G38" s="18"/>
      <c r="H38" s="18"/>
      <c r="I38" s="18"/>
      <c r="J38" s="18"/>
    </row>
    <row r="39" spans="1:13" ht="14.5" x14ac:dyDescent="0.35">
      <c r="A39" s="53" t="s">
        <v>32</v>
      </c>
      <c r="B39" s="40">
        <f>SUM(C4:C8)</f>
        <v>742</v>
      </c>
      <c r="C39" s="25" t="s">
        <v>5</v>
      </c>
      <c r="D39" s="41">
        <v>1000</v>
      </c>
      <c r="E39" s="18"/>
      <c r="F39" s="18"/>
      <c r="G39" s="18"/>
      <c r="H39" s="18"/>
      <c r="I39" s="18"/>
      <c r="J39" s="18"/>
    </row>
    <row r="40" spans="1:13" ht="13" customHeight="1" x14ac:dyDescent="0.35">
      <c r="A40" s="53" t="s">
        <v>31</v>
      </c>
      <c r="B40" s="46"/>
      <c r="C40" s="46"/>
      <c r="D40" s="47"/>
      <c r="E40" s="18"/>
      <c r="F40" s="18"/>
      <c r="G40" s="18"/>
      <c r="H40" s="18"/>
      <c r="I40" s="18"/>
      <c r="J40" s="18"/>
    </row>
    <row r="41" spans="1:13" ht="14.5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</row>
  </sheetData>
  <pageMargins left="0.7" right="0.7" top="0.75" bottom="0.75" header="0.3" footer="0.3"/>
  <pageSetup orientation="portrait" r:id="rId1"/>
  <ignoredErrors>
    <ignoredError sqref="F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DC25-B33A-40CA-A838-9BD1E88C209E}">
  <dimension ref="A1:B18"/>
  <sheetViews>
    <sheetView workbookViewId="0"/>
  </sheetViews>
  <sheetFormatPr defaultRowHeight="12.5" x14ac:dyDescent="0.25"/>
  <sheetData>
    <row r="1" spans="1:2" x14ac:dyDescent="0.25">
      <c r="A1">
        <v>1</v>
      </c>
      <c r="B1">
        <v>1</v>
      </c>
    </row>
    <row r="2" spans="1:2" x14ac:dyDescent="0.25">
      <c r="A2" t="s">
        <v>167</v>
      </c>
      <c r="B2" t="s">
        <v>167</v>
      </c>
    </row>
    <row r="3" spans="1:2" x14ac:dyDescent="0.25">
      <c r="A3">
        <v>1</v>
      </c>
      <c r="B3">
        <v>1</v>
      </c>
    </row>
    <row r="4" spans="1:2" x14ac:dyDescent="0.25">
      <c r="A4">
        <v>5.69</v>
      </c>
      <c r="B4">
        <v>5.6</v>
      </c>
    </row>
    <row r="5" spans="1:2" x14ac:dyDescent="0.25">
      <c r="A5">
        <v>6.5</v>
      </c>
      <c r="B5">
        <v>6</v>
      </c>
    </row>
    <row r="6" spans="1:2" x14ac:dyDescent="0.25">
      <c r="A6">
        <v>0.05</v>
      </c>
      <c r="B6">
        <v>0.05</v>
      </c>
    </row>
    <row r="8" spans="1:2" x14ac:dyDescent="0.25">
      <c r="A8" s="2"/>
      <c r="B8" s="2" t="s">
        <v>37</v>
      </c>
    </row>
    <row r="9" spans="1:2" x14ac:dyDescent="0.25">
      <c r="A9" t="s">
        <v>168</v>
      </c>
      <c r="B9" t="s">
        <v>169</v>
      </c>
    </row>
    <row r="10" spans="1:2" x14ac:dyDescent="0.25">
      <c r="A10" t="s">
        <v>165</v>
      </c>
      <c r="B10">
        <v>1</v>
      </c>
    </row>
    <row r="11" spans="1:2" x14ac:dyDescent="0.25">
      <c r="B11">
        <v>9.9</v>
      </c>
    </row>
    <row r="12" spans="1:2" x14ac:dyDescent="0.25">
      <c r="B12">
        <v>10.5</v>
      </c>
    </row>
    <row r="13" spans="1:2" x14ac:dyDescent="0.25">
      <c r="B13">
        <v>0.05</v>
      </c>
    </row>
    <row r="15" spans="1:2" x14ac:dyDescent="0.25">
      <c r="B15" s="2" t="s">
        <v>37</v>
      </c>
    </row>
    <row r="16" spans="1:2" x14ac:dyDescent="0.25">
      <c r="B16" t="s">
        <v>166</v>
      </c>
    </row>
    <row r="17" spans="2:2" x14ac:dyDescent="0.25">
      <c r="B17" t="s">
        <v>170</v>
      </c>
    </row>
    <row r="18" spans="2:2" x14ac:dyDescent="0.25">
      <c r="B1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685F-70F2-4ACF-9203-9C7FBA1686BD}">
  <dimension ref="A1:B18"/>
  <sheetViews>
    <sheetView workbookViewId="0"/>
  </sheetViews>
  <sheetFormatPr defaultColWidth="8.81640625" defaultRowHeight="12.5" x14ac:dyDescent="0.25"/>
  <sheetData>
    <row r="1" spans="1:2" x14ac:dyDescent="0.25">
      <c r="A1">
        <v>1</v>
      </c>
      <c r="B1">
        <v>1</v>
      </c>
    </row>
    <row r="2" spans="1:2" x14ac:dyDescent="0.25">
      <c r="A2" t="s">
        <v>34</v>
      </c>
      <c r="B2" t="s">
        <v>36</v>
      </c>
    </row>
    <row r="3" spans="1:2" x14ac:dyDescent="0.25">
      <c r="A3">
        <v>1</v>
      </c>
      <c r="B3">
        <v>1</v>
      </c>
    </row>
    <row r="4" spans="1:2" x14ac:dyDescent="0.25">
      <c r="A4">
        <v>6000</v>
      </c>
      <c r="B4">
        <v>1</v>
      </c>
    </row>
    <row r="5" spans="1:2" x14ac:dyDescent="0.25">
      <c r="A5">
        <v>8000</v>
      </c>
      <c r="B5">
        <v>5</v>
      </c>
    </row>
    <row r="6" spans="1:2" x14ac:dyDescent="0.25">
      <c r="A6">
        <v>100</v>
      </c>
      <c r="B6">
        <v>0.5</v>
      </c>
    </row>
    <row r="8" spans="1:2" x14ac:dyDescent="0.25">
      <c r="A8" s="2"/>
      <c r="B8" s="2" t="s">
        <v>37</v>
      </c>
    </row>
    <row r="9" spans="1:2" x14ac:dyDescent="0.25">
      <c r="A9" t="s">
        <v>33</v>
      </c>
      <c r="B9" t="s">
        <v>38</v>
      </c>
    </row>
    <row r="10" spans="1:2" x14ac:dyDescent="0.25">
      <c r="A10" t="s">
        <v>35</v>
      </c>
      <c r="B10">
        <v>1</v>
      </c>
    </row>
    <row r="11" spans="1:2" x14ac:dyDescent="0.25">
      <c r="B11">
        <v>500</v>
      </c>
    </row>
    <row r="12" spans="1:2" x14ac:dyDescent="0.25">
      <c r="B12">
        <v>1500</v>
      </c>
    </row>
    <row r="13" spans="1:2" x14ac:dyDescent="0.25">
      <c r="B13">
        <v>100</v>
      </c>
    </row>
    <row r="15" spans="1:2" x14ac:dyDescent="0.25">
      <c r="B15" s="2" t="s">
        <v>37</v>
      </c>
    </row>
    <row r="16" spans="1:2" x14ac:dyDescent="0.25">
      <c r="B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ColWidth="8.81640625" defaultRowHeight="12.5" x14ac:dyDescent="0.25"/>
  <sheetData>
    <row r="1" spans="1:2" x14ac:dyDescent="0.25">
      <c r="A1">
        <v>1</v>
      </c>
    </row>
    <row r="2" spans="1:2" x14ac:dyDescent="0.25">
      <c r="A2" t="s">
        <v>6</v>
      </c>
    </row>
    <row r="3" spans="1:2" x14ac:dyDescent="0.25">
      <c r="A3">
        <v>1</v>
      </c>
    </row>
    <row r="4" spans="1:2" x14ac:dyDescent="0.25">
      <c r="A4">
        <v>30</v>
      </c>
    </row>
    <row r="5" spans="1:2" x14ac:dyDescent="0.25">
      <c r="A5">
        <v>50</v>
      </c>
    </row>
    <row r="6" spans="1:2" x14ac:dyDescent="0.25">
      <c r="A6">
        <v>1</v>
      </c>
    </row>
    <row r="8" spans="1:2" x14ac:dyDescent="0.25">
      <c r="A8" s="2"/>
      <c r="B8" s="2"/>
    </row>
    <row r="9" spans="1:2" x14ac:dyDescent="0.25">
      <c r="A9" t="s">
        <v>8</v>
      </c>
    </row>
    <row r="10" spans="1:2" x14ac:dyDescent="0.25">
      <c r="A10" t="s">
        <v>7</v>
      </c>
    </row>
    <row r="15" spans="1:2" x14ac:dyDescent="0.25">
      <c r="B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8C5E-5145-4FD5-9C91-952377D325A6}">
  <dimension ref="A1:AZ17"/>
  <sheetViews>
    <sheetView tabSelected="1" workbookViewId="0">
      <selection activeCell="J18" sqref="J18"/>
    </sheetView>
  </sheetViews>
  <sheetFormatPr defaultRowHeight="12.5" x14ac:dyDescent="0.25"/>
  <cols>
    <col min="1" max="1" width="6.08984375" bestFit="1" customWidth="1"/>
  </cols>
  <sheetData>
    <row r="1" spans="1:52" ht="13" x14ac:dyDescent="0.3">
      <c r="A1" s="1" t="s">
        <v>172</v>
      </c>
      <c r="P1" s="63" t="str">
        <f>CONCATENATE("Sensitivity of ",$P$4," to ","Input2")</f>
        <v>Sensitivity of $C$20 to Input2</v>
      </c>
      <c r="T1" s="63" t="str">
        <f>CONCATENATE("Sensitivity of ",$T$4," to ","Input1")</f>
        <v>Sensitivity of $C$20 to Input1</v>
      </c>
    </row>
    <row r="2" spans="1:52" x14ac:dyDescent="0.25">
      <c r="P2" t="s">
        <v>174</v>
      </c>
      <c r="T2" t="s">
        <v>177</v>
      </c>
      <c r="AZ2" t="s">
        <v>166</v>
      </c>
    </row>
    <row r="3" spans="1:52" x14ac:dyDescent="0.25">
      <c r="A3" t="s">
        <v>173</v>
      </c>
      <c r="P3" t="s">
        <v>175</v>
      </c>
      <c r="Q3" t="s">
        <v>176</v>
      </c>
      <c r="T3" t="s">
        <v>175</v>
      </c>
      <c r="U3" t="s">
        <v>178</v>
      </c>
    </row>
    <row r="4" spans="1:52" ht="33.5" x14ac:dyDescent="0.25">
      <c r="A4" s="67" t="s">
        <v>166</v>
      </c>
      <c r="B4" s="7">
        <v>9.8999996185302734</v>
      </c>
      <c r="C4" s="7">
        <v>9.9499998092651367</v>
      </c>
      <c r="D4" s="7">
        <v>10</v>
      </c>
      <c r="E4" s="7">
        <v>10.049999237060547</v>
      </c>
      <c r="F4" s="7">
        <v>10.09999942779541</v>
      </c>
      <c r="G4" s="7">
        <v>10.149999618530273</v>
      </c>
      <c r="H4" s="7">
        <v>10.199999809265137</v>
      </c>
      <c r="I4" s="7">
        <v>10.25</v>
      </c>
      <c r="J4" s="7">
        <v>10.299999237060547</v>
      </c>
      <c r="K4" s="7">
        <v>10.34999942779541</v>
      </c>
      <c r="L4" s="7">
        <v>10.399999618530273</v>
      </c>
      <c r="M4" s="7">
        <v>10.449999809265137</v>
      </c>
      <c r="N4" s="7">
        <v>10.5</v>
      </c>
      <c r="O4" s="63">
        <f>MATCH($P$4,OutputAddresses,0)</f>
        <v>1</v>
      </c>
      <c r="P4" s="62" t="s">
        <v>166</v>
      </c>
      <c r="Q4" s="68">
        <v>5.5999999046325684</v>
      </c>
      <c r="R4" s="63">
        <f>MATCH($Q$4,InputValues1,0)</f>
        <v>1</v>
      </c>
      <c r="S4" s="63">
        <f>MATCH($T$4,OutputAddresses,0)</f>
        <v>1</v>
      </c>
      <c r="T4" s="62" t="s">
        <v>166</v>
      </c>
      <c r="U4" s="68">
        <v>9.8999996185302734</v>
      </c>
      <c r="V4" s="63">
        <f>MATCH($U$4,InputValues2,0)</f>
        <v>1</v>
      </c>
    </row>
    <row r="5" spans="1:52" x14ac:dyDescent="0.25">
      <c r="A5" s="7">
        <v>5.5999999046325684</v>
      </c>
      <c r="B5" s="64">
        <v>4695.9199599456788</v>
      </c>
      <c r="C5" s="69">
        <v>4702.9199866485596</v>
      </c>
      <c r="D5" s="69">
        <v>4709.9200133514405</v>
      </c>
      <c r="E5" s="69">
        <v>4716.9199065399171</v>
      </c>
      <c r="F5" s="69">
        <v>4723.9199332427979</v>
      </c>
      <c r="G5" s="69">
        <v>4730.9199599456788</v>
      </c>
      <c r="H5" s="69">
        <v>4737.9199866485596</v>
      </c>
      <c r="I5" s="69">
        <v>4744.9200133514405</v>
      </c>
      <c r="J5" s="69">
        <v>4751.9199065399171</v>
      </c>
      <c r="K5" s="69">
        <v>4758.9199332427979</v>
      </c>
      <c r="L5" s="69">
        <v>4765.9199599456788</v>
      </c>
      <c r="M5" s="69">
        <v>4772.9199866485596</v>
      </c>
      <c r="N5" s="72">
        <v>4779.9200133514405</v>
      </c>
      <c r="O5" s="63" t="str">
        <f>"OutputValues_"&amp;$O$4</f>
        <v>OutputValues_1</v>
      </c>
      <c r="P5">
        <f ca="1">INDEX(INDIRECT($O$5),$R$4,1)</f>
        <v>4695.9199599456788</v>
      </c>
      <c r="S5" s="63" t="str">
        <f>"OutputValues_"&amp;$S$4</f>
        <v>OutputValues_1</v>
      </c>
      <c r="T5">
        <f ca="1">INDEX(INDIRECT($S$5),1,$V$4)</f>
        <v>4695.9199599456788</v>
      </c>
    </row>
    <row r="6" spans="1:52" x14ac:dyDescent="0.25">
      <c r="A6" s="7">
        <v>5.6500000953674316</v>
      </c>
      <c r="B6" s="65">
        <v>4688.9199332427979</v>
      </c>
      <c r="C6" s="70">
        <v>4695.9199599456788</v>
      </c>
      <c r="D6" s="70">
        <v>4702.9199866485596</v>
      </c>
      <c r="E6" s="70">
        <v>4709.9198798370362</v>
      </c>
      <c r="F6" s="70">
        <v>4716.9199065399171</v>
      </c>
      <c r="G6" s="70">
        <v>4723.9199332427979</v>
      </c>
      <c r="H6" s="70">
        <v>4730.9199599456788</v>
      </c>
      <c r="I6" s="70">
        <v>4737.9199866485596</v>
      </c>
      <c r="J6" s="70">
        <v>4744.9198798370362</v>
      </c>
      <c r="K6" s="70">
        <v>4751.9199065399171</v>
      </c>
      <c r="L6" s="70">
        <v>4758.9199332427979</v>
      </c>
      <c r="M6" s="70">
        <v>4765.9199599456788</v>
      </c>
      <c r="N6" s="73">
        <v>4772.9199866485596</v>
      </c>
      <c r="P6">
        <f ca="1">INDEX(INDIRECT($O$5),$R$4,2)</f>
        <v>4702.9199866485596</v>
      </c>
      <c r="T6">
        <f ca="1">INDEX(INDIRECT($S$5),2,$V$4)</f>
        <v>4688.9199332427979</v>
      </c>
    </row>
    <row r="7" spans="1:52" x14ac:dyDescent="0.25">
      <c r="A7" s="7">
        <v>5.6999998092651367</v>
      </c>
      <c r="B7" s="65">
        <v>4681.9199732971192</v>
      </c>
      <c r="C7" s="70">
        <v>4688.92</v>
      </c>
      <c r="D7" s="70">
        <v>4695.9200267028809</v>
      </c>
      <c r="E7" s="70">
        <v>4702.9199198913575</v>
      </c>
      <c r="F7" s="70">
        <v>4709.9199465942384</v>
      </c>
      <c r="G7" s="70">
        <v>4716.9199732971192</v>
      </c>
      <c r="H7" s="70">
        <v>4723.92</v>
      </c>
      <c r="I7" s="70">
        <v>4730.9200267028809</v>
      </c>
      <c r="J7" s="70">
        <v>4737.9199198913575</v>
      </c>
      <c r="K7" s="70">
        <v>4744.9199465942384</v>
      </c>
      <c r="L7" s="70">
        <v>4751.9199732971192</v>
      </c>
      <c r="M7" s="70">
        <v>4758.92</v>
      </c>
      <c r="N7" s="73">
        <v>4765.9200267028809</v>
      </c>
      <c r="P7">
        <f ca="1">INDEX(INDIRECT($O$5),$R$4,3)</f>
        <v>4709.9200133514405</v>
      </c>
      <c r="T7">
        <f ca="1">INDEX(INDIRECT($S$5),3,$V$4)</f>
        <v>4681.9199732971192</v>
      </c>
    </row>
    <row r="8" spans="1:52" x14ac:dyDescent="0.25">
      <c r="A8" s="7">
        <v>5.75</v>
      </c>
      <c r="B8" s="65">
        <v>4674.9199465942384</v>
      </c>
      <c r="C8" s="70">
        <v>4681.9199732971192</v>
      </c>
      <c r="D8" s="70">
        <v>4688.92</v>
      </c>
      <c r="E8" s="70">
        <v>4695.9198931884766</v>
      </c>
      <c r="F8" s="70">
        <v>4702.9199198913575</v>
      </c>
      <c r="G8" s="70">
        <v>4709.9199465942384</v>
      </c>
      <c r="H8" s="70">
        <v>4716.9199732971192</v>
      </c>
      <c r="I8" s="70">
        <v>4723.92</v>
      </c>
      <c r="J8" s="70">
        <v>4730.9198931884766</v>
      </c>
      <c r="K8" s="70">
        <v>4737.9199198913575</v>
      </c>
      <c r="L8" s="70">
        <v>4744.9199465942384</v>
      </c>
      <c r="M8" s="70">
        <v>4751.9199732971192</v>
      </c>
      <c r="N8" s="73">
        <v>4758.92</v>
      </c>
      <c r="P8">
        <f ca="1">INDEX(INDIRECT($O$5),$R$4,4)</f>
        <v>4716.9199065399171</v>
      </c>
      <c r="T8">
        <f ca="1">INDEX(INDIRECT($S$5),4,$V$4)</f>
        <v>4674.9199465942384</v>
      </c>
    </row>
    <row r="9" spans="1:52" x14ac:dyDescent="0.25">
      <c r="A9" s="7">
        <v>5.7999997138977051</v>
      </c>
      <c r="B9" s="65">
        <v>4667.9199866485596</v>
      </c>
      <c r="C9" s="70">
        <v>4674.9200133514405</v>
      </c>
      <c r="D9" s="70">
        <v>4681.9200400543214</v>
      </c>
      <c r="E9" s="70">
        <v>4688.9199332427979</v>
      </c>
      <c r="F9" s="70">
        <v>4695.9199599456788</v>
      </c>
      <c r="G9" s="70">
        <v>4702.9199866485596</v>
      </c>
      <c r="H9" s="70">
        <v>4709.9200133514405</v>
      </c>
      <c r="I9" s="70">
        <v>4716.9200400543214</v>
      </c>
      <c r="J9" s="70">
        <v>4723.9199332427979</v>
      </c>
      <c r="K9" s="70">
        <v>4730.9199599456788</v>
      </c>
      <c r="L9" s="70">
        <v>4737.9199866485596</v>
      </c>
      <c r="M9" s="70">
        <v>4744.9200133514405</v>
      </c>
      <c r="N9" s="73">
        <v>4751.9200400543214</v>
      </c>
      <c r="P9">
        <f ca="1">INDEX(INDIRECT($O$5),$R$4,5)</f>
        <v>4723.9199332427979</v>
      </c>
      <c r="T9">
        <f ca="1">INDEX(INDIRECT($S$5),5,$V$4)</f>
        <v>4667.9199866485596</v>
      </c>
    </row>
    <row r="10" spans="1:52" x14ac:dyDescent="0.25">
      <c r="A10" s="7">
        <v>5.8499999046325684</v>
      </c>
      <c r="B10" s="65">
        <v>4660.9199599456788</v>
      </c>
      <c r="C10" s="70">
        <v>4667.9199866485596</v>
      </c>
      <c r="D10" s="70">
        <v>4674.9200133514405</v>
      </c>
      <c r="E10" s="70">
        <v>4681.9199065399171</v>
      </c>
      <c r="F10" s="70">
        <v>4688.9199332427979</v>
      </c>
      <c r="G10" s="70">
        <v>4695.9199599456788</v>
      </c>
      <c r="H10" s="70">
        <v>4702.9199866485596</v>
      </c>
      <c r="I10" s="70">
        <v>4709.9200133514405</v>
      </c>
      <c r="J10" s="70">
        <v>4716.9199065399171</v>
      </c>
      <c r="K10" s="70">
        <v>4723.9199332427979</v>
      </c>
      <c r="L10" s="70">
        <v>4730.9199599456788</v>
      </c>
      <c r="M10" s="70">
        <v>4737.9199866485596</v>
      </c>
      <c r="N10" s="73">
        <v>4744.9200133514405</v>
      </c>
      <c r="P10">
        <f ca="1">INDEX(INDIRECT($O$5),$R$4,6)</f>
        <v>4730.9199599456788</v>
      </c>
      <c r="T10">
        <f ca="1">INDEX(INDIRECT($S$5),6,$V$4)</f>
        <v>4660.9199599456788</v>
      </c>
    </row>
    <row r="11" spans="1:52" x14ac:dyDescent="0.25">
      <c r="A11" s="7">
        <v>5.9000000953674316</v>
      </c>
      <c r="B11" s="65">
        <v>4653.9199332427979</v>
      </c>
      <c r="C11" s="70">
        <v>4660.9199599456788</v>
      </c>
      <c r="D11" s="70">
        <v>4667.9199866485596</v>
      </c>
      <c r="E11" s="70">
        <v>4674.9198798370362</v>
      </c>
      <c r="F11" s="70">
        <v>4681.9199065399171</v>
      </c>
      <c r="G11" s="70">
        <v>4688.9199332427979</v>
      </c>
      <c r="H11" s="70">
        <v>4695.9199599456788</v>
      </c>
      <c r="I11" s="70">
        <v>4702.9199866485596</v>
      </c>
      <c r="J11" s="70">
        <v>4709.9198798370362</v>
      </c>
      <c r="K11" s="70">
        <v>4716.9199065399171</v>
      </c>
      <c r="L11" s="70">
        <v>4723.9199332427979</v>
      </c>
      <c r="M11" s="70">
        <v>4730.9199599456788</v>
      </c>
      <c r="N11" s="73">
        <v>4737.9199866485596</v>
      </c>
      <c r="P11">
        <f ca="1">INDEX(INDIRECT($O$5),$R$4,7)</f>
        <v>4737.9199866485596</v>
      </c>
      <c r="T11">
        <f ca="1">INDEX(INDIRECT($S$5),7,$V$4)</f>
        <v>4653.9199332427979</v>
      </c>
    </row>
    <row r="12" spans="1:52" x14ac:dyDescent="0.25">
      <c r="A12" s="7">
        <v>5.9499998092651367</v>
      </c>
      <c r="B12" s="65">
        <v>4646.9199732971192</v>
      </c>
      <c r="C12" s="70">
        <v>4653.92</v>
      </c>
      <c r="D12" s="70">
        <v>4660.9200267028809</v>
      </c>
      <c r="E12" s="70">
        <v>4667.9199198913575</v>
      </c>
      <c r="F12" s="70">
        <v>4674.9199465942384</v>
      </c>
      <c r="G12" s="70">
        <v>4681.9199732971192</v>
      </c>
      <c r="H12" s="70">
        <v>4688.92</v>
      </c>
      <c r="I12" s="70">
        <v>4695.9200267028809</v>
      </c>
      <c r="J12" s="70">
        <v>4702.9199198913575</v>
      </c>
      <c r="K12" s="70">
        <v>4709.9199465942384</v>
      </c>
      <c r="L12" s="70">
        <v>4716.9199732971192</v>
      </c>
      <c r="M12" s="70">
        <v>4723.92</v>
      </c>
      <c r="N12" s="73">
        <v>4730.9200267028809</v>
      </c>
      <c r="P12">
        <f ca="1">INDEX(INDIRECT($O$5),$R$4,8)</f>
        <v>4744.9200133514405</v>
      </c>
      <c r="T12">
        <f ca="1">INDEX(INDIRECT($S$5),8,$V$4)</f>
        <v>4646.9199732971192</v>
      </c>
    </row>
    <row r="13" spans="1:52" x14ac:dyDescent="0.25">
      <c r="A13" s="7">
        <v>6</v>
      </c>
      <c r="B13" s="66">
        <v>4639.9199465942384</v>
      </c>
      <c r="C13" s="71">
        <v>4646.9199732971192</v>
      </c>
      <c r="D13" s="71">
        <v>4653.92</v>
      </c>
      <c r="E13" s="71">
        <v>4660.9198931884766</v>
      </c>
      <c r="F13" s="71">
        <v>4667.9199198913575</v>
      </c>
      <c r="G13" s="71">
        <v>4674.9199465942384</v>
      </c>
      <c r="H13" s="71">
        <v>4681.9199732971192</v>
      </c>
      <c r="I13" s="71">
        <v>4688.92</v>
      </c>
      <c r="J13" s="71">
        <v>4695.9198931884766</v>
      </c>
      <c r="K13" s="71">
        <v>4702.9199198913575</v>
      </c>
      <c r="L13" s="71">
        <v>4709.9199465942384</v>
      </c>
      <c r="M13" s="71">
        <v>4716.9199732971192</v>
      </c>
      <c r="N13" s="74">
        <v>4723.92</v>
      </c>
      <c r="P13">
        <f ca="1">INDEX(INDIRECT($O$5),$R$4,9)</f>
        <v>4751.9199065399171</v>
      </c>
      <c r="T13">
        <f ca="1">INDEX(INDIRECT($S$5),9,$V$4)</f>
        <v>4639.9199465942384</v>
      </c>
    </row>
    <row r="14" spans="1:52" x14ac:dyDescent="0.25">
      <c r="P14">
        <f ca="1">INDEX(INDIRECT($O$5),$R$4,10)</f>
        <v>4758.9199332427979</v>
      </c>
    </row>
    <row r="15" spans="1:52" x14ac:dyDescent="0.25">
      <c r="P15">
        <f ca="1">INDEX(INDIRECT($O$5),$R$4,11)</f>
        <v>4765.9199599456788</v>
      </c>
    </row>
    <row r="16" spans="1:52" x14ac:dyDescent="0.25">
      <c r="P16">
        <f ca="1">INDEX(INDIRECT($O$5),$R$4,12)</f>
        <v>4772.9199866485596</v>
      </c>
    </row>
    <row r="17" spans="16:16" x14ac:dyDescent="0.25">
      <c r="P17">
        <f ca="1">INDEX(INDIRECT($O$5),$R$4,13)</f>
        <v>4779.9200133514405</v>
      </c>
    </row>
  </sheetData>
  <dataValidations count="3">
    <dataValidation type="list" allowBlank="1" showInputMessage="1" showErrorMessage="1" sqref="P4 T4" xr:uid="{9D114E9F-700E-4B52-9AEE-7620608FF1FD}">
      <formula1>OutputAddresses</formula1>
    </dataValidation>
    <dataValidation type="list" allowBlank="1" showInputMessage="1" showErrorMessage="1" sqref="Q4" xr:uid="{083FB5A1-E7DD-46EB-AA28-1418111B3385}">
      <formula1>InputValues1</formula1>
    </dataValidation>
    <dataValidation type="list" allowBlank="1" showInputMessage="1" showErrorMessage="1" sqref="U4" xr:uid="{683E4B69-8F44-439B-88CB-29A5659ED152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Model_formulation</vt:lpstr>
      <vt:lpstr>Sensitivity Report 1</vt:lpstr>
      <vt:lpstr>food item_mix_Solution</vt:lpstr>
      <vt:lpstr>impact of cp and sp</vt:lpstr>
      <vt:lpstr>'impact of cp and sp'!ChartData1</vt:lpstr>
      <vt:lpstr>'impact of cp and sp'!ChartData2</vt:lpstr>
      <vt:lpstr>'impact of cp and sp'!InputValues1</vt:lpstr>
      <vt:lpstr>'impact of cp and sp'!InputValues2</vt:lpstr>
      <vt:lpstr>'impact of cp and sp'!OutputAddresses</vt:lpstr>
      <vt:lpstr>'impact of cp and sp'!OutputValues_1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OM2126</dc:creator>
  <cp:lastModifiedBy>STSC</cp:lastModifiedBy>
  <dcterms:created xsi:type="dcterms:W3CDTF">2002-07-12T05:36:18Z</dcterms:created>
  <dcterms:modified xsi:type="dcterms:W3CDTF">2023-05-13T05:25:15Z</dcterms:modified>
</cp:coreProperties>
</file>